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875" yWindow="-105" windowWidth="50310" windowHeight="12045" firstSheet="8" activeTab="9"/>
  </bookViews>
  <sheets>
    <sheet name="7PSourceSummary" sheetId="19" r:id="rId1"/>
    <sheet name="forRPM" sheetId="34" r:id="rId2"/>
    <sheet name="SC-New" sheetId="17" r:id="rId3"/>
    <sheet name="SC-New (2)" sheetId="29" r:id="rId4"/>
    <sheet name="SC-NR" sheetId="18" r:id="rId5"/>
    <sheet name="SC-NR (2)" sheetId="31" r:id="rId6"/>
    <sheet name="Accomplishments" sheetId="33" r:id="rId7"/>
    <sheet name="Bulb Weighting" sheetId="30" r:id="rId8"/>
    <sheet name="M_Input_Out" sheetId="32" r:id="rId9"/>
    <sheet name="M_Input" sheetId="16" r:id="rId10"/>
    <sheet name="Composite" sheetId="10" r:id="rId11"/>
    <sheet name="Trend" sheetId="28" r:id="rId12"/>
    <sheet name="RawRTF" sheetId="3" r:id="rId13"/>
    <sheet name="Measure Assembly" sheetId="2" r:id="rId14"/>
    <sheet name="Summary Tables" sheetId="22" r:id="rId15"/>
    <sheet name="CFL and LED Efficacy" sheetId="23" r:id="rId16"/>
    <sheet name="CFL and LED Cost" sheetId="24" r:id="rId17"/>
    <sheet name="Lifetime" sheetId="25" r:id="rId18"/>
    <sheet name="Space Conditioning Interaction" sheetId="26" r:id="rId19"/>
    <sheet name="StorageTakebackRemoval" sheetId="27" r:id="rId20"/>
    <sheet name="Stock" sheetId="35" r:id="rId21"/>
  </sheets>
  <externalReferences>
    <externalReference r:id="rId22"/>
    <externalReference r:id="rId23"/>
  </externalReferences>
  <definedNames>
    <definedName name="_xlnm._FilterDatabase" localSheetId="16" hidden="1">'CFL and LED Cost'!$A$72:$C$102</definedName>
    <definedName name="_Key1" localSheetId="0" hidden="1">#REF!</definedName>
    <definedName name="_Key1" localSheetId="16" hidden="1">#REF!</definedName>
    <definedName name="_Key1" localSheetId="15" hidden="1">#REF!</definedName>
    <definedName name="_Key1" localSheetId="10" hidden="1">#REF!</definedName>
    <definedName name="_Key1" localSheetId="1" hidden="1">#REF!</definedName>
    <definedName name="_Key1" localSheetId="17"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8" hidden="1">#REF!</definedName>
    <definedName name="_Key1" localSheetId="19" hidden="1">#REF!</definedName>
    <definedName name="_Key1" localSheetId="14" hidden="1">#REF!</definedName>
    <definedName name="_Key1" hidden="1">#REF!</definedName>
    <definedName name="_Order1" hidden="1">255</definedName>
    <definedName name="_Sort" localSheetId="0" hidden="1">#REF!</definedName>
    <definedName name="_Sort" localSheetId="16" hidden="1">#REF!</definedName>
    <definedName name="_Sort" localSheetId="15" hidden="1">#REF!</definedName>
    <definedName name="_Sort" localSheetId="10" hidden="1">#REF!</definedName>
    <definedName name="_Sort" localSheetId="1" hidden="1">#REF!</definedName>
    <definedName name="_Sort" localSheetId="17"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8" hidden="1">#REF!</definedName>
    <definedName name="_Sort" localSheetId="19" hidden="1">#REF!</definedName>
    <definedName name="_Sort" localSheetId="14" hidden="1">#REF!</definedName>
    <definedName name="_Sort" hidden="1">#REF!</definedName>
    <definedName name="anscount" hidden="1">1</definedName>
    <definedName name="CBWorkbookPriority" hidden="1">-738590518</definedName>
    <definedName name="Deflator">'CFL and LED Cost'!$J$32</definedName>
    <definedName name="JUNK" localSheetId="3" hidden="1">#REF!</definedName>
    <definedName name="JUNK" localSheetId="5" hidden="1">#REF!</definedName>
    <definedName name="JUNK" hidden="1">#REF!</definedName>
    <definedName name="limcount" hidden="1">1</definedName>
    <definedName name="MeasureOutput">M_Input_Out!$A$4:$AM$100</definedName>
    <definedName name="ResBase">'[1]Res Forecast (Base Case)'!$C$14:$BD$61</definedName>
    <definedName name="sencount" hidden="1">1</definedName>
    <definedName name="sort" localSheetId="1" hidden="1">#REF!</definedName>
    <definedName name="sort" localSheetId="3" hidden="1">#REF!</definedName>
    <definedName name="sort" localSheetId="5" hidden="1">#REF!</definedName>
    <definedName name="sort" hidden="1">#REF!</definedName>
  </definedNames>
  <calcPr calcId="125725"/>
</workbook>
</file>

<file path=xl/calcChain.xml><?xml version="1.0" encoding="utf-8"?>
<calcChain xmlns="http://schemas.openxmlformats.org/spreadsheetml/2006/main">
  <c r="S27" i="35"/>
  <c r="I50" i="22"/>
  <c r="I51"/>
  <c r="I52"/>
  <c r="I53"/>
  <c r="I54"/>
  <c r="I55"/>
  <c r="I56"/>
  <c r="I57"/>
  <c r="I58"/>
  <c r="I59"/>
  <c r="I60"/>
  <c r="I61"/>
  <c r="I62"/>
  <c r="I63"/>
  <c r="I49"/>
  <c r="S26" i="35"/>
  <c r="S25"/>
  <c r="S22"/>
  <c r="S24"/>
  <c r="S23"/>
  <c r="S21"/>
  <c r="S20"/>
  <c r="S19"/>
  <c r="S18"/>
  <c r="S17"/>
  <c r="Q23"/>
  <c r="Q21"/>
  <c r="Q20"/>
  <c r="Q19"/>
  <c r="J52"/>
  <c r="I52"/>
  <c r="I53"/>
  <c r="J53"/>
  <c r="H53"/>
  <c r="H52"/>
  <c r="Q22" l="1"/>
  <c r="Q24"/>
  <c r="Q26"/>
  <c r="Q27" l="1"/>
  <c r="Q29"/>
  <c r="Q25"/>
  <c r="Q28" l="1"/>
  <c r="Q30"/>
  <c r="S30" l="1"/>
  <c r="S29"/>
  <c r="S28"/>
  <c r="S16"/>
  <c r="D9" i="17"/>
  <c r="D8"/>
  <c r="D9" i="29"/>
  <c r="D8"/>
  <c r="D9" i="18"/>
  <c r="D8"/>
  <c r="D9" i="31"/>
  <c r="D8"/>
  <c r="C8"/>
  <c r="C8" i="18"/>
  <c r="C8" i="29"/>
  <c r="C8" i="17"/>
  <c r="B23" l="1"/>
  <c r="B51" i="31"/>
  <c r="B23" i="29"/>
  <c r="B43" i="31"/>
  <c r="B24" i="17"/>
  <c r="B24" i="29"/>
  <c r="B52" i="31"/>
  <c r="B25" i="17"/>
  <c r="B25" i="29"/>
  <c r="B53" i="31"/>
  <c r="B26" i="17"/>
  <c r="B26" i="29"/>
  <c r="B54" i="31"/>
  <c r="B184" i="3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122"/>
  <c r="B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3"/>
  <c r="AA10" i="2"/>
  <c r="A9" i="17"/>
  <c r="E10" i="34" s="1"/>
  <c r="A9" i="29"/>
  <c r="E119" i="34" s="1"/>
  <c r="A9" i="31"/>
  <c r="E214" i="34" s="1"/>
  <c r="A9" i="18"/>
  <c r="E182" i="34" s="1"/>
  <c r="E110"/>
  <c r="E81"/>
  <c r="E117"/>
  <c r="E75"/>
  <c r="E87"/>
  <c r="J242"/>
  <c r="I242"/>
  <c r="J241"/>
  <c r="BD241"/>
  <c r="I241"/>
  <c r="J240"/>
  <c r="I240"/>
  <c r="J239"/>
  <c r="I239"/>
  <c r="J238"/>
  <c r="I238"/>
  <c r="J237"/>
  <c r="AW237" s="1"/>
  <c r="I237"/>
  <c r="J236"/>
  <c r="I236"/>
  <c r="J235"/>
  <c r="F235" s="1"/>
  <c r="I235"/>
  <c r="J234"/>
  <c r="I234"/>
  <c r="J233"/>
  <c r="AS233"/>
  <c r="I233"/>
  <c r="J232"/>
  <c r="I232"/>
  <c r="J231"/>
  <c r="I231"/>
  <c r="J230"/>
  <c r="F230"/>
  <c r="I230"/>
  <c r="J229"/>
  <c r="AS229" s="1"/>
  <c r="I229"/>
  <c r="J228"/>
  <c r="I228"/>
  <c r="J227"/>
  <c r="AU227"/>
  <c r="I227"/>
  <c r="J226"/>
  <c r="I226"/>
  <c r="J225"/>
  <c r="I225"/>
  <c r="J224"/>
  <c r="I224"/>
  <c r="J223"/>
  <c r="I223"/>
  <c r="J222"/>
  <c r="I222"/>
  <c r="J221"/>
  <c r="BC221"/>
  <c r="I221"/>
  <c r="J220"/>
  <c r="I220"/>
  <c r="J219"/>
  <c r="BC219" s="1"/>
  <c r="I219"/>
  <c r="J218"/>
  <c r="I218"/>
  <c r="J217"/>
  <c r="F217"/>
  <c r="I217"/>
  <c r="J216"/>
  <c r="I216"/>
  <c r="J215"/>
  <c r="I215"/>
  <c r="J214"/>
  <c r="I214"/>
  <c r="J213"/>
  <c r="AU213"/>
  <c r="I213"/>
  <c r="J212"/>
  <c r="I212"/>
  <c r="J211"/>
  <c r="BB211" s="1"/>
  <c r="I211"/>
  <c r="J210"/>
  <c r="AO210"/>
  <c r="I210"/>
  <c r="J209"/>
  <c r="I209"/>
  <c r="J208"/>
  <c r="I208"/>
  <c r="J207"/>
  <c r="AU207"/>
  <c r="I207"/>
  <c r="J206"/>
  <c r="I206"/>
  <c r="J205"/>
  <c r="AJ205" s="1"/>
  <c r="I205"/>
  <c r="J204"/>
  <c r="I204"/>
  <c r="J203"/>
  <c r="AS203"/>
  <c r="I203"/>
  <c r="J202"/>
  <c r="I202"/>
  <c r="J201"/>
  <c r="I201"/>
  <c r="J200"/>
  <c r="I200"/>
  <c r="J199"/>
  <c r="F199"/>
  <c r="I199"/>
  <c r="J198"/>
  <c r="I198"/>
  <c r="J197"/>
  <c r="BA197" s="1"/>
  <c r="I197"/>
  <c r="J196"/>
  <c r="AJ196"/>
  <c r="I196"/>
  <c r="J195"/>
  <c r="I195"/>
  <c r="J194"/>
  <c r="I194"/>
  <c r="J193"/>
  <c r="BA193"/>
  <c r="I193"/>
  <c r="J192"/>
  <c r="I192"/>
  <c r="J191"/>
  <c r="AY191"/>
  <c r="I191"/>
  <c r="J190"/>
  <c r="I190"/>
  <c r="J189"/>
  <c r="AO189" s="1"/>
  <c r="I189"/>
  <c r="J188"/>
  <c r="I188"/>
  <c r="J187"/>
  <c r="BB187"/>
  <c r="I187"/>
  <c r="J186"/>
  <c r="I186"/>
  <c r="J185"/>
  <c r="AT185" s="1"/>
  <c r="I185"/>
  <c r="J184"/>
  <c r="I184"/>
  <c r="J183"/>
  <c r="I183"/>
  <c r="C242"/>
  <c r="A242" s="1"/>
  <c r="C241"/>
  <c r="A241" s="1"/>
  <c r="C240"/>
  <c r="C239"/>
  <c r="C238"/>
  <c r="A238" s="1"/>
  <c r="C237"/>
  <c r="A237" s="1"/>
  <c r="BA236"/>
  <c r="C236"/>
  <c r="A236" s="1"/>
  <c r="C235"/>
  <c r="C234"/>
  <c r="A234" s="1"/>
  <c r="BD233"/>
  <c r="C233"/>
  <c r="A233" s="1"/>
  <c r="C232"/>
  <c r="A232" s="1"/>
  <c r="C231"/>
  <c r="BB230"/>
  <c r="C230"/>
  <c r="A230" s="1"/>
  <c r="C229"/>
  <c r="A229" s="1"/>
  <c r="C228"/>
  <c r="A228" s="1"/>
  <c r="C227"/>
  <c r="C226"/>
  <c r="A226" s="1"/>
  <c r="C225"/>
  <c r="A225" s="1"/>
  <c r="C224"/>
  <c r="A224" s="1"/>
  <c r="C223"/>
  <c r="C222"/>
  <c r="A222" s="1"/>
  <c r="C221"/>
  <c r="A221" s="1"/>
  <c r="C220"/>
  <c r="A220" s="1"/>
  <c r="C219"/>
  <c r="C218"/>
  <c r="A218" s="1"/>
  <c r="AV217"/>
  <c r="C217"/>
  <c r="A217" s="1"/>
  <c r="BD216"/>
  <c r="C216"/>
  <c r="A216" s="1"/>
  <c r="C215"/>
  <c r="C214"/>
  <c r="A214" s="1"/>
  <c r="AN213"/>
  <c r="C213"/>
  <c r="A213" s="1"/>
  <c r="C212"/>
  <c r="A212" s="1"/>
  <c r="C211"/>
  <c r="F210"/>
  <c r="C210"/>
  <c r="A210" s="1"/>
  <c r="C209"/>
  <c r="A209" s="1"/>
  <c r="C208"/>
  <c r="A208" s="1"/>
  <c r="C207"/>
  <c r="C206"/>
  <c r="A206" s="1"/>
  <c r="C205"/>
  <c r="A205" s="1"/>
  <c r="BB204"/>
  <c r="C204"/>
  <c r="A204" s="1"/>
  <c r="C203"/>
  <c r="C202"/>
  <c r="A202" s="1"/>
  <c r="C201"/>
  <c r="A201" s="1"/>
  <c r="C200"/>
  <c r="A200" s="1"/>
  <c r="C199"/>
  <c r="C198"/>
  <c r="A198" s="1"/>
  <c r="C197"/>
  <c r="A197" s="1"/>
  <c r="C196"/>
  <c r="A196" s="1"/>
  <c r="C195"/>
  <c r="C194"/>
  <c r="A194" s="1"/>
  <c r="C193"/>
  <c r="A193" s="1"/>
  <c r="C192"/>
  <c r="A192" s="1"/>
  <c r="C191"/>
  <c r="C190"/>
  <c r="A190" s="1"/>
  <c r="C189"/>
  <c r="A189" s="1"/>
  <c r="C188"/>
  <c r="A188" s="1"/>
  <c r="C187"/>
  <c r="C186"/>
  <c r="A186" s="1"/>
  <c r="C185"/>
  <c r="A185" s="1"/>
  <c r="C184"/>
  <c r="A184" s="1"/>
  <c r="C183"/>
  <c r="BA241"/>
  <c r="AS241"/>
  <c r="BB240"/>
  <c r="BA240"/>
  <c r="AT240"/>
  <c r="AN240"/>
  <c r="AK240"/>
  <c r="BC240"/>
  <c r="F238"/>
  <c r="AN237"/>
  <c r="AF237"/>
  <c r="AS236"/>
  <c r="AU234"/>
  <c r="F234"/>
  <c r="AJ233"/>
  <c r="F233"/>
  <c r="AZ232"/>
  <c r="AW232"/>
  <c r="AQ232"/>
  <c r="AJ232"/>
  <c r="AI232"/>
  <c r="F232"/>
  <c r="AP230"/>
  <c r="F229"/>
  <c r="BB228"/>
  <c r="AW228"/>
  <c r="AO228"/>
  <c r="AN228"/>
  <c r="AI228"/>
  <c r="BB227"/>
  <c r="BA227"/>
  <c r="AP227"/>
  <c r="AO227"/>
  <c r="AF227"/>
  <c r="BC227"/>
  <c r="AT226"/>
  <c r="AY225"/>
  <c r="BD224"/>
  <c r="AV224"/>
  <c r="AO224"/>
  <c r="AN224"/>
  <c r="AG224"/>
  <c r="BD222"/>
  <c r="BC222"/>
  <c r="AT222"/>
  <c r="AL222"/>
  <c r="AH222"/>
  <c r="BA221"/>
  <c r="AP221"/>
  <c r="AM220"/>
  <c r="BB218"/>
  <c r="AL218"/>
  <c r="AK218"/>
  <c r="AU217"/>
  <c r="AZ216"/>
  <c r="AT216"/>
  <c r="AQ216"/>
  <c r="AJ216"/>
  <c r="BC216"/>
  <c r="F216"/>
  <c r="AV214"/>
  <c r="F214"/>
  <c r="AV212"/>
  <c r="BA211"/>
  <c r="AW211"/>
  <c r="AO211"/>
  <c r="AK211"/>
  <c r="BC211"/>
  <c r="F211"/>
  <c r="AU210"/>
  <c r="AH209"/>
  <c r="AX208"/>
  <c r="AS208"/>
  <c r="AQ208"/>
  <c r="AI208"/>
  <c r="F208"/>
  <c r="AT207"/>
  <c r="AO207"/>
  <c r="F207"/>
  <c r="F206"/>
  <c r="BD204"/>
  <c r="AX204"/>
  <c r="AV204"/>
  <c r="AN204"/>
  <c r="AI204"/>
  <c r="AG204"/>
  <c r="BC203"/>
  <c r="AY203"/>
  <c r="AN203"/>
  <c r="AH203"/>
  <c r="BB202"/>
  <c r="AP202"/>
  <c r="AL202"/>
  <c r="AP200"/>
  <c r="AG200"/>
  <c r="F200"/>
  <c r="BD198"/>
  <c r="AV197"/>
  <c r="AO197"/>
  <c r="BA196"/>
  <c r="AU196"/>
  <c r="BD195"/>
  <c r="AH195"/>
  <c r="BD194"/>
  <c r="AW194"/>
  <c r="AS194"/>
  <c r="AJ194"/>
  <c r="AZ193"/>
  <c r="AI193"/>
  <c r="F193"/>
  <c r="BD191"/>
  <c r="BC191"/>
  <c r="AX191"/>
  <c r="AV191"/>
  <c r="AP191"/>
  <c r="AM191"/>
  <c r="AH191"/>
  <c r="AG191"/>
  <c r="BA190"/>
  <c r="AS188"/>
  <c r="AP188"/>
  <c r="AF188"/>
  <c r="AV187"/>
  <c r="AP187"/>
  <c r="AN185"/>
  <c r="AI185"/>
  <c r="BA184"/>
  <c r="AX184"/>
  <c r="AL184"/>
  <c r="AF184"/>
  <c r="F184"/>
  <c r="AO139"/>
  <c r="AH141"/>
  <c r="AJ141"/>
  <c r="AU141"/>
  <c r="AO143"/>
  <c r="AJ145"/>
  <c r="AJ149"/>
  <c r="AN151"/>
  <c r="AO151"/>
  <c r="BA151"/>
  <c r="AJ153"/>
  <c r="AU153"/>
  <c r="AO155"/>
  <c r="AO159"/>
  <c r="BA159"/>
  <c r="AH161"/>
  <c r="AJ161"/>
  <c r="AU161"/>
  <c r="AJ165"/>
  <c r="AN167"/>
  <c r="AO167"/>
  <c r="BA167"/>
  <c r="AJ169"/>
  <c r="AU169"/>
  <c r="AO171"/>
  <c r="AH175"/>
  <c r="AP175"/>
  <c r="AY175"/>
  <c r="AH177"/>
  <c r="AO177"/>
  <c r="AP177"/>
  <c r="AY177"/>
  <c r="AH179"/>
  <c r="AH180"/>
  <c r="AK180"/>
  <c r="AL180"/>
  <c r="AP180"/>
  <c r="AT180"/>
  <c r="AU180"/>
  <c r="AY180"/>
  <c r="BB180"/>
  <c r="BC180"/>
  <c r="AP181"/>
  <c r="AH182"/>
  <c r="AL182"/>
  <c r="AP182"/>
  <c r="AU182"/>
  <c r="AY182"/>
  <c r="BC182"/>
  <c r="J182"/>
  <c r="AG182" s="1"/>
  <c r="AI182"/>
  <c r="I182"/>
  <c r="J181"/>
  <c r="AO181" s="1"/>
  <c r="I181"/>
  <c r="J180"/>
  <c r="AG180" s="1"/>
  <c r="F180"/>
  <c r="I180"/>
  <c r="J179"/>
  <c r="AY179" s="1"/>
  <c r="I179"/>
  <c r="J178"/>
  <c r="I178"/>
  <c r="J177"/>
  <c r="AG177" s="1"/>
  <c r="AL177"/>
  <c r="I177"/>
  <c r="J176"/>
  <c r="I176"/>
  <c r="J175"/>
  <c r="AG175" s="1"/>
  <c r="AL175"/>
  <c r="I175"/>
  <c r="J174"/>
  <c r="I174"/>
  <c r="J173"/>
  <c r="I173"/>
  <c r="J172"/>
  <c r="AG172"/>
  <c r="I172"/>
  <c r="J171"/>
  <c r="AN171" s="1"/>
  <c r="I171"/>
  <c r="J170"/>
  <c r="I170"/>
  <c r="J169"/>
  <c r="AH169" s="1"/>
  <c r="AO169"/>
  <c r="I169"/>
  <c r="J168"/>
  <c r="AG168" s="1"/>
  <c r="I168"/>
  <c r="J167"/>
  <c r="AY167" s="1"/>
  <c r="AJ167"/>
  <c r="I167"/>
  <c r="J166"/>
  <c r="I166"/>
  <c r="J165"/>
  <c r="AH165" s="1"/>
  <c r="I165"/>
  <c r="J164"/>
  <c r="AG164"/>
  <c r="I164"/>
  <c r="J163"/>
  <c r="I163"/>
  <c r="J162"/>
  <c r="I162"/>
  <c r="J161"/>
  <c r="AT161" s="1"/>
  <c r="AO161"/>
  <c r="I161"/>
  <c r="J160"/>
  <c r="I160"/>
  <c r="J159"/>
  <c r="AN159" s="1"/>
  <c r="AJ159"/>
  <c r="I159"/>
  <c r="J158"/>
  <c r="AV158" s="1"/>
  <c r="I158"/>
  <c r="J157"/>
  <c r="I157"/>
  <c r="J156"/>
  <c r="AG156"/>
  <c r="I156"/>
  <c r="J155"/>
  <c r="AN155" s="1"/>
  <c r="I155"/>
  <c r="J154"/>
  <c r="I154"/>
  <c r="J153"/>
  <c r="AH153" s="1"/>
  <c r="AO153"/>
  <c r="I153"/>
  <c r="J152"/>
  <c r="AG152" s="1"/>
  <c r="I152"/>
  <c r="J151"/>
  <c r="AY151" s="1"/>
  <c r="AJ151"/>
  <c r="I151"/>
  <c r="J150"/>
  <c r="I150"/>
  <c r="J149"/>
  <c r="AH149" s="1"/>
  <c r="I149"/>
  <c r="J148"/>
  <c r="AG148"/>
  <c r="I148"/>
  <c r="J147"/>
  <c r="I147"/>
  <c r="J146"/>
  <c r="AL146"/>
  <c r="I146"/>
  <c r="J145"/>
  <c r="AH145" s="1"/>
  <c r="I145"/>
  <c r="J144"/>
  <c r="I144"/>
  <c r="J143"/>
  <c r="AN143" s="1"/>
  <c r="AJ143"/>
  <c r="I143"/>
  <c r="J142"/>
  <c r="AL142" s="1"/>
  <c r="I142"/>
  <c r="J141"/>
  <c r="AT141" s="1"/>
  <c r="AO141"/>
  <c r="I141"/>
  <c r="J140"/>
  <c r="I140"/>
  <c r="J139"/>
  <c r="AN139" s="1"/>
  <c r="I139"/>
  <c r="J138"/>
  <c r="BC138"/>
  <c r="I138"/>
  <c r="J137"/>
  <c r="BB137" s="1"/>
  <c r="I137"/>
  <c r="J136"/>
  <c r="BC136"/>
  <c r="I136"/>
  <c r="J135"/>
  <c r="BD135" s="1"/>
  <c r="I135"/>
  <c r="J134"/>
  <c r="BB134" s="1"/>
  <c r="I134"/>
  <c r="J133"/>
  <c r="F133"/>
  <c r="I133"/>
  <c r="J132"/>
  <c r="F132" s="1"/>
  <c r="I132"/>
  <c r="J131"/>
  <c r="BD131"/>
  <c r="I131"/>
  <c r="J130"/>
  <c r="F130" s="1"/>
  <c r="I130"/>
  <c r="J129"/>
  <c r="BB129" s="1"/>
  <c r="I129"/>
  <c r="J128"/>
  <c r="BC128"/>
  <c r="I128"/>
  <c r="J127"/>
  <c r="BD127" s="1"/>
  <c r="I127"/>
  <c r="J126"/>
  <c r="BC126"/>
  <c r="I126"/>
  <c r="J125"/>
  <c r="BB125" s="1"/>
  <c r="I125"/>
  <c r="J124"/>
  <c r="BC124" s="1"/>
  <c r="I124"/>
  <c r="J123"/>
  <c r="I123"/>
  <c r="BD123"/>
  <c r="C139"/>
  <c r="C140"/>
  <c r="A140" s="1"/>
  <c r="C141"/>
  <c r="A141" s="1"/>
  <c r="C142"/>
  <c r="A142" s="1"/>
  <c r="C143"/>
  <c r="C144"/>
  <c r="A144" s="1"/>
  <c r="C145"/>
  <c r="A145" s="1"/>
  <c r="C146"/>
  <c r="A146" s="1"/>
  <c r="C147"/>
  <c r="C148"/>
  <c r="A148" s="1"/>
  <c r="C149"/>
  <c r="A149" s="1"/>
  <c r="C150"/>
  <c r="A150" s="1"/>
  <c r="F150"/>
  <c r="C151"/>
  <c r="C152"/>
  <c r="A152" s="1"/>
  <c r="C153"/>
  <c r="A153" s="1"/>
  <c r="C154"/>
  <c r="A154" s="1"/>
  <c r="C155"/>
  <c r="C156"/>
  <c r="A156" s="1"/>
  <c r="C157"/>
  <c r="A157" s="1"/>
  <c r="C158"/>
  <c r="A158" s="1"/>
  <c r="C159"/>
  <c r="C160"/>
  <c r="A160" s="1"/>
  <c r="C161"/>
  <c r="A161" s="1"/>
  <c r="C162"/>
  <c r="A162" s="1"/>
  <c r="C163"/>
  <c r="C164"/>
  <c r="A164" s="1"/>
  <c r="C165"/>
  <c r="A165" s="1"/>
  <c r="C166"/>
  <c r="A166" s="1"/>
  <c r="C167"/>
  <c r="C168"/>
  <c r="A168" s="1"/>
  <c r="C169"/>
  <c r="A169" s="1"/>
  <c r="C170"/>
  <c r="A170" s="1"/>
  <c r="F170"/>
  <c r="C171"/>
  <c r="C172"/>
  <c r="A172" s="1"/>
  <c r="C173"/>
  <c r="C174"/>
  <c r="A174" s="1"/>
  <c r="C175"/>
  <c r="C176"/>
  <c r="A176" s="1"/>
  <c r="C177"/>
  <c r="A177" s="1"/>
  <c r="C178"/>
  <c r="A178" s="1"/>
  <c r="C179"/>
  <c r="C180"/>
  <c r="A180" s="1"/>
  <c r="C181"/>
  <c r="A181" s="1"/>
  <c r="C182"/>
  <c r="A182" s="1"/>
  <c r="F182"/>
  <c r="C124"/>
  <c r="A124" s="1"/>
  <c r="C125"/>
  <c r="A125" s="1"/>
  <c r="C126"/>
  <c r="A126" s="1"/>
  <c r="C127"/>
  <c r="C128"/>
  <c r="A128" s="1"/>
  <c r="C129"/>
  <c r="A129" s="1"/>
  <c r="C130"/>
  <c r="A130" s="1"/>
  <c r="C131"/>
  <c r="C132"/>
  <c r="A132" s="1"/>
  <c r="C133"/>
  <c r="A133" s="1"/>
  <c r="C134"/>
  <c r="A134" s="1"/>
  <c r="C135"/>
  <c r="C136"/>
  <c r="A136" s="1"/>
  <c r="C137"/>
  <c r="C138"/>
  <c r="A138" s="1"/>
  <c r="C123"/>
  <c r="J122"/>
  <c r="AY122"/>
  <c r="I122"/>
  <c r="J121"/>
  <c r="BD121" s="1"/>
  <c r="I121"/>
  <c r="J120"/>
  <c r="I120"/>
  <c r="J119"/>
  <c r="I119"/>
  <c r="J118"/>
  <c r="AU118"/>
  <c r="I118"/>
  <c r="J117"/>
  <c r="BD117" s="1"/>
  <c r="I117"/>
  <c r="J116"/>
  <c r="AQ116" s="1"/>
  <c r="I116"/>
  <c r="J115"/>
  <c r="I115"/>
  <c r="J114"/>
  <c r="BC114"/>
  <c r="I114"/>
  <c r="J113"/>
  <c r="AV113" s="1"/>
  <c r="I113"/>
  <c r="J112"/>
  <c r="I112"/>
  <c r="J111"/>
  <c r="I111"/>
  <c r="J110"/>
  <c r="AU110"/>
  <c r="I110"/>
  <c r="J109"/>
  <c r="I109"/>
  <c r="J108"/>
  <c r="AI108" s="1"/>
  <c r="I108"/>
  <c r="J107"/>
  <c r="BA107"/>
  <c r="I107"/>
  <c r="J106"/>
  <c r="AL106" s="1"/>
  <c r="I106"/>
  <c r="J105"/>
  <c r="I105"/>
  <c r="J104"/>
  <c r="I104"/>
  <c r="J103"/>
  <c r="AG103" s="1"/>
  <c r="BA103"/>
  <c r="I103"/>
  <c r="J102"/>
  <c r="AU102" s="1"/>
  <c r="I102"/>
  <c r="J101"/>
  <c r="AM101"/>
  <c r="I101"/>
  <c r="J100"/>
  <c r="I100"/>
  <c r="J99"/>
  <c r="BA99" s="1"/>
  <c r="I99"/>
  <c r="J98"/>
  <c r="BB98"/>
  <c r="I98"/>
  <c r="J97"/>
  <c r="F97" s="1"/>
  <c r="I97"/>
  <c r="J96"/>
  <c r="AF96" s="1"/>
  <c r="I96"/>
  <c r="J95"/>
  <c r="BB95"/>
  <c r="I95"/>
  <c r="J94"/>
  <c r="AY94" s="1"/>
  <c r="I94"/>
  <c r="J93"/>
  <c r="AV93"/>
  <c r="I93"/>
  <c r="J92"/>
  <c r="I92"/>
  <c r="J91"/>
  <c r="I91"/>
  <c r="J90"/>
  <c r="F90" s="1"/>
  <c r="I90"/>
  <c r="J89"/>
  <c r="F89" s="1"/>
  <c r="I89"/>
  <c r="J88"/>
  <c r="AS88"/>
  <c r="I88"/>
  <c r="J87"/>
  <c r="AG87" s="1"/>
  <c r="I87"/>
  <c r="J86"/>
  <c r="AU86"/>
  <c r="I86"/>
  <c r="J85"/>
  <c r="I85"/>
  <c r="J84"/>
  <c r="BD84" s="1"/>
  <c r="I84"/>
  <c r="J83"/>
  <c r="I83"/>
  <c r="J82"/>
  <c r="BA82" s="1"/>
  <c r="I82"/>
  <c r="J81"/>
  <c r="BD81"/>
  <c r="I81"/>
  <c r="J80"/>
  <c r="I80"/>
  <c r="J79"/>
  <c r="AY79" s="1"/>
  <c r="I79"/>
  <c r="J78"/>
  <c r="AP78"/>
  <c r="I78"/>
  <c r="J77"/>
  <c r="I77"/>
  <c r="J76"/>
  <c r="BB76" s="1"/>
  <c r="I76"/>
  <c r="J75"/>
  <c r="I75"/>
  <c r="J74"/>
  <c r="AI74"/>
  <c r="I74"/>
  <c r="J73"/>
  <c r="F73" s="1"/>
  <c r="I73"/>
  <c r="J72"/>
  <c r="I72"/>
  <c r="J71"/>
  <c r="AX71" s="1"/>
  <c r="I71"/>
  <c r="J70"/>
  <c r="F70"/>
  <c r="I70"/>
  <c r="J69"/>
  <c r="I69"/>
  <c r="J68"/>
  <c r="BC68" s="1"/>
  <c r="I68"/>
  <c r="J67"/>
  <c r="I67"/>
  <c r="J66"/>
  <c r="I66"/>
  <c r="J65"/>
  <c r="BD65"/>
  <c r="I65"/>
  <c r="J64"/>
  <c r="I64"/>
  <c r="J63"/>
  <c r="AX63" s="1"/>
  <c r="I63"/>
  <c r="C122"/>
  <c r="C121"/>
  <c r="A121" s="1"/>
  <c r="C120"/>
  <c r="A120" s="1"/>
  <c r="C119"/>
  <c r="C118"/>
  <c r="C117"/>
  <c r="A117" s="1"/>
  <c r="C116"/>
  <c r="A116" s="1"/>
  <c r="BB115"/>
  <c r="C115"/>
  <c r="A115" s="1"/>
  <c r="C114"/>
  <c r="C113"/>
  <c r="A113" s="1"/>
  <c r="C112"/>
  <c r="A112" s="1"/>
  <c r="C111"/>
  <c r="A111" s="1"/>
  <c r="C110"/>
  <c r="C109"/>
  <c r="A109" s="1"/>
  <c r="C108"/>
  <c r="A108" s="1"/>
  <c r="C107"/>
  <c r="A107" s="1"/>
  <c r="C106"/>
  <c r="C105"/>
  <c r="A105" s="1"/>
  <c r="C104"/>
  <c r="A104" s="1"/>
  <c r="C103"/>
  <c r="A103" s="1"/>
  <c r="C102"/>
  <c r="C101"/>
  <c r="A101" s="1"/>
  <c r="C100"/>
  <c r="A100" s="1"/>
  <c r="C99"/>
  <c r="A99" s="1"/>
  <c r="C98"/>
  <c r="C97"/>
  <c r="A97" s="1"/>
  <c r="C96"/>
  <c r="C95"/>
  <c r="A95" s="1"/>
  <c r="C94"/>
  <c r="C93"/>
  <c r="A93" s="1"/>
  <c r="C92"/>
  <c r="A92" s="1"/>
  <c r="C91"/>
  <c r="A91" s="1"/>
  <c r="C90"/>
  <c r="C89"/>
  <c r="A89" s="1"/>
  <c r="C88"/>
  <c r="A88" s="1"/>
  <c r="C87"/>
  <c r="A87" s="1"/>
  <c r="C86"/>
  <c r="C85"/>
  <c r="A85" s="1"/>
  <c r="C84"/>
  <c r="A84" s="1"/>
  <c r="C83"/>
  <c r="A83" s="1"/>
  <c r="C82"/>
  <c r="C81"/>
  <c r="A81" s="1"/>
  <c r="C80"/>
  <c r="A80" s="1"/>
  <c r="C79"/>
  <c r="A79" s="1"/>
  <c r="C78"/>
  <c r="C77"/>
  <c r="A77" s="1"/>
  <c r="C76"/>
  <c r="A76" s="1"/>
  <c r="C75"/>
  <c r="A75" s="1"/>
  <c r="C74"/>
  <c r="C73"/>
  <c r="A73" s="1"/>
  <c r="C72"/>
  <c r="A72" s="1"/>
  <c r="C71"/>
  <c r="A71" s="1"/>
  <c r="C70"/>
  <c r="C69"/>
  <c r="A69" s="1"/>
  <c r="C68"/>
  <c r="A68" s="1"/>
  <c r="C67"/>
  <c r="A67" s="1"/>
  <c r="C66"/>
  <c r="C65"/>
  <c r="A65" s="1"/>
  <c r="C64"/>
  <c r="A64" s="1"/>
  <c r="C63"/>
  <c r="A63" s="1"/>
  <c r="AM121"/>
  <c r="BA120"/>
  <c r="AJ120"/>
  <c r="F120"/>
  <c r="AM117"/>
  <c r="AI116"/>
  <c r="AI115"/>
  <c r="AL114"/>
  <c r="AN112"/>
  <c r="AF112"/>
  <c r="BA111"/>
  <c r="AZ108"/>
  <c r="AW104"/>
  <c r="AN104"/>
  <c r="AS103"/>
  <c r="AF99"/>
  <c r="AW96"/>
  <c r="AQ95"/>
  <c r="BB93"/>
  <c r="BD91"/>
  <c r="BD88"/>
  <c r="AH88"/>
  <c r="AJ86"/>
  <c r="AW84"/>
  <c r="AP84"/>
  <c r="BB83"/>
  <c r="AV81"/>
  <c r="AM81"/>
  <c r="BA80"/>
  <c r="BD77"/>
  <c r="AV77"/>
  <c r="AW76"/>
  <c r="AQ76"/>
  <c r="AF76"/>
  <c r="BA73"/>
  <c r="AP71"/>
  <c r="AZ70"/>
  <c r="BA68"/>
  <c r="AV68"/>
  <c r="AO68"/>
  <c r="AQ65"/>
  <c r="AI65"/>
  <c r="J62"/>
  <c r="I62"/>
  <c r="C62"/>
  <c r="A62" s="1"/>
  <c r="J61"/>
  <c r="F61" s="1"/>
  <c r="I61"/>
  <c r="C61"/>
  <c r="A61" s="1"/>
  <c r="AJ60"/>
  <c r="J60"/>
  <c r="I60"/>
  <c r="C60"/>
  <c r="A60" s="1"/>
  <c r="J59"/>
  <c r="AL59" s="1"/>
  <c r="I59"/>
  <c r="F59"/>
  <c r="C59"/>
  <c r="J58"/>
  <c r="AM58"/>
  <c r="I58"/>
  <c r="C58"/>
  <c r="A58" s="1"/>
  <c r="J57"/>
  <c r="BB57"/>
  <c r="I57"/>
  <c r="F57"/>
  <c r="C57"/>
  <c r="A57" s="1"/>
  <c r="AV56"/>
  <c r="J56"/>
  <c r="AF56" s="1"/>
  <c r="I56"/>
  <c r="F56"/>
  <c r="C56"/>
  <c r="A56" s="1"/>
  <c r="J55"/>
  <c r="AL55"/>
  <c r="I55"/>
  <c r="C55"/>
  <c r="J54"/>
  <c r="AZ54"/>
  <c r="I54"/>
  <c r="C54"/>
  <c r="A54" s="1"/>
  <c r="J53"/>
  <c r="BA53"/>
  <c r="I53"/>
  <c r="C53"/>
  <c r="A53" s="1"/>
  <c r="J52"/>
  <c r="BB52"/>
  <c r="I52"/>
  <c r="C52"/>
  <c r="A52" s="1"/>
  <c r="J51"/>
  <c r="AT51"/>
  <c r="I51"/>
  <c r="C51"/>
  <c r="J50"/>
  <c r="BD50"/>
  <c r="I50"/>
  <c r="F50"/>
  <c r="C50"/>
  <c r="A50" s="1"/>
  <c r="J49"/>
  <c r="BA49"/>
  <c r="I49"/>
  <c r="C49"/>
  <c r="A49" s="1"/>
  <c r="J48"/>
  <c r="BB48"/>
  <c r="I48"/>
  <c r="C48"/>
  <c r="A48" s="1"/>
  <c r="J47"/>
  <c r="AG47" s="1"/>
  <c r="BD47"/>
  <c r="I47"/>
  <c r="C47"/>
  <c r="J46"/>
  <c r="BD46"/>
  <c r="I46"/>
  <c r="C46"/>
  <c r="A46" s="1"/>
  <c r="J45"/>
  <c r="I45"/>
  <c r="C45"/>
  <c r="A45" s="1"/>
  <c r="J44"/>
  <c r="I44"/>
  <c r="C44"/>
  <c r="A44" s="1"/>
  <c r="AO43"/>
  <c r="J43"/>
  <c r="BA43"/>
  <c r="I43"/>
  <c r="F43"/>
  <c r="C43"/>
  <c r="J42"/>
  <c r="AN42"/>
  <c r="I42"/>
  <c r="C42"/>
  <c r="A42" s="1"/>
  <c r="J41"/>
  <c r="F41" s="1"/>
  <c r="AZ41"/>
  <c r="I41"/>
  <c r="C41"/>
  <c r="A41" s="1"/>
  <c r="J40"/>
  <c r="I40"/>
  <c r="C40"/>
  <c r="A40" s="1"/>
  <c r="AV39"/>
  <c r="J39"/>
  <c r="AW39" s="1"/>
  <c r="I39"/>
  <c r="F39"/>
  <c r="C39"/>
  <c r="J38"/>
  <c r="AN38"/>
  <c r="I38"/>
  <c r="C38"/>
  <c r="A38" s="1"/>
  <c r="J37"/>
  <c r="I37"/>
  <c r="F37"/>
  <c r="C37"/>
  <c r="A37" s="1"/>
  <c r="J36"/>
  <c r="BA36"/>
  <c r="I36"/>
  <c r="C36"/>
  <c r="A36" s="1"/>
  <c r="J35"/>
  <c r="BD35" s="1"/>
  <c r="AV35"/>
  <c r="I35"/>
  <c r="C35"/>
  <c r="J34"/>
  <c r="F34" s="1"/>
  <c r="BC34"/>
  <c r="I34"/>
  <c r="C34"/>
  <c r="A34" s="1"/>
  <c r="J33"/>
  <c r="BB33" s="1"/>
  <c r="I33"/>
  <c r="C33"/>
  <c r="A33" s="1"/>
  <c r="J32"/>
  <c r="I32"/>
  <c r="C32"/>
  <c r="A32" s="1"/>
  <c r="J31"/>
  <c r="BB31" s="1"/>
  <c r="I31"/>
  <c r="C31"/>
  <c r="J30"/>
  <c r="I30"/>
  <c r="F30"/>
  <c r="C30"/>
  <c r="A30" s="1"/>
  <c r="J29"/>
  <c r="AS29"/>
  <c r="I29"/>
  <c r="C29"/>
  <c r="A29" s="1"/>
  <c r="J28"/>
  <c r="BA28"/>
  <c r="I28"/>
  <c r="C28"/>
  <c r="A28" s="1"/>
  <c r="J27"/>
  <c r="I27"/>
  <c r="C27"/>
  <c r="J26"/>
  <c r="AZ26" s="1"/>
  <c r="I26"/>
  <c r="C26"/>
  <c r="A26" s="1"/>
  <c r="J25"/>
  <c r="F25" s="1"/>
  <c r="I25"/>
  <c r="C25"/>
  <c r="A25" s="1"/>
  <c r="J24"/>
  <c r="I24"/>
  <c r="C24"/>
  <c r="A24" s="1"/>
  <c r="AM23"/>
  <c r="J23"/>
  <c r="I23"/>
  <c r="C23"/>
  <c r="J22"/>
  <c r="I22"/>
  <c r="C22"/>
  <c r="A22" s="1"/>
  <c r="J21"/>
  <c r="AS21" s="1"/>
  <c r="I21"/>
  <c r="C21"/>
  <c r="A21" s="1"/>
  <c r="J20"/>
  <c r="F20" s="1"/>
  <c r="I20"/>
  <c r="C20"/>
  <c r="A20" s="1"/>
  <c r="J19"/>
  <c r="BA19" s="1"/>
  <c r="I19"/>
  <c r="C19"/>
  <c r="J18"/>
  <c r="BB18" s="1"/>
  <c r="I18"/>
  <c r="C18"/>
  <c r="A18" s="1"/>
  <c r="J17"/>
  <c r="I17"/>
  <c r="C17"/>
  <c r="A17" s="1"/>
  <c r="J16"/>
  <c r="AF16" s="1"/>
  <c r="I16"/>
  <c r="C16"/>
  <c r="A16" s="1"/>
  <c r="J15"/>
  <c r="BA15" s="1"/>
  <c r="I15"/>
  <c r="C15"/>
  <c r="J14"/>
  <c r="BB14" s="1"/>
  <c r="I14"/>
  <c r="C14"/>
  <c r="A14" s="1"/>
  <c r="J13"/>
  <c r="I13"/>
  <c r="C13"/>
  <c r="A13" s="1"/>
  <c r="J12"/>
  <c r="BC12" s="1"/>
  <c r="I12"/>
  <c r="C12"/>
  <c r="A12" s="1"/>
  <c r="J11"/>
  <c r="BA11" s="1"/>
  <c r="I11"/>
  <c r="C11"/>
  <c r="J10"/>
  <c r="BB10" s="1"/>
  <c r="I10"/>
  <c r="C10"/>
  <c r="A10" s="1"/>
  <c r="J9"/>
  <c r="I9"/>
  <c r="C9"/>
  <c r="A9" s="1"/>
  <c r="J8"/>
  <c r="BC8" s="1"/>
  <c r="I8"/>
  <c r="C8"/>
  <c r="A8" s="1"/>
  <c r="J7"/>
  <c r="BB7" s="1"/>
  <c r="I7"/>
  <c r="C7"/>
  <c r="J6"/>
  <c r="AY6" s="1"/>
  <c r="I6"/>
  <c r="C6"/>
  <c r="A6" s="1"/>
  <c r="J5"/>
  <c r="I5"/>
  <c r="C5"/>
  <c r="A5" s="1"/>
  <c r="J4"/>
  <c r="BC4" s="1"/>
  <c r="I4"/>
  <c r="C4"/>
  <c r="A4" s="1"/>
  <c r="C3"/>
  <c r="J3"/>
  <c r="BB3"/>
  <c r="I3"/>
  <c r="BC130"/>
  <c r="AD2"/>
  <c r="AC2"/>
  <c r="AB2"/>
  <c r="AA2"/>
  <c r="Z2"/>
  <c r="Y2"/>
  <c r="X2"/>
  <c r="W2"/>
  <c r="V2"/>
  <c r="U2"/>
  <c r="T2"/>
  <c r="S2"/>
  <c r="R2"/>
  <c r="Q2"/>
  <c r="P2"/>
  <c r="O2"/>
  <c r="N2"/>
  <c r="M2"/>
  <c r="L2"/>
  <c r="K2"/>
  <c r="H17" i="33"/>
  <c r="G17"/>
  <c r="X80" i="31"/>
  <c r="W80"/>
  <c r="V80"/>
  <c r="U80"/>
  <c r="T80"/>
  <c r="S80"/>
  <c r="R80"/>
  <c r="Q80"/>
  <c r="P80"/>
  <c r="O80"/>
  <c r="N80"/>
  <c r="M80"/>
  <c r="L80"/>
  <c r="K80"/>
  <c r="J80"/>
  <c r="I80"/>
  <c r="H80"/>
  <c r="G80"/>
  <c r="F80"/>
  <c r="E80"/>
  <c r="X223"/>
  <c r="W223"/>
  <c r="V223"/>
  <c r="U223"/>
  <c r="T223"/>
  <c r="S223"/>
  <c r="R223"/>
  <c r="Q223"/>
  <c r="P223"/>
  <c r="O223"/>
  <c r="N223"/>
  <c r="M223"/>
  <c r="L223"/>
  <c r="K223"/>
  <c r="J223"/>
  <c r="I223"/>
  <c r="H223"/>
  <c r="G223"/>
  <c r="F223"/>
  <c r="E223"/>
  <c r="X184"/>
  <c r="W184"/>
  <c r="V184"/>
  <c r="U184"/>
  <c r="T184"/>
  <c r="S184"/>
  <c r="R184"/>
  <c r="Q184"/>
  <c r="P184"/>
  <c r="O184"/>
  <c r="N184"/>
  <c r="M184"/>
  <c r="L184"/>
  <c r="K184"/>
  <c r="J184"/>
  <c r="I184"/>
  <c r="H184"/>
  <c r="G184"/>
  <c r="F184"/>
  <c r="E184"/>
  <c r="X147"/>
  <c r="W147"/>
  <c r="V147"/>
  <c r="U147"/>
  <c r="T147"/>
  <c r="S147"/>
  <c r="R147"/>
  <c r="Q147"/>
  <c r="P147"/>
  <c r="O147"/>
  <c r="N147"/>
  <c r="M147"/>
  <c r="L147"/>
  <c r="K147"/>
  <c r="J147"/>
  <c r="I147"/>
  <c r="H147"/>
  <c r="G147"/>
  <c r="F147"/>
  <c r="E147"/>
  <c r="X223" i="18"/>
  <c r="W223"/>
  <c r="V223"/>
  <c r="U223"/>
  <c r="T223"/>
  <c r="S223"/>
  <c r="R223"/>
  <c r="Q223"/>
  <c r="P223"/>
  <c r="O223"/>
  <c r="N223"/>
  <c r="M223"/>
  <c r="L223"/>
  <c r="K223"/>
  <c r="J223"/>
  <c r="I223"/>
  <c r="H223"/>
  <c r="G223"/>
  <c r="F223"/>
  <c r="E223"/>
  <c r="X184"/>
  <c r="W184"/>
  <c r="V184"/>
  <c r="U184"/>
  <c r="T184"/>
  <c r="S184"/>
  <c r="R184"/>
  <c r="Q184"/>
  <c r="P184"/>
  <c r="O184"/>
  <c r="N184"/>
  <c r="M184"/>
  <c r="L184"/>
  <c r="K184"/>
  <c r="J184"/>
  <c r="I184"/>
  <c r="H184"/>
  <c r="G184"/>
  <c r="F184"/>
  <c r="E184"/>
  <c r="X147"/>
  <c r="W147"/>
  <c r="V147"/>
  <c r="U147"/>
  <c r="T147"/>
  <c r="S147"/>
  <c r="R147"/>
  <c r="Q147"/>
  <c r="P147"/>
  <c r="O147"/>
  <c r="N147"/>
  <c r="M147"/>
  <c r="L147"/>
  <c r="K147"/>
  <c r="J147"/>
  <c r="I147"/>
  <c r="H147"/>
  <c r="G147"/>
  <c r="F147"/>
  <c r="E147"/>
  <c r="X80"/>
  <c r="W80"/>
  <c r="V80"/>
  <c r="U80"/>
  <c r="T80"/>
  <c r="S80"/>
  <c r="R80"/>
  <c r="Q80"/>
  <c r="P80"/>
  <c r="O80"/>
  <c r="N80"/>
  <c r="M80"/>
  <c r="L80"/>
  <c r="K80"/>
  <c r="J80"/>
  <c r="I80"/>
  <c r="H80"/>
  <c r="G80"/>
  <c r="F80"/>
  <c r="E80"/>
  <c r="X147" i="29"/>
  <c r="W147"/>
  <c r="V147"/>
  <c r="U147"/>
  <c r="T147"/>
  <c r="S147"/>
  <c r="R147"/>
  <c r="Q147"/>
  <c r="P147"/>
  <c r="O147"/>
  <c r="N147"/>
  <c r="M147"/>
  <c r="L147"/>
  <c r="K147"/>
  <c r="J147"/>
  <c r="I147"/>
  <c r="H147"/>
  <c r="G147"/>
  <c r="F147"/>
  <c r="E147"/>
  <c r="X110"/>
  <c r="W110"/>
  <c r="V110"/>
  <c r="U110"/>
  <c r="T110"/>
  <c r="S110"/>
  <c r="R110"/>
  <c r="Q110"/>
  <c r="P110"/>
  <c r="O110"/>
  <c r="N110"/>
  <c r="M110"/>
  <c r="L110"/>
  <c r="K110"/>
  <c r="J110"/>
  <c r="I110"/>
  <c r="H110"/>
  <c r="G110"/>
  <c r="F110"/>
  <c r="E110"/>
  <c r="X43"/>
  <c r="W43"/>
  <c r="V43"/>
  <c r="U43"/>
  <c r="T43"/>
  <c r="S43"/>
  <c r="R43"/>
  <c r="Q43"/>
  <c r="P43"/>
  <c r="O43"/>
  <c r="N43"/>
  <c r="M43"/>
  <c r="L43"/>
  <c r="K43"/>
  <c r="J43"/>
  <c r="I43"/>
  <c r="H43"/>
  <c r="G43"/>
  <c r="F43"/>
  <c r="E43"/>
  <c r="X147" i="17"/>
  <c r="W147"/>
  <c r="V147"/>
  <c r="U147"/>
  <c r="T147"/>
  <c r="S147"/>
  <c r="R147"/>
  <c r="Q147"/>
  <c r="P147"/>
  <c r="O147"/>
  <c r="N147"/>
  <c r="M147"/>
  <c r="L147"/>
  <c r="K147"/>
  <c r="J147"/>
  <c r="I147"/>
  <c r="H147"/>
  <c r="G147"/>
  <c r="F147"/>
  <c r="E147"/>
  <c r="X110"/>
  <c r="W110"/>
  <c r="V110"/>
  <c r="U110"/>
  <c r="T110"/>
  <c r="S110"/>
  <c r="R110"/>
  <c r="Q110"/>
  <c r="P110"/>
  <c r="O110"/>
  <c r="N110"/>
  <c r="M110"/>
  <c r="L110"/>
  <c r="K110"/>
  <c r="J110"/>
  <c r="I110"/>
  <c r="H110"/>
  <c r="G110"/>
  <c r="F110"/>
  <c r="E110"/>
  <c r="X43"/>
  <c r="W43"/>
  <c r="V43"/>
  <c r="U43"/>
  <c r="T43"/>
  <c r="S43"/>
  <c r="R43"/>
  <c r="Q43"/>
  <c r="P43"/>
  <c r="O43"/>
  <c r="N43"/>
  <c r="M43"/>
  <c r="L43"/>
  <c r="K43"/>
  <c r="J43"/>
  <c r="I43"/>
  <c r="H43"/>
  <c r="G43"/>
  <c r="F43"/>
  <c r="E43"/>
  <c r="F140" i="34"/>
  <c r="AQ140"/>
  <c r="AV140"/>
  <c r="AH140"/>
  <c r="AN140"/>
  <c r="AJ140"/>
  <c r="AO140"/>
  <c r="F144"/>
  <c r="AI144"/>
  <c r="AM144"/>
  <c r="AQ144"/>
  <c r="AV144"/>
  <c r="AZ144"/>
  <c r="BD144"/>
  <c r="AH144"/>
  <c r="AN144"/>
  <c r="AT144"/>
  <c r="AY144"/>
  <c r="AJ144"/>
  <c r="AO144"/>
  <c r="AU144"/>
  <c r="BA144"/>
  <c r="AM150"/>
  <c r="AQ150"/>
  <c r="BD150"/>
  <c r="AH150"/>
  <c r="AY150"/>
  <c r="AJ150"/>
  <c r="BA150"/>
  <c r="AI154"/>
  <c r="AM154"/>
  <c r="AQ154"/>
  <c r="AV154"/>
  <c r="AZ154"/>
  <c r="BD154"/>
  <c r="AH154"/>
  <c r="AN154"/>
  <c r="AT154"/>
  <c r="AY154"/>
  <c r="AJ154"/>
  <c r="AO154"/>
  <c r="AU154"/>
  <c r="BA154"/>
  <c r="AI158"/>
  <c r="AM158"/>
  <c r="AQ158"/>
  <c r="AZ158"/>
  <c r="BD158"/>
  <c r="AH158"/>
  <c r="AT158"/>
  <c r="AY158"/>
  <c r="F158"/>
  <c r="AO158"/>
  <c r="AU158"/>
  <c r="BA158"/>
  <c r="AI162"/>
  <c r="AM162"/>
  <c r="AQ162"/>
  <c r="AV162"/>
  <c r="AZ162"/>
  <c r="BD162"/>
  <c r="AH162"/>
  <c r="AN162"/>
  <c r="AT162"/>
  <c r="AY162"/>
  <c r="AJ162"/>
  <c r="AO162"/>
  <c r="AU162"/>
  <c r="BA162"/>
  <c r="AI166"/>
  <c r="AM166"/>
  <c r="AZ166"/>
  <c r="BD166"/>
  <c r="AT166"/>
  <c r="AY166"/>
  <c r="AU166"/>
  <c r="BA166"/>
  <c r="AI170"/>
  <c r="AM170"/>
  <c r="AQ170"/>
  <c r="AV170"/>
  <c r="AZ170"/>
  <c r="BD170"/>
  <c r="AH170"/>
  <c r="AN170"/>
  <c r="AT170"/>
  <c r="AY170"/>
  <c r="AJ170"/>
  <c r="AO170"/>
  <c r="AU170"/>
  <c r="BA170"/>
  <c r="AI174"/>
  <c r="AH174"/>
  <c r="AM174"/>
  <c r="AQ174"/>
  <c r="AV174"/>
  <c r="AZ174"/>
  <c r="BD174"/>
  <c r="F174"/>
  <c r="AJ174"/>
  <c r="AN174"/>
  <c r="AS174"/>
  <c r="AW174"/>
  <c r="BA174"/>
  <c r="AI178"/>
  <c r="AM178"/>
  <c r="AQ178"/>
  <c r="AV178"/>
  <c r="AZ178"/>
  <c r="BD178"/>
  <c r="AF178"/>
  <c r="AJ178"/>
  <c r="AN178"/>
  <c r="AS178"/>
  <c r="AW178"/>
  <c r="BA178"/>
  <c r="BB61"/>
  <c r="BA69"/>
  <c r="AW73"/>
  <c r="BD64"/>
  <c r="AG64"/>
  <c r="AZ66"/>
  <c r="AV66"/>
  <c r="BD68"/>
  <c r="AJ68"/>
  <c r="AZ76"/>
  <c r="AK76"/>
  <c r="BA84"/>
  <c r="AH84"/>
  <c r="AS90"/>
  <c r="AU92"/>
  <c r="AJ92"/>
  <c r="BA96"/>
  <c r="AN96"/>
  <c r="BA104"/>
  <c r="AF104"/>
  <c r="BD108"/>
  <c r="AQ108"/>
  <c r="BA112"/>
  <c r="AW112"/>
  <c r="BD116"/>
  <c r="AZ116"/>
  <c r="AW120"/>
  <c r="AS120"/>
  <c r="AX176"/>
  <c r="AO176"/>
  <c r="AX174"/>
  <c r="AF174"/>
  <c r="AK172"/>
  <c r="AP170"/>
  <c r="AW168"/>
  <c r="AP166"/>
  <c r="AW164"/>
  <c r="BB162"/>
  <c r="AP158"/>
  <c r="AW156"/>
  <c r="AP154"/>
  <c r="AW152"/>
  <c r="BB150"/>
  <c r="AF150"/>
  <c r="F178"/>
  <c r="F154"/>
  <c r="AY176"/>
  <c r="AY174"/>
  <c r="AX172"/>
  <c r="BC170"/>
  <c r="AG170"/>
  <c r="AS166"/>
  <c r="F12"/>
  <c r="F29"/>
  <c r="F28"/>
  <c r="F46"/>
  <c r="AZ49"/>
  <c r="F52"/>
  <c r="AG53"/>
  <c r="F60"/>
  <c r="AK60"/>
  <c r="AZ65"/>
  <c r="AJ69"/>
  <c r="AJ73"/>
  <c r="F93"/>
  <c r="BD103"/>
  <c r="AJ107"/>
  <c r="A96"/>
  <c r="F166"/>
  <c r="F146"/>
  <c r="BC181"/>
  <c r="AU181"/>
  <c r="BC179"/>
  <c r="BC178"/>
  <c r="AU178"/>
  <c r="AL178"/>
  <c r="BC177"/>
  <c r="AU177"/>
  <c r="BC176"/>
  <c r="AU176"/>
  <c r="BC175"/>
  <c r="AU175"/>
  <c r="BC174"/>
  <c r="AU174"/>
  <c r="AL174"/>
  <c r="BC172"/>
  <c r="AS172"/>
  <c r="AU171"/>
  <c r="AX170"/>
  <c r="AL170"/>
  <c r="BA169"/>
  <c r="BC168"/>
  <c r="AS168"/>
  <c r="AU167"/>
  <c r="AX166"/>
  <c r="BA165"/>
  <c r="BC164"/>
  <c r="AS164"/>
  <c r="AX162"/>
  <c r="AL162"/>
  <c r="BA161"/>
  <c r="AU159"/>
  <c r="AX158"/>
  <c r="AL158"/>
  <c r="BC156"/>
  <c r="AS156"/>
  <c r="AU155"/>
  <c r="AX154"/>
  <c r="AL154"/>
  <c r="BA153"/>
  <c r="BC152"/>
  <c r="AS152"/>
  <c r="AU151"/>
  <c r="AX150"/>
  <c r="BA149"/>
  <c r="BC148"/>
  <c r="AS148"/>
  <c r="AX146"/>
  <c r="BA145"/>
  <c r="BC144"/>
  <c r="AS144"/>
  <c r="AG144"/>
  <c r="AU143"/>
  <c r="AX142"/>
  <c r="BA141"/>
  <c r="AS140"/>
  <c r="AG140"/>
  <c r="AU139"/>
  <c r="AI142"/>
  <c r="AM142"/>
  <c r="AQ142"/>
  <c r="AV142"/>
  <c r="AZ142"/>
  <c r="BD142"/>
  <c r="AH142"/>
  <c r="AN142"/>
  <c r="AT142"/>
  <c r="AY142"/>
  <c r="F142"/>
  <c r="AJ142"/>
  <c r="AO142"/>
  <c r="AU142"/>
  <c r="BA142"/>
  <c r="AI146"/>
  <c r="AM146"/>
  <c r="AQ146"/>
  <c r="AV146"/>
  <c r="AZ146"/>
  <c r="BD146"/>
  <c r="AH146"/>
  <c r="AN146"/>
  <c r="AT146"/>
  <c r="AY146"/>
  <c r="AJ146"/>
  <c r="AO146"/>
  <c r="AU146"/>
  <c r="BA146"/>
  <c r="F148"/>
  <c r="AI148"/>
  <c r="AM148"/>
  <c r="AQ148"/>
  <c r="AV148"/>
  <c r="AZ148"/>
  <c r="BD148"/>
  <c r="AH148"/>
  <c r="AN148"/>
  <c r="AT148"/>
  <c r="AY148"/>
  <c r="AJ148"/>
  <c r="AO148"/>
  <c r="AU148"/>
  <c r="BA148"/>
  <c r="F152"/>
  <c r="AI152"/>
  <c r="AM152"/>
  <c r="AQ152"/>
  <c r="AV152"/>
  <c r="AZ152"/>
  <c r="BD152"/>
  <c r="AH152"/>
  <c r="AN152"/>
  <c r="AT152"/>
  <c r="AY152"/>
  <c r="AJ152"/>
  <c r="AO152"/>
  <c r="AU152"/>
  <c r="BA152"/>
  <c r="F156"/>
  <c r="AI156"/>
  <c r="AM156"/>
  <c r="AQ156"/>
  <c r="AV156"/>
  <c r="AZ156"/>
  <c r="BD156"/>
  <c r="AH156"/>
  <c r="AN156"/>
  <c r="AT156"/>
  <c r="AY156"/>
  <c r="AJ156"/>
  <c r="AO156"/>
  <c r="AU156"/>
  <c r="BA156"/>
  <c r="F160"/>
  <c r="AQ160"/>
  <c r="AV160"/>
  <c r="AH160"/>
  <c r="AN160"/>
  <c r="AJ160"/>
  <c r="AO160"/>
  <c r="F164"/>
  <c r="AI164"/>
  <c r="AM164"/>
  <c r="AQ164"/>
  <c r="AV164"/>
  <c r="AZ164"/>
  <c r="BD164"/>
  <c r="AH164"/>
  <c r="AN164"/>
  <c r="AT164"/>
  <c r="AY164"/>
  <c r="AJ164"/>
  <c r="AO164"/>
  <c r="AU164"/>
  <c r="BA164"/>
  <c r="F168"/>
  <c r="AI168"/>
  <c r="AM168"/>
  <c r="AQ168"/>
  <c r="AV168"/>
  <c r="AZ168"/>
  <c r="BD168"/>
  <c r="AH168"/>
  <c r="AN168"/>
  <c r="AT168"/>
  <c r="AY168"/>
  <c r="AJ168"/>
  <c r="AO168"/>
  <c r="AU168"/>
  <c r="BA168"/>
  <c r="F172"/>
  <c r="AI172"/>
  <c r="AM172"/>
  <c r="AQ172"/>
  <c r="AV172"/>
  <c r="AZ172"/>
  <c r="BD172"/>
  <c r="AH172"/>
  <c r="AN172"/>
  <c r="AT172"/>
  <c r="AY172"/>
  <c r="AJ172"/>
  <c r="AO172"/>
  <c r="AU172"/>
  <c r="BA172"/>
  <c r="F176"/>
  <c r="AQ176"/>
  <c r="AV176"/>
  <c r="AF176"/>
  <c r="AJ176"/>
  <c r="AW176"/>
  <c r="BA176"/>
  <c r="AX79"/>
  <c r="F79"/>
  <c r="AZ81"/>
  <c r="BB81"/>
  <c r="AW83"/>
  <c r="AF83"/>
  <c r="BA87"/>
  <c r="BD87"/>
  <c r="AZ95"/>
  <c r="AF95"/>
  <c r="AW99"/>
  <c r="BB99"/>
  <c r="AM105"/>
  <c r="BD105"/>
  <c r="BD111"/>
  <c r="AO111"/>
  <c r="AZ115"/>
  <c r="AT115"/>
  <c r="BA119"/>
  <c r="AX119"/>
  <c r="F139"/>
  <c r="AI139"/>
  <c r="AM139"/>
  <c r="AQ139"/>
  <c r="AV139"/>
  <c r="AZ139"/>
  <c r="BD139"/>
  <c r="AF139"/>
  <c r="AK139"/>
  <c r="AP139"/>
  <c r="AW139"/>
  <c r="BB139"/>
  <c r="AG139"/>
  <c r="AL139"/>
  <c r="AS139"/>
  <c r="AX139"/>
  <c r="BC139"/>
  <c r="F141"/>
  <c r="AI141"/>
  <c r="AM141"/>
  <c r="AQ141"/>
  <c r="AV141"/>
  <c r="AZ141"/>
  <c r="BD141"/>
  <c r="AF141"/>
  <c r="AK141"/>
  <c r="AP141"/>
  <c r="AW141"/>
  <c r="BB141"/>
  <c r="AG141"/>
  <c r="AL141"/>
  <c r="AS141"/>
  <c r="AX141"/>
  <c r="BC141"/>
  <c r="F143"/>
  <c r="AI143"/>
  <c r="AM143"/>
  <c r="AQ143"/>
  <c r="AV143"/>
  <c r="AZ143"/>
  <c r="BD143"/>
  <c r="AF143"/>
  <c r="AK143"/>
  <c r="AP143"/>
  <c r="AW143"/>
  <c r="BB143"/>
  <c r="AG143"/>
  <c r="AL143"/>
  <c r="AS143"/>
  <c r="AX143"/>
  <c r="BC143"/>
  <c r="F145"/>
  <c r="AI145"/>
  <c r="AM145"/>
  <c r="AQ145"/>
  <c r="AV145"/>
  <c r="AZ145"/>
  <c r="BD145"/>
  <c r="AF145"/>
  <c r="AK145"/>
  <c r="AP145"/>
  <c r="AW145"/>
  <c r="BB145"/>
  <c r="AG145"/>
  <c r="AL145"/>
  <c r="AS145"/>
  <c r="AX145"/>
  <c r="BC145"/>
  <c r="F147"/>
  <c r="AI147"/>
  <c r="AV147"/>
  <c r="AZ147"/>
  <c r="AK147"/>
  <c r="AP147"/>
  <c r="AG147"/>
  <c r="AL147"/>
  <c r="BC147"/>
  <c r="F149"/>
  <c r="AI149"/>
  <c r="AM149"/>
  <c r="AQ149"/>
  <c r="AV149"/>
  <c r="AZ149"/>
  <c r="BD149"/>
  <c r="AF149"/>
  <c r="AK149"/>
  <c r="AP149"/>
  <c r="AW149"/>
  <c r="BB149"/>
  <c r="AG149"/>
  <c r="AL149"/>
  <c r="AS149"/>
  <c r="AX149"/>
  <c r="BC149"/>
  <c r="F151"/>
  <c r="AI151"/>
  <c r="AM151"/>
  <c r="AQ151"/>
  <c r="AV151"/>
  <c r="AZ151"/>
  <c r="BD151"/>
  <c r="AF151"/>
  <c r="AK151"/>
  <c r="AP151"/>
  <c r="AW151"/>
  <c r="BB151"/>
  <c r="AG151"/>
  <c r="AL151"/>
  <c r="AS151"/>
  <c r="AX151"/>
  <c r="BC151"/>
  <c r="F153"/>
  <c r="AI153"/>
  <c r="AM153"/>
  <c r="AQ153"/>
  <c r="AV153"/>
  <c r="AZ153"/>
  <c r="BD153"/>
  <c r="AF153"/>
  <c r="AK153"/>
  <c r="AP153"/>
  <c r="AW153"/>
  <c r="BB153"/>
  <c r="AG153"/>
  <c r="AL153"/>
  <c r="AS153"/>
  <c r="AX153"/>
  <c r="BC153"/>
  <c r="F155"/>
  <c r="AI155"/>
  <c r="AM155"/>
  <c r="AQ155"/>
  <c r="AV155"/>
  <c r="AZ155"/>
  <c r="BD155"/>
  <c r="AF155"/>
  <c r="AK155"/>
  <c r="AP155"/>
  <c r="AW155"/>
  <c r="BB155"/>
  <c r="AG155"/>
  <c r="AL155"/>
  <c r="AS155"/>
  <c r="AX155"/>
  <c r="BC155"/>
  <c r="F157"/>
  <c r="AQ157"/>
  <c r="AV157"/>
  <c r="AF157"/>
  <c r="AK157"/>
  <c r="BB157"/>
  <c r="AG157"/>
  <c r="AX157"/>
  <c r="BC157"/>
  <c r="F159"/>
  <c r="AI159"/>
  <c r="AM159"/>
  <c r="AQ159"/>
  <c r="AV159"/>
  <c r="AZ159"/>
  <c r="BD159"/>
  <c r="AF159"/>
  <c r="AK159"/>
  <c r="AP159"/>
  <c r="AW159"/>
  <c r="BB159"/>
  <c r="AG159"/>
  <c r="AL159"/>
  <c r="AS159"/>
  <c r="AX159"/>
  <c r="BC159"/>
  <c r="F161"/>
  <c r="AI161"/>
  <c r="AM161"/>
  <c r="AQ161"/>
  <c r="AV161"/>
  <c r="AZ161"/>
  <c r="BD161"/>
  <c r="AF161"/>
  <c r="AK161"/>
  <c r="AP161"/>
  <c r="AW161"/>
  <c r="BB161"/>
  <c r="AG161"/>
  <c r="AL161"/>
  <c r="AS161"/>
  <c r="AX161"/>
  <c r="BC161"/>
  <c r="AZ163"/>
  <c r="AL163"/>
  <c r="F165"/>
  <c r="AI165"/>
  <c r="AM165"/>
  <c r="AQ165"/>
  <c r="AV165"/>
  <c r="AZ165"/>
  <c r="BD165"/>
  <c r="AF165"/>
  <c r="AK165"/>
  <c r="AP165"/>
  <c r="AW165"/>
  <c r="BB165"/>
  <c r="AG165"/>
  <c r="AL165"/>
  <c r="AS165"/>
  <c r="AX165"/>
  <c r="BC165"/>
  <c r="F167"/>
  <c r="AI167"/>
  <c r="AM167"/>
  <c r="AQ167"/>
  <c r="AV167"/>
  <c r="AZ167"/>
  <c r="BD167"/>
  <c r="AF167"/>
  <c r="AK167"/>
  <c r="AP167"/>
  <c r="AW167"/>
  <c r="BB167"/>
  <c r="AG167"/>
  <c r="AL167"/>
  <c r="AS167"/>
  <c r="AX167"/>
  <c r="BC167"/>
  <c r="F169"/>
  <c r="AI169"/>
  <c r="AM169"/>
  <c r="AQ169"/>
  <c r="AV169"/>
  <c r="AZ169"/>
  <c r="BD169"/>
  <c r="AF169"/>
  <c r="AK169"/>
  <c r="AP169"/>
  <c r="AW169"/>
  <c r="BB169"/>
  <c r="AG169"/>
  <c r="AL169"/>
  <c r="AS169"/>
  <c r="AX169"/>
  <c r="BC169"/>
  <c r="F171"/>
  <c r="AI171"/>
  <c r="AM171"/>
  <c r="AQ171"/>
  <c r="AV171"/>
  <c r="AZ171"/>
  <c r="BD171"/>
  <c r="AF171"/>
  <c r="AK171"/>
  <c r="AP171"/>
  <c r="AW171"/>
  <c r="BB171"/>
  <c r="AG171"/>
  <c r="AL171"/>
  <c r="AS171"/>
  <c r="AX171"/>
  <c r="BC171"/>
  <c r="AQ173"/>
  <c r="AK173"/>
  <c r="AS173"/>
  <c r="F175"/>
  <c r="AI175"/>
  <c r="AM175"/>
  <c r="AQ175"/>
  <c r="AV175"/>
  <c r="AZ175"/>
  <c r="BD175"/>
  <c r="AF175"/>
  <c r="AJ175"/>
  <c r="AN175"/>
  <c r="AS175"/>
  <c r="AW175"/>
  <c r="BA175"/>
  <c r="F177"/>
  <c r="AI177"/>
  <c r="AM177"/>
  <c r="AQ177"/>
  <c r="AV177"/>
  <c r="AZ177"/>
  <c r="BD177"/>
  <c r="AF177"/>
  <c r="AJ177"/>
  <c r="AN177"/>
  <c r="AS177"/>
  <c r="AW177"/>
  <c r="BA177"/>
  <c r="F179"/>
  <c r="AI179"/>
  <c r="AQ179"/>
  <c r="AV179"/>
  <c r="AZ179"/>
  <c r="AF179"/>
  <c r="AJ179"/>
  <c r="AN179"/>
  <c r="AW179"/>
  <c r="BA179"/>
  <c r="F181"/>
  <c r="AI181"/>
  <c r="AM181"/>
  <c r="AQ181"/>
  <c r="AV181"/>
  <c r="AZ181"/>
  <c r="BD181"/>
  <c r="AF181"/>
  <c r="AJ181"/>
  <c r="AN181"/>
  <c r="AS181"/>
  <c r="AW181"/>
  <c r="BA181"/>
  <c r="AX178"/>
  <c r="AO178"/>
  <c r="AG178"/>
  <c r="AO174"/>
  <c r="AW172"/>
  <c r="BB170"/>
  <c r="AF170"/>
  <c r="AK168"/>
  <c r="AF166"/>
  <c r="AK164"/>
  <c r="AP162"/>
  <c r="AF162"/>
  <c r="AK160"/>
  <c r="BB158"/>
  <c r="AF158"/>
  <c r="AK156"/>
  <c r="BB154"/>
  <c r="AF154"/>
  <c r="AK152"/>
  <c r="AW148"/>
  <c r="AK148"/>
  <c r="BB146"/>
  <c r="AP146"/>
  <c r="AF146"/>
  <c r="AW144"/>
  <c r="AK144"/>
  <c r="BB142"/>
  <c r="AP142"/>
  <c r="AF142"/>
  <c r="AW140"/>
  <c r="BD53"/>
  <c r="AY178"/>
  <c r="AP178"/>
  <c r="AH178"/>
  <c r="AP174"/>
  <c r="AG174"/>
  <c r="AL172"/>
  <c r="AS170"/>
  <c r="AX168"/>
  <c r="AL168"/>
  <c r="BC166"/>
  <c r="AX164"/>
  <c r="AL164"/>
  <c r="BC162"/>
  <c r="AS162"/>
  <c r="AG162"/>
  <c r="AX160"/>
  <c r="AL160"/>
  <c r="BC158"/>
  <c r="AS158"/>
  <c r="AG158"/>
  <c r="AX156"/>
  <c r="AL156"/>
  <c r="BC154"/>
  <c r="AS154"/>
  <c r="AG154"/>
  <c r="AX152"/>
  <c r="AL152"/>
  <c r="BC150"/>
  <c r="AS150"/>
  <c r="AX148"/>
  <c r="AL148"/>
  <c r="BC146"/>
  <c r="AS146"/>
  <c r="AG146"/>
  <c r="AX144"/>
  <c r="AL144"/>
  <c r="BC142"/>
  <c r="AS142"/>
  <c r="AG142"/>
  <c r="AX140"/>
  <c r="F33"/>
  <c r="F36"/>
  <c r="F47"/>
  <c r="AZ47"/>
  <c r="F53"/>
  <c r="AX53"/>
  <c r="F55"/>
  <c r="AS60"/>
  <c r="F62"/>
  <c r="AO63"/>
  <c r="AS69"/>
  <c r="AS73"/>
  <c r="AM77"/>
  <c r="AS87"/>
  <c r="AG91"/>
  <c r="AP93"/>
  <c r="BD101"/>
  <c r="AV107"/>
  <c r="BC111"/>
  <c r="AZ113"/>
  <c r="AM119"/>
  <c r="BC67"/>
  <c r="AZ107"/>
  <c r="A119"/>
  <c r="F162"/>
  <c r="BB181"/>
  <c r="AT181"/>
  <c r="AK181"/>
  <c r="AT179"/>
  <c r="AK179"/>
  <c r="BB178"/>
  <c r="AT178"/>
  <c r="AK178"/>
  <c r="BB177"/>
  <c r="AT177"/>
  <c r="AK177"/>
  <c r="BB176"/>
  <c r="AT176"/>
  <c r="AK176"/>
  <c r="BB175"/>
  <c r="AT175"/>
  <c r="AK175"/>
  <c r="BB174"/>
  <c r="AT174"/>
  <c r="AK174"/>
  <c r="BB172"/>
  <c r="AP172"/>
  <c r="AF172"/>
  <c r="AT171"/>
  <c r="AH171"/>
  <c r="AW170"/>
  <c r="AK170"/>
  <c r="AY169"/>
  <c r="AN169"/>
  <c r="BB168"/>
  <c r="AP168"/>
  <c r="AF168"/>
  <c r="AT167"/>
  <c r="AH167"/>
  <c r="AW166"/>
  <c r="AK166"/>
  <c r="AY165"/>
  <c r="AN165"/>
  <c r="BB164"/>
  <c r="AP164"/>
  <c r="AF164"/>
  <c r="AT163"/>
  <c r="AW162"/>
  <c r="AK162"/>
  <c r="AY161"/>
  <c r="AN161"/>
  <c r="BB160"/>
  <c r="AF160"/>
  <c r="AT159"/>
  <c r="AH159"/>
  <c r="AW158"/>
  <c r="AK158"/>
  <c r="AY157"/>
  <c r="AN157"/>
  <c r="BB156"/>
  <c r="AP156"/>
  <c r="AF156"/>
  <c r="AT155"/>
  <c r="AH155"/>
  <c r="AW154"/>
  <c r="AK154"/>
  <c r="AY153"/>
  <c r="AN153"/>
  <c r="BB152"/>
  <c r="AP152"/>
  <c r="AF152"/>
  <c r="AT151"/>
  <c r="AH151"/>
  <c r="AW150"/>
  <c r="AK150"/>
  <c r="AY149"/>
  <c r="AN149"/>
  <c r="BB148"/>
  <c r="AP148"/>
  <c r="AF148"/>
  <c r="AT147"/>
  <c r="AH147"/>
  <c r="AW146"/>
  <c r="AK146"/>
  <c r="AY145"/>
  <c r="AN145"/>
  <c r="BB144"/>
  <c r="AP144"/>
  <c r="AF144"/>
  <c r="AT143"/>
  <c r="AH143"/>
  <c r="AW142"/>
  <c r="AK142"/>
  <c r="AY141"/>
  <c r="AN141"/>
  <c r="AP140"/>
  <c r="AF140"/>
  <c r="AT139"/>
  <c r="AH139"/>
  <c r="BC184"/>
  <c r="AP184"/>
  <c r="AW188"/>
  <c r="AX188"/>
  <c r="BC188"/>
  <c r="F188"/>
  <c r="AV190"/>
  <c r="AP190"/>
  <c r="AY194"/>
  <c r="BC194"/>
  <c r="AL194"/>
  <c r="BA198"/>
  <c r="AY200"/>
  <c r="AU200"/>
  <c r="AX200"/>
  <c r="AQ202"/>
  <c r="BC202"/>
  <c r="F202"/>
  <c r="AZ204"/>
  <c r="AO204"/>
  <c r="BC206"/>
  <c r="AX206"/>
  <c r="BB208"/>
  <c r="AZ208"/>
  <c r="AK208"/>
  <c r="AZ212"/>
  <c r="AM212"/>
  <c r="AK214"/>
  <c r="AI214"/>
  <c r="BB214"/>
  <c r="BB216"/>
  <c r="BA216"/>
  <c r="AK216"/>
  <c r="AP218"/>
  <c r="AX218"/>
  <c r="BD220"/>
  <c r="AZ220"/>
  <c r="AF220"/>
  <c r="AY222"/>
  <c r="AV222"/>
  <c r="AZ224"/>
  <c r="AX224"/>
  <c r="AI224"/>
  <c r="BD226"/>
  <c r="AU226"/>
  <c r="AI226"/>
  <c r="BD228"/>
  <c r="AV228"/>
  <c r="AF228"/>
  <c r="BA232"/>
  <c r="BD232"/>
  <c r="AO232"/>
  <c r="AI234"/>
  <c r="BC234"/>
  <c r="BB236"/>
  <c r="AZ236"/>
  <c r="BC238"/>
  <c r="AI238"/>
  <c r="AW240"/>
  <c r="AV240"/>
  <c r="AF240"/>
  <c r="BA182"/>
  <c r="AW182"/>
  <c r="AS182"/>
  <c r="AN182"/>
  <c r="AJ182"/>
  <c r="AF182"/>
  <c r="BA180"/>
  <c r="AW180"/>
  <c r="AS180"/>
  <c r="AN180"/>
  <c r="AJ180"/>
  <c r="AF180"/>
  <c r="BD182"/>
  <c r="AZ182"/>
  <c r="AV182"/>
  <c r="AQ182"/>
  <c r="AM182"/>
  <c r="BD180"/>
  <c r="AZ180"/>
  <c r="AV180"/>
  <c r="AQ180"/>
  <c r="AM180"/>
  <c r="AI180"/>
  <c r="BB197"/>
  <c r="AU229"/>
  <c r="A240"/>
  <c r="A173"/>
  <c r="AK184"/>
  <c r="AU184"/>
  <c r="F185"/>
  <c r="AZ185"/>
  <c r="AK187"/>
  <c r="AK188"/>
  <c r="BB188"/>
  <c r="AJ190"/>
  <c r="F191"/>
  <c r="AL191"/>
  <c r="AT191"/>
  <c r="BB191"/>
  <c r="F192"/>
  <c r="AT193"/>
  <c r="AH194"/>
  <c r="AQ194"/>
  <c r="BA194"/>
  <c r="BB195"/>
  <c r="AY195"/>
  <c r="AO196"/>
  <c r="AJ197"/>
  <c r="AY198"/>
  <c r="BC199"/>
  <c r="AO200"/>
  <c r="BC200"/>
  <c r="AG202"/>
  <c r="AX202"/>
  <c r="AG203"/>
  <c r="AT203"/>
  <c r="BC204"/>
  <c r="AM204"/>
  <c r="AT204"/>
  <c r="BA204"/>
  <c r="AV205"/>
  <c r="AK206"/>
  <c r="BD206"/>
  <c r="AJ207"/>
  <c r="BA207"/>
  <c r="AG208"/>
  <c r="AN208"/>
  <c r="AW208"/>
  <c r="BD208"/>
  <c r="AZ210"/>
  <c r="AJ211"/>
  <c r="AU211"/>
  <c r="AK212"/>
  <c r="AS212"/>
  <c r="BA212"/>
  <c r="AU214"/>
  <c r="AI216"/>
  <c r="AO216"/>
  <c r="AW216"/>
  <c r="BD218"/>
  <c r="AV218"/>
  <c r="AJ220"/>
  <c r="AQ220"/>
  <c r="BD221"/>
  <c r="AG222"/>
  <c r="AP222"/>
  <c r="BB222"/>
  <c r="BC224"/>
  <c r="AM224"/>
  <c r="AT224"/>
  <c r="BA224"/>
  <c r="AQ225"/>
  <c r="AH226"/>
  <c r="F227"/>
  <c r="AK227"/>
  <c r="AW227"/>
  <c r="BC228"/>
  <c r="AK228"/>
  <c r="AT228"/>
  <c r="BA228"/>
  <c r="AF232"/>
  <c r="AN232"/>
  <c r="AV232"/>
  <c r="BB232"/>
  <c r="BA233"/>
  <c r="AZ234"/>
  <c r="AT235"/>
  <c r="AG236"/>
  <c r="AN236"/>
  <c r="AW236"/>
  <c r="AZ238"/>
  <c r="F240"/>
  <c r="AJ240"/>
  <c r="AQ240"/>
  <c r="AZ240"/>
  <c r="AJ241"/>
  <c r="AV202"/>
  <c r="AW205"/>
  <c r="BA208"/>
  <c r="BC218"/>
  <c r="BB224"/>
  <c r="AL234"/>
  <c r="AZ237"/>
  <c r="BD240"/>
  <c r="AJ184"/>
  <c r="AS184"/>
  <c r="BB184"/>
  <c r="F187"/>
  <c r="AG188"/>
  <c r="F190"/>
  <c r="AK191"/>
  <c r="AQ191"/>
  <c r="AN193"/>
  <c r="F194"/>
  <c r="AP194"/>
  <c r="AL195"/>
  <c r="F196"/>
  <c r="BC197"/>
  <c r="AL200"/>
  <c r="BD202"/>
  <c r="F203"/>
  <c r="F204"/>
  <c r="AJ204"/>
  <c r="AS204"/>
  <c r="AH206"/>
  <c r="BB206"/>
  <c r="AH207"/>
  <c r="AF208"/>
  <c r="AM208"/>
  <c r="AT208"/>
  <c r="AW209"/>
  <c r="AF211"/>
  <c r="AP211"/>
  <c r="AJ212"/>
  <c r="AQ212"/>
  <c r="AX212"/>
  <c r="AF216"/>
  <c r="AN216"/>
  <c r="AV216"/>
  <c r="F218"/>
  <c r="AG220"/>
  <c r="AW220"/>
  <c r="F222"/>
  <c r="AM222"/>
  <c r="AX222"/>
  <c r="F224"/>
  <c r="AJ224"/>
  <c r="AS224"/>
  <c r="F226"/>
  <c r="AJ227"/>
  <c r="F228"/>
  <c r="AJ228"/>
  <c r="AQ228"/>
  <c r="AZ228"/>
  <c r="BC232"/>
  <c r="AK232"/>
  <c r="AT232"/>
  <c r="AF236"/>
  <c r="AM236"/>
  <c r="AT236"/>
  <c r="AL238"/>
  <c r="AI240"/>
  <c r="AO240"/>
  <c r="F241"/>
  <c r="AG185"/>
  <c r="AM185"/>
  <c r="AS185"/>
  <c r="AX185"/>
  <c r="BD185"/>
  <c r="AG193"/>
  <c r="AM193"/>
  <c r="AS193"/>
  <c r="AX193"/>
  <c r="BD193"/>
  <c r="F197"/>
  <c r="AI197"/>
  <c r="AN197"/>
  <c r="AT197"/>
  <c r="AZ197"/>
  <c r="AF205"/>
  <c r="AQ205"/>
  <c r="BC205"/>
  <c r="AM209"/>
  <c r="AV209"/>
  <c r="BC209"/>
  <c r="F213"/>
  <c r="AP217"/>
  <c r="F221"/>
  <c r="AL221"/>
  <c r="AW221"/>
  <c r="AH225"/>
  <c r="AP225"/>
  <c r="AW225"/>
  <c r="AI229"/>
  <c r="AI233"/>
  <c r="AQ233"/>
  <c r="AZ233"/>
  <c r="BB237"/>
  <c r="AM237"/>
  <c r="AV237"/>
  <c r="BD237"/>
  <c r="AI241"/>
  <c r="AQ241"/>
  <c r="AZ241"/>
  <c r="AG184"/>
  <c r="AO184"/>
  <c r="AW184"/>
  <c r="AF185"/>
  <c r="AK185"/>
  <c r="AQ185"/>
  <c r="AW185"/>
  <c r="BB185"/>
  <c r="BA188"/>
  <c r="AL188"/>
  <c r="AF193"/>
  <c r="AK193"/>
  <c r="AQ193"/>
  <c r="AW193"/>
  <c r="BB193"/>
  <c r="AF194"/>
  <c r="AM194"/>
  <c r="AV194"/>
  <c r="AG197"/>
  <c r="AM197"/>
  <c r="AS197"/>
  <c r="AX197"/>
  <c r="BD197"/>
  <c r="AQ198"/>
  <c r="AH200"/>
  <c r="AK202"/>
  <c r="AF204"/>
  <c r="AK204"/>
  <c r="AQ204"/>
  <c r="AW204"/>
  <c r="BD205"/>
  <c r="AP205"/>
  <c r="BA205"/>
  <c r="AM206"/>
  <c r="AV206"/>
  <c r="BC208"/>
  <c r="AJ208"/>
  <c r="AO208"/>
  <c r="AV208"/>
  <c r="F209"/>
  <c r="AS209"/>
  <c r="BA209"/>
  <c r="F212"/>
  <c r="AN212"/>
  <c r="AT212"/>
  <c r="AZ213"/>
  <c r="AG216"/>
  <c r="AM216"/>
  <c r="AS216"/>
  <c r="AX216"/>
  <c r="AJ217"/>
  <c r="BA217"/>
  <c r="AG218"/>
  <c r="AQ218"/>
  <c r="AI220"/>
  <c r="AN220"/>
  <c r="AT220"/>
  <c r="AJ221"/>
  <c r="AV221"/>
  <c r="AK222"/>
  <c r="AQ222"/>
  <c r="AF224"/>
  <c r="AK224"/>
  <c r="AQ224"/>
  <c r="AW224"/>
  <c r="AM225"/>
  <c r="AV225"/>
  <c r="BC225"/>
  <c r="AZ226"/>
  <c r="AG228"/>
  <c r="AM228"/>
  <c r="AS228"/>
  <c r="AX228"/>
  <c r="AH229"/>
  <c r="BD229"/>
  <c r="AG232"/>
  <c r="AM232"/>
  <c r="AS232"/>
  <c r="AX232"/>
  <c r="AF233"/>
  <c r="AN233"/>
  <c r="AW233"/>
  <c r="BC236"/>
  <c r="AJ236"/>
  <c r="AV236"/>
  <c r="F237"/>
  <c r="AJ237"/>
  <c r="AS237"/>
  <c r="BA237"/>
  <c r="AU238"/>
  <c r="AG240"/>
  <c r="AM240"/>
  <c r="AS240"/>
  <c r="AX240"/>
  <c r="AF241"/>
  <c r="AN241"/>
  <c r="AW241"/>
  <c r="BC185"/>
  <c r="AJ185"/>
  <c r="AO185"/>
  <c r="AV185"/>
  <c r="BC193"/>
  <c r="AJ193"/>
  <c r="AO193"/>
  <c r="AV193"/>
  <c r="AF197"/>
  <c r="AK197"/>
  <c r="AQ197"/>
  <c r="AW197"/>
  <c r="F205"/>
  <c r="AL205"/>
  <c r="AJ209"/>
  <c r="AQ209"/>
  <c r="AI217"/>
  <c r="AF221"/>
  <c r="AQ221"/>
  <c r="F225"/>
  <c r="AL225"/>
  <c r="AZ229"/>
  <c r="BB233"/>
  <c r="AM233"/>
  <c r="AV233"/>
  <c r="AI237"/>
  <c r="AQ237"/>
  <c r="BB241"/>
  <c r="AM241"/>
  <c r="AV241"/>
  <c r="BA183"/>
  <c r="AW183"/>
  <c r="AS183"/>
  <c r="AN183"/>
  <c r="AJ183"/>
  <c r="AF183"/>
  <c r="BD223"/>
  <c r="AZ223"/>
  <c r="AV223"/>
  <c r="AQ223"/>
  <c r="AM223"/>
  <c r="AI223"/>
  <c r="BC223"/>
  <c r="AX223"/>
  <c r="AS223"/>
  <c r="AL223"/>
  <c r="AG223"/>
  <c r="BB223"/>
  <c r="AW223"/>
  <c r="AP223"/>
  <c r="AK223"/>
  <c r="AF223"/>
  <c r="BA187"/>
  <c r="AW187"/>
  <c r="AS187"/>
  <c r="AN187"/>
  <c r="AJ187"/>
  <c r="AF187"/>
  <c r="BB190"/>
  <c r="AX190"/>
  <c r="AT190"/>
  <c r="AO190"/>
  <c r="AK190"/>
  <c r="AG190"/>
  <c r="BD196"/>
  <c r="AZ196"/>
  <c r="AV196"/>
  <c r="AQ196"/>
  <c r="AM196"/>
  <c r="AI196"/>
  <c r="BA230"/>
  <c r="AW230"/>
  <c r="AS230"/>
  <c r="AN230"/>
  <c r="AJ230"/>
  <c r="AF230"/>
  <c r="BD230"/>
  <c r="AY230"/>
  <c r="AT230"/>
  <c r="AM230"/>
  <c r="AH230"/>
  <c r="BC230"/>
  <c r="AX230"/>
  <c r="AQ230"/>
  <c r="AL230"/>
  <c r="AG230"/>
  <c r="BD235"/>
  <c r="AZ235"/>
  <c r="AV235"/>
  <c r="AQ235"/>
  <c r="AM235"/>
  <c r="AI235"/>
  <c r="BA235"/>
  <c r="AW235"/>
  <c r="AS235"/>
  <c r="AN235"/>
  <c r="AJ235"/>
  <c r="AF235"/>
  <c r="AX235"/>
  <c r="AO235"/>
  <c r="AG235"/>
  <c r="BC235"/>
  <c r="AU235"/>
  <c r="AL235"/>
  <c r="AZ239"/>
  <c r="AV239"/>
  <c r="AQ239"/>
  <c r="AI239"/>
  <c r="BA239"/>
  <c r="AW239"/>
  <c r="AN239"/>
  <c r="AJ239"/>
  <c r="AF239"/>
  <c r="AO239"/>
  <c r="AG239"/>
  <c r="BC239"/>
  <c r="AL239"/>
  <c r="BD184"/>
  <c r="AZ184"/>
  <c r="AV184"/>
  <c r="AQ184"/>
  <c r="AM184"/>
  <c r="AI184"/>
  <c r="BA191"/>
  <c r="AW191"/>
  <c r="AS191"/>
  <c r="AN191"/>
  <c r="AJ191"/>
  <c r="AF191"/>
  <c r="BB194"/>
  <c r="AX194"/>
  <c r="AT194"/>
  <c r="AO194"/>
  <c r="AK194"/>
  <c r="AG194"/>
  <c r="BD200"/>
  <c r="AZ200"/>
  <c r="AV200"/>
  <c r="AQ200"/>
  <c r="AM200"/>
  <c r="AI200"/>
  <c r="BA200"/>
  <c r="AW200"/>
  <c r="AS200"/>
  <c r="AN200"/>
  <c r="AJ200"/>
  <c r="AF200"/>
  <c r="BD203"/>
  <c r="AZ203"/>
  <c r="AV203"/>
  <c r="AQ203"/>
  <c r="AM203"/>
  <c r="AI203"/>
  <c r="BB203"/>
  <c r="AW203"/>
  <c r="AP203"/>
  <c r="AK203"/>
  <c r="AF203"/>
  <c r="BA203"/>
  <c r="AU203"/>
  <c r="AO203"/>
  <c r="AJ203"/>
  <c r="BD207"/>
  <c r="AZ207"/>
  <c r="AV207"/>
  <c r="AQ207"/>
  <c r="AM207"/>
  <c r="AI207"/>
  <c r="BC207"/>
  <c r="AX207"/>
  <c r="AS207"/>
  <c r="AL207"/>
  <c r="AG207"/>
  <c r="BB207"/>
  <c r="AW207"/>
  <c r="AP207"/>
  <c r="AK207"/>
  <c r="AF207"/>
  <c r="BB217"/>
  <c r="AX217"/>
  <c r="AT217"/>
  <c r="AO217"/>
  <c r="AK217"/>
  <c r="AG217"/>
  <c r="BD217"/>
  <c r="AY217"/>
  <c r="AS217"/>
  <c r="AM217"/>
  <c r="AH217"/>
  <c r="BC217"/>
  <c r="AW217"/>
  <c r="AQ217"/>
  <c r="AL217"/>
  <c r="AF217"/>
  <c r="F186"/>
  <c r="AT192"/>
  <c r="F219"/>
  <c r="AX219"/>
  <c r="AN223"/>
  <c r="AH183"/>
  <c r="AM183"/>
  <c r="AT183"/>
  <c r="AY183"/>
  <c r="BD183"/>
  <c r="AH186"/>
  <c r="AM186"/>
  <c r="AY186"/>
  <c r="BD186"/>
  <c r="AI187"/>
  <c r="AO187"/>
  <c r="AU187"/>
  <c r="AZ187"/>
  <c r="AI190"/>
  <c r="AN190"/>
  <c r="AU190"/>
  <c r="AZ190"/>
  <c r="AG192"/>
  <c r="AS192"/>
  <c r="AX192"/>
  <c r="BC192"/>
  <c r="AH196"/>
  <c r="AN196"/>
  <c r="AT196"/>
  <c r="AY196"/>
  <c r="AH199"/>
  <c r="AM199"/>
  <c r="AV199"/>
  <c r="BD199"/>
  <c r="AH219"/>
  <c r="AT219"/>
  <c r="AJ223"/>
  <c r="AU223"/>
  <c r="AO230"/>
  <c r="AZ230"/>
  <c r="AP235"/>
  <c r="AP239"/>
  <c r="AG183"/>
  <c r="AL183"/>
  <c r="AQ183"/>
  <c r="AX183"/>
  <c r="BC183"/>
  <c r="AH184"/>
  <c r="AN184"/>
  <c r="AT184"/>
  <c r="AY184"/>
  <c r="AF186"/>
  <c r="AL186"/>
  <c r="AQ186"/>
  <c r="AH187"/>
  <c r="AM187"/>
  <c r="AT187"/>
  <c r="AY187"/>
  <c r="BD187"/>
  <c r="AJ188"/>
  <c r="AO188"/>
  <c r="AU188"/>
  <c r="AH190"/>
  <c r="AM190"/>
  <c r="AS190"/>
  <c r="AY190"/>
  <c r="BD190"/>
  <c r="AI191"/>
  <c r="AO191"/>
  <c r="AU191"/>
  <c r="AZ191"/>
  <c r="AF192"/>
  <c r="AK192"/>
  <c r="AW192"/>
  <c r="AI194"/>
  <c r="AN194"/>
  <c r="AU194"/>
  <c r="AZ194"/>
  <c r="AK195"/>
  <c r="AP195"/>
  <c r="AG196"/>
  <c r="AL196"/>
  <c r="AS196"/>
  <c r="AX196"/>
  <c r="BC196"/>
  <c r="AJ198"/>
  <c r="AP198"/>
  <c r="AV198"/>
  <c r="AG199"/>
  <c r="AL199"/>
  <c r="AU199"/>
  <c r="AK200"/>
  <c r="AT200"/>
  <c r="BB200"/>
  <c r="AL203"/>
  <c r="AX203"/>
  <c r="AN207"/>
  <c r="AY207"/>
  <c r="AI210"/>
  <c r="AI213"/>
  <c r="AP214"/>
  <c r="AN217"/>
  <c r="AZ217"/>
  <c r="AG219"/>
  <c r="AS219"/>
  <c r="AH223"/>
  <c r="AT223"/>
  <c r="AO226"/>
  <c r="AN229"/>
  <c r="AK230"/>
  <c r="AV230"/>
  <c r="AK235"/>
  <c r="BB235"/>
  <c r="AK239"/>
  <c r="BB239"/>
  <c r="BB186"/>
  <c r="AX186"/>
  <c r="AT186"/>
  <c r="AO186"/>
  <c r="AK186"/>
  <c r="AG186"/>
  <c r="BD192"/>
  <c r="AZ192"/>
  <c r="AV192"/>
  <c r="AQ192"/>
  <c r="AM192"/>
  <c r="AI192"/>
  <c r="BA199"/>
  <c r="AW199"/>
  <c r="AS199"/>
  <c r="AN199"/>
  <c r="AJ199"/>
  <c r="AF199"/>
  <c r="BB199"/>
  <c r="AX199"/>
  <c r="AT199"/>
  <c r="AO199"/>
  <c r="BD219"/>
  <c r="AZ219"/>
  <c r="AV219"/>
  <c r="AQ219"/>
  <c r="AM219"/>
  <c r="AI219"/>
  <c r="BB219"/>
  <c r="AW219"/>
  <c r="AP219"/>
  <c r="AK219"/>
  <c r="AF219"/>
  <c r="BA219"/>
  <c r="AU219"/>
  <c r="AO219"/>
  <c r="AJ219"/>
  <c r="BA210"/>
  <c r="AW210"/>
  <c r="AS210"/>
  <c r="AN210"/>
  <c r="AJ210"/>
  <c r="AF210"/>
  <c r="BC210"/>
  <c r="AX210"/>
  <c r="AQ210"/>
  <c r="AL210"/>
  <c r="AG210"/>
  <c r="BB210"/>
  <c r="AV210"/>
  <c r="AP210"/>
  <c r="AK210"/>
  <c r="BB213"/>
  <c r="AX213"/>
  <c r="AT213"/>
  <c r="AO213"/>
  <c r="AK213"/>
  <c r="AG213"/>
  <c r="BC213"/>
  <c r="AW213"/>
  <c r="AQ213"/>
  <c r="AL213"/>
  <c r="AF213"/>
  <c r="BA213"/>
  <c r="AV213"/>
  <c r="AP213"/>
  <c r="AJ213"/>
  <c r="BD188"/>
  <c r="AZ188"/>
  <c r="AV188"/>
  <c r="AQ188"/>
  <c r="AM188"/>
  <c r="AI188"/>
  <c r="BA195"/>
  <c r="AW195"/>
  <c r="AS195"/>
  <c r="AN195"/>
  <c r="AJ195"/>
  <c r="AF195"/>
  <c r="BB198"/>
  <c r="AX198"/>
  <c r="AT198"/>
  <c r="AO198"/>
  <c r="AK198"/>
  <c r="AG198"/>
  <c r="BA214"/>
  <c r="AW214"/>
  <c r="AS214"/>
  <c r="AN214"/>
  <c r="AJ214"/>
  <c r="AF214"/>
  <c r="BD214"/>
  <c r="AY214"/>
  <c r="AT214"/>
  <c r="AM214"/>
  <c r="AH214"/>
  <c r="BC214"/>
  <c r="AX214"/>
  <c r="AQ214"/>
  <c r="AL214"/>
  <c r="AG214"/>
  <c r="BA226"/>
  <c r="AW226"/>
  <c r="AS226"/>
  <c r="AN226"/>
  <c r="AJ226"/>
  <c r="AF226"/>
  <c r="BC226"/>
  <c r="AX226"/>
  <c r="AQ226"/>
  <c r="AL226"/>
  <c r="AG226"/>
  <c r="BB226"/>
  <c r="AV226"/>
  <c r="AP226"/>
  <c r="AK226"/>
  <c r="BB229"/>
  <c r="AX229"/>
  <c r="AT229"/>
  <c r="AO229"/>
  <c r="AK229"/>
  <c r="AG229"/>
  <c r="BC229"/>
  <c r="AW229"/>
  <c r="AQ229"/>
  <c r="AL229"/>
  <c r="AF229"/>
  <c r="BA229"/>
  <c r="AV229"/>
  <c r="AP229"/>
  <c r="AJ229"/>
  <c r="BA234"/>
  <c r="AW234"/>
  <c r="AS234"/>
  <c r="AN234"/>
  <c r="AJ234"/>
  <c r="AF234"/>
  <c r="BB234"/>
  <c r="AX234"/>
  <c r="AT234"/>
  <c r="AO234"/>
  <c r="AK234"/>
  <c r="AG234"/>
  <c r="AY234"/>
  <c r="AP234"/>
  <c r="AH234"/>
  <c r="BD234"/>
  <c r="AV234"/>
  <c r="AM234"/>
  <c r="BA238"/>
  <c r="AW238"/>
  <c r="AS238"/>
  <c r="AN238"/>
  <c r="AJ238"/>
  <c r="AF238"/>
  <c r="BB238"/>
  <c r="AX238"/>
  <c r="AT238"/>
  <c r="AO238"/>
  <c r="AK238"/>
  <c r="AG238"/>
  <c r="AY238"/>
  <c r="AP238"/>
  <c r="AH238"/>
  <c r="BD238"/>
  <c r="AV238"/>
  <c r="AM238"/>
  <c r="AY242"/>
  <c r="F183"/>
  <c r="AI183"/>
  <c r="AO183"/>
  <c r="AU183"/>
  <c r="AZ183"/>
  <c r="AI186"/>
  <c r="AN186"/>
  <c r="AU186"/>
  <c r="AZ186"/>
  <c r="AN192"/>
  <c r="AY192"/>
  <c r="AI199"/>
  <c r="AP199"/>
  <c r="AY199"/>
  <c r="AL219"/>
  <c r="F223"/>
  <c r="AY223"/>
  <c r="AM210"/>
  <c r="AY210"/>
  <c r="AM213"/>
  <c r="AY213"/>
  <c r="AK183"/>
  <c r="AP183"/>
  <c r="AV183"/>
  <c r="BB183"/>
  <c r="AJ186"/>
  <c r="AP186"/>
  <c r="AV186"/>
  <c r="BA186"/>
  <c r="AG187"/>
  <c r="AL187"/>
  <c r="AQ187"/>
  <c r="AX187"/>
  <c r="BC187"/>
  <c r="AH188"/>
  <c r="AN188"/>
  <c r="AT188"/>
  <c r="AY188"/>
  <c r="AF190"/>
  <c r="AL190"/>
  <c r="AQ190"/>
  <c r="AW190"/>
  <c r="BC190"/>
  <c r="AJ192"/>
  <c r="AO192"/>
  <c r="AU192"/>
  <c r="BA192"/>
  <c r="AI195"/>
  <c r="AO195"/>
  <c r="AU195"/>
  <c r="AZ195"/>
  <c r="AF196"/>
  <c r="AK196"/>
  <c r="AP196"/>
  <c r="AW196"/>
  <c r="BB196"/>
  <c r="AI198"/>
  <c r="AN198"/>
  <c r="AU198"/>
  <c r="AZ198"/>
  <c r="AK199"/>
  <c r="AQ199"/>
  <c r="AZ199"/>
  <c r="AH210"/>
  <c r="AT210"/>
  <c r="BD210"/>
  <c r="AH213"/>
  <c r="AS213"/>
  <c r="BD213"/>
  <c r="AO214"/>
  <c r="AZ214"/>
  <c r="AN219"/>
  <c r="AY219"/>
  <c r="AO223"/>
  <c r="BA223"/>
  <c r="AM226"/>
  <c r="AY226"/>
  <c r="AM229"/>
  <c r="AY229"/>
  <c r="AI230"/>
  <c r="AU230"/>
  <c r="AQ234"/>
  <c r="AH235"/>
  <c r="AY235"/>
  <c r="AQ238"/>
  <c r="AH239"/>
  <c r="AY239"/>
  <c r="BA206"/>
  <c r="AW206"/>
  <c r="AS206"/>
  <c r="AN206"/>
  <c r="AJ206"/>
  <c r="AF206"/>
  <c r="BB209"/>
  <c r="AX209"/>
  <c r="AT209"/>
  <c r="AO209"/>
  <c r="AK209"/>
  <c r="AG209"/>
  <c r="BA222"/>
  <c r="AW222"/>
  <c r="AS222"/>
  <c r="AN222"/>
  <c r="AJ222"/>
  <c r="AF222"/>
  <c r="BB225"/>
  <c r="AX225"/>
  <c r="AT225"/>
  <c r="AO225"/>
  <c r="AK225"/>
  <c r="AG225"/>
  <c r="AH185"/>
  <c r="AL185"/>
  <c r="AP185"/>
  <c r="AU185"/>
  <c r="AY185"/>
  <c r="AH193"/>
  <c r="AL193"/>
  <c r="AP193"/>
  <c r="AU193"/>
  <c r="AY193"/>
  <c r="AH197"/>
  <c r="AL197"/>
  <c r="AP197"/>
  <c r="AU197"/>
  <c r="AY197"/>
  <c r="AH202"/>
  <c r="AM202"/>
  <c r="AT202"/>
  <c r="AY202"/>
  <c r="AH205"/>
  <c r="AM205"/>
  <c r="AS205"/>
  <c r="AY205"/>
  <c r="AI206"/>
  <c r="AO206"/>
  <c r="AU206"/>
  <c r="AZ206"/>
  <c r="AI209"/>
  <c r="AN209"/>
  <c r="AU209"/>
  <c r="AZ209"/>
  <c r="AG211"/>
  <c r="AL211"/>
  <c r="AS211"/>
  <c r="AX211"/>
  <c r="AH218"/>
  <c r="AM218"/>
  <c r="AT218"/>
  <c r="AY218"/>
  <c r="AH221"/>
  <c r="AM221"/>
  <c r="AS221"/>
  <c r="AY221"/>
  <c r="AI222"/>
  <c r="AO222"/>
  <c r="AU222"/>
  <c r="AZ222"/>
  <c r="AI225"/>
  <c r="AN225"/>
  <c r="AU225"/>
  <c r="AZ225"/>
  <c r="AG227"/>
  <c r="AL227"/>
  <c r="AS227"/>
  <c r="AX227"/>
  <c r="BA202"/>
  <c r="AW202"/>
  <c r="AS202"/>
  <c r="AN202"/>
  <c r="AJ202"/>
  <c r="AF202"/>
  <c r="BB205"/>
  <c r="AX205"/>
  <c r="AT205"/>
  <c r="AO205"/>
  <c r="AK205"/>
  <c r="AG205"/>
  <c r="BD211"/>
  <c r="AZ211"/>
  <c r="AV211"/>
  <c r="AQ211"/>
  <c r="AM211"/>
  <c r="AI211"/>
  <c r="BA218"/>
  <c r="AW218"/>
  <c r="AS218"/>
  <c r="AN218"/>
  <c r="AJ218"/>
  <c r="AF218"/>
  <c r="BB221"/>
  <c r="AX221"/>
  <c r="AT221"/>
  <c r="AO221"/>
  <c r="AK221"/>
  <c r="AG221"/>
  <c r="BD227"/>
  <c r="AZ227"/>
  <c r="AV227"/>
  <c r="AQ227"/>
  <c r="AM227"/>
  <c r="AI227"/>
  <c r="AI202"/>
  <c r="AO202"/>
  <c r="AU202"/>
  <c r="AZ202"/>
  <c r="AI205"/>
  <c r="AN205"/>
  <c r="AU205"/>
  <c r="AZ205"/>
  <c r="AH211"/>
  <c r="AN211"/>
  <c r="AT211"/>
  <c r="AY211"/>
  <c r="AI218"/>
  <c r="AO218"/>
  <c r="AU218"/>
  <c r="AZ218"/>
  <c r="AI221"/>
  <c r="AN221"/>
  <c r="AU221"/>
  <c r="AZ221"/>
  <c r="AH227"/>
  <c r="AN227"/>
  <c r="AT227"/>
  <c r="AY227"/>
  <c r="AH233"/>
  <c r="AL233"/>
  <c r="AP233"/>
  <c r="AU233"/>
  <c r="AY233"/>
  <c r="BC233"/>
  <c r="AH237"/>
  <c r="AL237"/>
  <c r="AP237"/>
  <c r="AU237"/>
  <c r="AY237"/>
  <c r="BC237"/>
  <c r="AH241"/>
  <c r="AL241"/>
  <c r="AP241"/>
  <c r="AU241"/>
  <c r="AY241"/>
  <c r="BC241"/>
  <c r="AH204"/>
  <c r="AL204"/>
  <c r="AP204"/>
  <c r="AU204"/>
  <c r="AY204"/>
  <c r="AH208"/>
  <c r="AL208"/>
  <c r="AP208"/>
  <c r="AU208"/>
  <c r="AY208"/>
  <c r="AH212"/>
  <c r="AL212"/>
  <c r="AP212"/>
  <c r="AU212"/>
  <c r="AY212"/>
  <c r="AH216"/>
  <c r="AL216"/>
  <c r="AP216"/>
  <c r="AU216"/>
  <c r="AY216"/>
  <c r="AH220"/>
  <c r="AL220"/>
  <c r="AP220"/>
  <c r="AU220"/>
  <c r="AY220"/>
  <c r="AH224"/>
  <c r="AL224"/>
  <c r="AP224"/>
  <c r="AU224"/>
  <c r="AY224"/>
  <c r="AH228"/>
  <c r="AL228"/>
  <c r="AP228"/>
  <c r="AU228"/>
  <c r="AY228"/>
  <c r="AH232"/>
  <c r="AL232"/>
  <c r="AP232"/>
  <c r="AU232"/>
  <c r="AY232"/>
  <c r="AG233"/>
  <c r="AK233"/>
  <c r="AO233"/>
  <c r="AT233"/>
  <c r="AX233"/>
  <c r="AH236"/>
  <c r="AL236"/>
  <c r="AP236"/>
  <c r="AU236"/>
  <c r="AY236"/>
  <c r="AG237"/>
  <c r="AK237"/>
  <c r="AO237"/>
  <c r="AT237"/>
  <c r="AX237"/>
  <c r="AH240"/>
  <c r="AL240"/>
  <c r="AP240"/>
  <c r="AU240"/>
  <c r="AY240"/>
  <c r="AG241"/>
  <c r="AK241"/>
  <c r="AO241"/>
  <c r="AT241"/>
  <c r="AX241"/>
  <c r="BB133"/>
  <c r="BC132"/>
  <c r="F123"/>
  <c r="F135"/>
  <c r="F136"/>
  <c r="AG63"/>
  <c r="AF64"/>
  <c r="AQ64"/>
  <c r="BB64"/>
  <c r="AN65"/>
  <c r="AI66"/>
  <c r="F68"/>
  <c r="AN68"/>
  <c r="AZ68"/>
  <c r="AQ69"/>
  <c r="AO71"/>
  <c r="AS72"/>
  <c r="AQ73"/>
  <c r="AV74"/>
  <c r="AJ76"/>
  <c r="AV76"/>
  <c r="F77"/>
  <c r="AS77"/>
  <c r="AP79"/>
  <c r="AI80"/>
  <c r="AT80"/>
  <c r="F81"/>
  <c r="AS81"/>
  <c r="BC83"/>
  <c r="BA83"/>
  <c r="AM84"/>
  <c r="BC84"/>
  <c r="BD85"/>
  <c r="AQ87"/>
  <c r="AU88"/>
  <c r="AK90"/>
  <c r="AN91"/>
  <c r="AI92"/>
  <c r="AL93"/>
  <c r="BC95"/>
  <c r="BA95"/>
  <c r="AM96"/>
  <c r="BD96"/>
  <c r="AM99"/>
  <c r="AV101"/>
  <c r="AQ103"/>
  <c r="BC104"/>
  <c r="AV104"/>
  <c r="AV105"/>
  <c r="BB107"/>
  <c r="AF108"/>
  <c r="AW108"/>
  <c r="AN111"/>
  <c r="BC112"/>
  <c r="AV112"/>
  <c r="BD113"/>
  <c r="AS115"/>
  <c r="AN116"/>
  <c r="AZ117"/>
  <c r="AW119"/>
  <c r="AI120"/>
  <c r="AZ120"/>
  <c r="AU122"/>
  <c r="BA86"/>
  <c r="AN94"/>
  <c r="AP63"/>
  <c r="F64"/>
  <c r="AI64"/>
  <c r="AN64"/>
  <c r="AT64"/>
  <c r="AZ64"/>
  <c r="F65"/>
  <c r="AJ65"/>
  <c r="AS65"/>
  <c r="BA65"/>
  <c r="AX67"/>
  <c r="AF68"/>
  <c r="AK68"/>
  <c r="AQ68"/>
  <c r="AW68"/>
  <c r="BB68"/>
  <c r="BB69"/>
  <c r="AM69"/>
  <c r="AV69"/>
  <c r="BD69"/>
  <c r="F71"/>
  <c r="AY71"/>
  <c r="AO72"/>
  <c r="BB73"/>
  <c r="AM73"/>
  <c r="AV73"/>
  <c r="BD73"/>
  <c r="AH75"/>
  <c r="AG76"/>
  <c r="AM76"/>
  <c r="AS76"/>
  <c r="AX76"/>
  <c r="BD76"/>
  <c r="AF77"/>
  <c r="AN77"/>
  <c r="AW77"/>
  <c r="F78"/>
  <c r="AG79"/>
  <c r="BC79"/>
  <c r="AF80"/>
  <c r="AK80"/>
  <c r="AQ80"/>
  <c r="AW80"/>
  <c r="BB80"/>
  <c r="AF81"/>
  <c r="AN81"/>
  <c r="AW81"/>
  <c r="AJ82"/>
  <c r="AJ83"/>
  <c r="AV83"/>
  <c r="AJ84"/>
  <c r="AQ84"/>
  <c r="AY84"/>
  <c r="F85"/>
  <c r="AT85"/>
  <c r="AK87"/>
  <c r="AW87"/>
  <c r="AN88"/>
  <c r="BA90"/>
  <c r="AI91"/>
  <c r="AT91"/>
  <c r="AP92"/>
  <c r="AG93"/>
  <c r="AQ93"/>
  <c r="BC93"/>
  <c r="AJ95"/>
  <c r="AV95"/>
  <c r="AI96"/>
  <c r="AQ96"/>
  <c r="AZ96"/>
  <c r="AL97"/>
  <c r="BD97"/>
  <c r="AG99"/>
  <c r="AS99"/>
  <c r="BD99"/>
  <c r="AN100"/>
  <c r="AK103"/>
  <c r="AW103"/>
  <c r="AI104"/>
  <c r="AQ104"/>
  <c r="AZ104"/>
  <c r="AZ105"/>
  <c r="BC106"/>
  <c r="AK107"/>
  <c r="AW107"/>
  <c r="F108"/>
  <c r="AJ108"/>
  <c r="AS108"/>
  <c r="BA108"/>
  <c r="BD109"/>
  <c r="AI111"/>
  <c r="AT111"/>
  <c r="AI112"/>
  <c r="AQ112"/>
  <c r="AZ112"/>
  <c r="AM113"/>
  <c r="AM115"/>
  <c r="AX115"/>
  <c r="F116"/>
  <c r="AJ116"/>
  <c r="AS116"/>
  <c r="BA116"/>
  <c r="AV117"/>
  <c r="AF119"/>
  <c r="AQ119"/>
  <c r="BB119"/>
  <c r="BC120"/>
  <c r="AM120"/>
  <c r="AV120"/>
  <c r="BD120"/>
  <c r="AV121"/>
  <c r="AZ74"/>
  <c r="AT82"/>
  <c r="BC90"/>
  <c r="BC63"/>
  <c r="AK64"/>
  <c r="AW64"/>
  <c r="AF65"/>
  <c r="AW65"/>
  <c r="AL67"/>
  <c r="AI68"/>
  <c r="AT68"/>
  <c r="AI69"/>
  <c r="AZ69"/>
  <c r="AP70"/>
  <c r="AX72"/>
  <c r="AI73"/>
  <c r="AZ73"/>
  <c r="AU75"/>
  <c r="BC76"/>
  <c r="AO76"/>
  <c r="BA76"/>
  <c r="AJ77"/>
  <c r="BA77"/>
  <c r="AZ78"/>
  <c r="F80"/>
  <c r="AN80"/>
  <c r="AZ80"/>
  <c r="AJ81"/>
  <c r="BA81"/>
  <c r="AO83"/>
  <c r="AF84"/>
  <c r="AV84"/>
  <c r="AH85"/>
  <c r="AF87"/>
  <c r="BB87"/>
  <c r="AZ88"/>
  <c r="F91"/>
  <c r="AZ91"/>
  <c r="AV92"/>
  <c r="AX93"/>
  <c r="AO95"/>
  <c r="BC96"/>
  <c r="AV96"/>
  <c r="AV97"/>
  <c r="AX99"/>
  <c r="BA100"/>
  <c r="AF103"/>
  <c r="BB103"/>
  <c r="AM104"/>
  <c r="BD104"/>
  <c r="AF107"/>
  <c r="AQ107"/>
  <c r="AN108"/>
  <c r="F111"/>
  <c r="AZ111"/>
  <c r="AM112"/>
  <c r="BD112"/>
  <c r="AG115"/>
  <c r="BD115"/>
  <c r="AF116"/>
  <c r="AW116"/>
  <c r="AK119"/>
  <c r="AQ120"/>
  <c r="AZ121"/>
  <c r="AV70"/>
  <c r="AV78"/>
  <c r="AY110"/>
  <c r="F63"/>
  <c r="AY63"/>
  <c r="BC64"/>
  <c r="AJ64"/>
  <c r="AO64"/>
  <c r="AV64"/>
  <c r="BB65"/>
  <c r="AM65"/>
  <c r="AV65"/>
  <c r="AG68"/>
  <c r="AM68"/>
  <c r="AS68"/>
  <c r="AX68"/>
  <c r="AF69"/>
  <c r="AN69"/>
  <c r="AG71"/>
  <c r="BC71"/>
  <c r="AK72"/>
  <c r="AF73"/>
  <c r="AN73"/>
  <c r="F76"/>
  <c r="AI76"/>
  <c r="AN76"/>
  <c r="AT76"/>
  <c r="AI77"/>
  <c r="AQ77"/>
  <c r="AO79"/>
  <c r="AG80"/>
  <c r="AM80"/>
  <c r="AS80"/>
  <c r="AX80"/>
  <c r="AI81"/>
  <c r="AQ81"/>
  <c r="AK83"/>
  <c r="F84"/>
  <c r="AL84"/>
  <c r="AS84"/>
  <c r="AU85"/>
  <c r="AM87"/>
  <c r="AX87"/>
  <c r="F88"/>
  <c r="AM91"/>
  <c r="F92"/>
  <c r="AK93"/>
  <c r="AK95"/>
  <c r="AW95"/>
  <c r="F96"/>
  <c r="AJ96"/>
  <c r="AS96"/>
  <c r="AK99"/>
  <c r="AQ100"/>
  <c r="AM103"/>
  <c r="AX103"/>
  <c r="F104"/>
  <c r="AJ104"/>
  <c r="AS104"/>
  <c r="BC107"/>
  <c r="AO107"/>
  <c r="BC108"/>
  <c r="AM108"/>
  <c r="AV108"/>
  <c r="AJ111"/>
  <c r="AV111"/>
  <c r="F112"/>
  <c r="AJ112"/>
  <c r="AS112"/>
  <c r="F115"/>
  <c r="AN115"/>
  <c r="BC116"/>
  <c r="AM116"/>
  <c r="AV116"/>
  <c r="AG119"/>
  <c r="AS119"/>
  <c r="BD119"/>
  <c r="AF120"/>
  <c r="AN120"/>
  <c r="AQ66"/>
  <c r="AM70"/>
  <c r="AY70"/>
  <c r="AH74"/>
  <c r="BD74"/>
  <c r="AF86"/>
  <c r="AP86"/>
  <c r="BB86"/>
  <c r="AU98"/>
  <c r="AL110"/>
  <c r="BC118"/>
  <c r="AL122"/>
  <c r="AH63"/>
  <c r="AU63"/>
  <c r="AM66"/>
  <c r="AY66"/>
  <c r="F67"/>
  <c r="AO67"/>
  <c r="AY67"/>
  <c r="AH70"/>
  <c r="AQ70"/>
  <c r="BD70"/>
  <c r="AH71"/>
  <c r="AU71"/>
  <c r="AM74"/>
  <c r="AY74"/>
  <c r="F75"/>
  <c r="AO75"/>
  <c r="AY75"/>
  <c r="AH78"/>
  <c r="AQ78"/>
  <c r="BD78"/>
  <c r="AH79"/>
  <c r="AU79"/>
  <c r="AO82"/>
  <c r="AG83"/>
  <c r="AM83"/>
  <c r="AS83"/>
  <c r="AX83"/>
  <c r="BD83"/>
  <c r="AK86"/>
  <c r="AW86"/>
  <c r="F87"/>
  <c r="AI87"/>
  <c r="AN87"/>
  <c r="AT87"/>
  <c r="AZ87"/>
  <c r="AF90"/>
  <c r="AL90"/>
  <c r="AU90"/>
  <c r="BB90"/>
  <c r="BC91"/>
  <c r="AJ91"/>
  <c r="AO91"/>
  <c r="AV91"/>
  <c r="BA91"/>
  <c r="AG95"/>
  <c r="AM95"/>
  <c r="AS95"/>
  <c r="AX95"/>
  <c r="BD95"/>
  <c r="F98"/>
  <c r="F99"/>
  <c r="AI99"/>
  <c r="AN99"/>
  <c r="AT99"/>
  <c r="AZ99"/>
  <c r="AL102"/>
  <c r="F103"/>
  <c r="AI103"/>
  <c r="AN103"/>
  <c r="AT103"/>
  <c r="AZ103"/>
  <c r="AG107"/>
  <c r="AM107"/>
  <c r="AS107"/>
  <c r="AX107"/>
  <c r="BD107"/>
  <c r="BC110"/>
  <c r="AF111"/>
  <c r="AK111"/>
  <c r="AQ111"/>
  <c r="AW111"/>
  <c r="BB111"/>
  <c r="AU114"/>
  <c r="BC115"/>
  <c r="AJ115"/>
  <c r="AO115"/>
  <c r="AV115"/>
  <c r="BA115"/>
  <c r="AL118"/>
  <c r="F119"/>
  <c r="AI119"/>
  <c r="AN119"/>
  <c r="AT119"/>
  <c r="AZ119"/>
  <c r="BC122"/>
  <c r="AH66"/>
  <c r="BD66"/>
  <c r="AQ74"/>
  <c r="AM78"/>
  <c r="AY78"/>
  <c r="AH82"/>
  <c r="AU82"/>
  <c r="AJ90"/>
  <c r="AP90"/>
  <c r="AX90"/>
  <c r="BC102"/>
  <c r="AU106"/>
  <c r="AL63"/>
  <c r="F66"/>
  <c r="AP66"/>
  <c r="AG67"/>
  <c r="AP67"/>
  <c r="AI70"/>
  <c r="AL71"/>
  <c r="F74"/>
  <c r="AP74"/>
  <c r="AG75"/>
  <c r="AP75"/>
  <c r="AI78"/>
  <c r="AL79"/>
  <c r="F82"/>
  <c r="F83"/>
  <c r="AI83"/>
  <c r="AN83"/>
  <c r="AT83"/>
  <c r="F86"/>
  <c r="AO86"/>
  <c r="BC87"/>
  <c r="AJ87"/>
  <c r="AO87"/>
  <c r="AV87"/>
  <c r="AG90"/>
  <c r="AO90"/>
  <c r="AW90"/>
  <c r="AF91"/>
  <c r="AK91"/>
  <c r="AQ91"/>
  <c r="AW91"/>
  <c r="F95"/>
  <c r="AI95"/>
  <c r="AN95"/>
  <c r="AT95"/>
  <c r="BC99"/>
  <c r="AJ99"/>
  <c r="AO99"/>
  <c r="AV99"/>
  <c r="BC103"/>
  <c r="AJ103"/>
  <c r="AO103"/>
  <c r="AV103"/>
  <c r="F107"/>
  <c r="AI107"/>
  <c r="AN107"/>
  <c r="AT107"/>
  <c r="AG111"/>
  <c r="AM111"/>
  <c r="AS111"/>
  <c r="AX111"/>
  <c r="AF115"/>
  <c r="AK115"/>
  <c r="AQ115"/>
  <c r="AW115"/>
  <c r="BC119"/>
  <c r="AJ119"/>
  <c r="AO119"/>
  <c r="AV119"/>
  <c r="BA89"/>
  <c r="AW89"/>
  <c r="AS89"/>
  <c r="AN89"/>
  <c r="AJ89"/>
  <c r="AF89"/>
  <c r="BC89"/>
  <c r="AX89"/>
  <c r="AQ89"/>
  <c r="AL89"/>
  <c r="AG89"/>
  <c r="BD89"/>
  <c r="AY89"/>
  <c r="AT89"/>
  <c r="AM89"/>
  <c r="AH89"/>
  <c r="BC22"/>
  <c r="AQ22"/>
  <c r="BC30"/>
  <c r="AZ30"/>
  <c r="AF30"/>
  <c r="BD94"/>
  <c r="AZ94"/>
  <c r="AV94"/>
  <c r="AQ94"/>
  <c r="AM94"/>
  <c r="AI94"/>
  <c r="BA94"/>
  <c r="AU94"/>
  <c r="AO94"/>
  <c r="AJ94"/>
  <c r="BB94"/>
  <c r="AW94"/>
  <c r="AP94"/>
  <c r="AK94"/>
  <c r="AF94"/>
  <c r="BC60"/>
  <c r="BB60"/>
  <c r="AV60"/>
  <c r="AM60"/>
  <c r="AF60"/>
  <c r="BD60"/>
  <c r="AW60"/>
  <c r="AO60"/>
  <c r="AG60"/>
  <c r="BD63"/>
  <c r="AZ63"/>
  <c r="AV63"/>
  <c r="AQ63"/>
  <c r="AM63"/>
  <c r="AI63"/>
  <c r="BA63"/>
  <c r="AW63"/>
  <c r="AS63"/>
  <c r="AN63"/>
  <c r="AJ63"/>
  <c r="AF63"/>
  <c r="BA66"/>
  <c r="AW66"/>
  <c r="AS66"/>
  <c r="AN66"/>
  <c r="AJ66"/>
  <c r="AF66"/>
  <c r="BB66"/>
  <c r="AX66"/>
  <c r="AT66"/>
  <c r="AO66"/>
  <c r="AK66"/>
  <c r="AG66"/>
  <c r="BD67"/>
  <c r="AZ67"/>
  <c r="AV67"/>
  <c r="AQ67"/>
  <c r="AM67"/>
  <c r="AI67"/>
  <c r="BA67"/>
  <c r="AW67"/>
  <c r="AS67"/>
  <c r="AN67"/>
  <c r="AJ67"/>
  <c r="AF67"/>
  <c r="BA70"/>
  <c r="AW70"/>
  <c r="AS70"/>
  <c r="AN70"/>
  <c r="AJ70"/>
  <c r="AF70"/>
  <c r="BB70"/>
  <c r="AX70"/>
  <c r="AT70"/>
  <c r="AO70"/>
  <c r="AK70"/>
  <c r="AG70"/>
  <c r="BD71"/>
  <c r="AZ71"/>
  <c r="AV71"/>
  <c r="AQ71"/>
  <c r="AM71"/>
  <c r="AI71"/>
  <c r="BA71"/>
  <c r="AW71"/>
  <c r="AS71"/>
  <c r="AN71"/>
  <c r="AJ71"/>
  <c r="AF71"/>
  <c r="BA74"/>
  <c r="AW74"/>
  <c r="AS74"/>
  <c r="AN74"/>
  <c r="AJ74"/>
  <c r="AF74"/>
  <c r="BB74"/>
  <c r="AX74"/>
  <c r="AT74"/>
  <c r="AO74"/>
  <c r="AK74"/>
  <c r="AG74"/>
  <c r="BD75"/>
  <c r="AZ75"/>
  <c r="AV75"/>
  <c r="AQ75"/>
  <c r="AM75"/>
  <c r="AI75"/>
  <c r="BA75"/>
  <c r="AW75"/>
  <c r="AS75"/>
  <c r="AN75"/>
  <c r="AJ75"/>
  <c r="AF75"/>
  <c r="BA78"/>
  <c r="AW78"/>
  <c r="AS78"/>
  <c r="AN78"/>
  <c r="AJ78"/>
  <c r="AF78"/>
  <c r="BB78"/>
  <c r="AX78"/>
  <c r="AT78"/>
  <c r="AO78"/>
  <c r="AK78"/>
  <c r="AG78"/>
  <c r="BD79"/>
  <c r="AZ79"/>
  <c r="AV79"/>
  <c r="AQ79"/>
  <c r="AM79"/>
  <c r="AI79"/>
  <c r="BA79"/>
  <c r="AW79"/>
  <c r="AS79"/>
  <c r="AN79"/>
  <c r="AJ79"/>
  <c r="AF79"/>
  <c r="BD82"/>
  <c r="AZ82"/>
  <c r="AV82"/>
  <c r="AQ82"/>
  <c r="AM82"/>
  <c r="AI82"/>
  <c r="BB82"/>
  <c r="AW82"/>
  <c r="AP82"/>
  <c r="AK82"/>
  <c r="AF82"/>
  <c r="BC82"/>
  <c r="AX82"/>
  <c r="AS82"/>
  <c r="AL82"/>
  <c r="AG82"/>
  <c r="BB92"/>
  <c r="AX92"/>
  <c r="AT92"/>
  <c r="AO92"/>
  <c r="AK92"/>
  <c r="AG92"/>
  <c r="BC92"/>
  <c r="AW92"/>
  <c r="AQ92"/>
  <c r="AL92"/>
  <c r="AF92"/>
  <c r="BD92"/>
  <c r="AY92"/>
  <c r="AS92"/>
  <c r="AM92"/>
  <c r="AH92"/>
  <c r="BB97"/>
  <c r="AX97"/>
  <c r="AT97"/>
  <c r="AO97"/>
  <c r="AK97"/>
  <c r="AG97"/>
  <c r="BA97"/>
  <c r="AW97"/>
  <c r="AS97"/>
  <c r="AN97"/>
  <c r="AJ97"/>
  <c r="AF97"/>
  <c r="AY97"/>
  <c r="AP97"/>
  <c r="AH97"/>
  <c r="AZ97"/>
  <c r="AQ97"/>
  <c r="AI97"/>
  <c r="AO89"/>
  <c r="AZ89"/>
  <c r="AL94"/>
  <c r="AX94"/>
  <c r="AI30"/>
  <c r="AQ60"/>
  <c r="AK63"/>
  <c r="AT63"/>
  <c r="BB63"/>
  <c r="AL66"/>
  <c r="AU66"/>
  <c r="BC66"/>
  <c r="AK67"/>
  <c r="AT67"/>
  <c r="BB67"/>
  <c r="AL70"/>
  <c r="AU70"/>
  <c r="BC70"/>
  <c r="AK71"/>
  <c r="AT71"/>
  <c r="BB71"/>
  <c r="AL74"/>
  <c r="AU74"/>
  <c r="BC74"/>
  <c r="AK75"/>
  <c r="AT75"/>
  <c r="BB75"/>
  <c r="AL78"/>
  <c r="AU78"/>
  <c r="BC78"/>
  <c r="AK79"/>
  <c r="AT79"/>
  <c r="BB79"/>
  <c r="AN82"/>
  <c r="AY82"/>
  <c r="AI85"/>
  <c r="AI88"/>
  <c r="AP89"/>
  <c r="BB89"/>
  <c r="AN92"/>
  <c r="AZ92"/>
  <c r="AG94"/>
  <c r="AS94"/>
  <c r="BC94"/>
  <c r="AU97"/>
  <c r="AK98"/>
  <c r="BA98"/>
  <c r="AW98"/>
  <c r="AS98"/>
  <c r="AN98"/>
  <c r="AJ98"/>
  <c r="AF98"/>
  <c r="BD98"/>
  <c r="AZ98"/>
  <c r="AV98"/>
  <c r="AQ98"/>
  <c r="AM98"/>
  <c r="AI98"/>
  <c r="AX98"/>
  <c r="AO98"/>
  <c r="AG98"/>
  <c r="AY98"/>
  <c r="AP98"/>
  <c r="AH98"/>
  <c r="BB23"/>
  <c r="AI23"/>
  <c r="AO45"/>
  <c r="BA85"/>
  <c r="AW85"/>
  <c r="AS85"/>
  <c r="AN85"/>
  <c r="AJ85"/>
  <c r="AF85"/>
  <c r="BB85"/>
  <c r="AV85"/>
  <c r="AP85"/>
  <c r="AK85"/>
  <c r="BC85"/>
  <c r="AX85"/>
  <c r="AQ85"/>
  <c r="AL85"/>
  <c r="AG85"/>
  <c r="BB88"/>
  <c r="AX88"/>
  <c r="AT88"/>
  <c r="AO88"/>
  <c r="AK88"/>
  <c r="AG88"/>
  <c r="BA88"/>
  <c r="AV88"/>
  <c r="AP88"/>
  <c r="AJ88"/>
  <c r="BC88"/>
  <c r="AW88"/>
  <c r="AQ88"/>
  <c r="AL88"/>
  <c r="AF88"/>
  <c r="F21"/>
  <c r="F22"/>
  <c r="AK89"/>
  <c r="AV89"/>
  <c r="F94"/>
  <c r="AT98"/>
  <c r="AV30"/>
  <c r="AM85"/>
  <c r="AY85"/>
  <c r="AM88"/>
  <c r="AY88"/>
  <c r="AI89"/>
  <c r="AU89"/>
  <c r="BA92"/>
  <c r="AH94"/>
  <c r="AT94"/>
  <c r="AL98"/>
  <c r="BC98"/>
  <c r="BB101"/>
  <c r="AX101"/>
  <c r="AT101"/>
  <c r="AO101"/>
  <c r="AK101"/>
  <c r="AG101"/>
  <c r="BA101"/>
  <c r="AW101"/>
  <c r="AS101"/>
  <c r="AN101"/>
  <c r="AJ101"/>
  <c r="AF101"/>
  <c r="BA102"/>
  <c r="AW102"/>
  <c r="AS102"/>
  <c r="AN102"/>
  <c r="AJ102"/>
  <c r="AF102"/>
  <c r="BD102"/>
  <c r="AZ102"/>
  <c r="AV102"/>
  <c r="AQ102"/>
  <c r="AM102"/>
  <c r="AI102"/>
  <c r="BA106"/>
  <c r="AW106"/>
  <c r="AS106"/>
  <c r="AN106"/>
  <c r="AJ106"/>
  <c r="AF106"/>
  <c r="BD106"/>
  <c r="AZ106"/>
  <c r="AV106"/>
  <c r="AQ106"/>
  <c r="AM106"/>
  <c r="AI106"/>
  <c r="BB109"/>
  <c r="AX109"/>
  <c r="AT109"/>
  <c r="AO109"/>
  <c r="AK109"/>
  <c r="AG109"/>
  <c r="BA109"/>
  <c r="AW109"/>
  <c r="AS109"/>
  <c r="AN109"/>
  <c r="AJ109"/>
  <c r="AF109"/>
  <c r="BA114"/>
  <c r="AW114"/>
  <c r="AS114"/>
  <c r="AN114"/>
  <c r="AJ114"/>
  <c r="AF114"/>
  <c r="BD114"/>
  <c r="AZ114"/>
  <c r="AV114"/>
  <c r="AQ114"/>
  <c r="AM114"/>
  <c r="AI114"/>
  <c r="BA118"/>
  <c r="AW118"/>
  <c r="AS118"/>
  <c r="AN118"/>
  <c r="AJ118"/>
  <c r="AF118"/>
  <c r="BD118"/>
  <c r="AZ118"/>
  <c r="AV118"/>
  <c r="AQ118"/>
  <c r="AM118"/>
  <c r="AI118"/>
  <c r="BD86"/>
  <c r="AZ86"/>
  <c r="AV86"/>
  <c r="AQ86"/>
  <c r="AM86"/>
  <c r="AI86"/>
  <c r="BA93"/>
  <c r="AW93"/>
  <c r="AS93"/>
  <c r="AN93"/>
  <c r="AJ93"/>
  <c r="AF93"/>
  <c r="AL101"/>
  <c r="BC101"/>
  <c r="AK102"/>
  <c r="AT102"/>
  <c r="BB102"/>
  <c r="F105"/>
  <c r="AL109"/>
  <c r="BC109"/>
  <c r="F110"/>
  <c r="AK110"/>
  <c r="AT110"/>
  <c r="BB110"/>
  <c r="F113"/>
  <c r="AL113"/>
  <c r="AK114"/>
  <c r="AT114"/>
  <c r="BB114"/>
  <c r="F117"/>
  <c r="AU117"/>
  <c r="AK118"/>
  <c r="AT118"/>
  <c r="BB118"/>
  <c r="F121"/>
  <c r="AL121"/>
  <c r="AU121"/>
  <c r="BC121"/>
  <c r="F122"/>
  <c r="AK122"/>
  <c r="AT122"/>
  <c r="F38"/>
  <c r="AT47"/>
  <c r="AV53"/>
  <c r="AJ56"/>
  <c r="AQ56"/>
  <c r="AX56"/>
  <c r="AH65"/>
  <c r="AL65"/>
  <c r="AP65"/>
  <c r="AU65"/>
  <c r="AY65"/>
  <c r="BC65"/>
  <c r="AH69"/>
  <c r="AL69"/>
  <c r="AP69"/>
  <c r="AU69"/>
  <c r="AY69"/>
  <c r="BC69"/>
  <c r="AH73"/>
  <c r="AL73"/>
  <c r="AP73"/>
  <c r="AU73"/>
  <c r="AY73"/>
  <c r="BC73"/>
  <c r="AH77"/>
  <c r="AL77"/>
  <c r="AP77"/>
  <c r="AU77"/>
  <c r="AY77"/>
  <c r="BC77"/>
  <c r="AH81"/>
  <c r="AL81"/>
  <c r="AP81"/>
  <c r="AU81"/>
  <c r="AY81"/>
  <c r="BC81"/>
  <c r="AH86"/>
  <c r="AN86"/>
  <c r="AT86"/>
  <c r="AY86"/>
  <c r="AI93"/>
  <c r="AO93"/>
  <c r="AU93"/>
  <c r="AZ93"/>
  <c r="AI101"/>
  <c r="AQ101"/>
  <c r="AZ101"/>
  <c r="AH102"/>
  <c r="AP102"/>
  <c r="AY102"/>
  <c r="AI105"/>
  <c r="AQ105"/>
  <c r="AH106"/>
  <c r="AP106"/>
  <c r="AY106"/>
  <c r="AI109"/>
  <c r="AQ109"/>
  <c r="AZ109"/>
  <c r="AH110"/>
  <c r="AP110"/>
  <c r="AI113"/>
  <c r="AQ113"/>
  <c r="AH114"/>
  <c r="AP114"/>
  <c r="AY114"/>
  <c r="AI117"/>
  <c r="AQ117"/>
  <c r="AH118"/>
  <c r="AP118"/>
  <c r="AY118"/>
  <c r="AI121"/>
  <c r="AQ121"/>
  <c r="AH122"/>
  <c r="AP122"/>
  <c r="BB105"/>
  <c r="AX105"/>
  <c r="AT105"/>
  <c r="AO105"/>
  <c r="AK105"/>
  <c r="AG105"/>
  <c r="BA105"/>
  <c r="AW105"/>
  <c r="AS105"/>
  <c r="AN105"/>
  <c r="AJ105"/>
  <c r="AF105"/>
  <c r="BA110"/>
  <c r="AW110"/>
  <c r="AS110"/>
  <c r="AN110"/>
  <c r="AJ110"/>
  <c r="AF110"/>
  <c r="BD110"/>
  <c r="AZ110"/>
  <c r="AV110"/>
  <c r="AQ110"/>
  <c r="AM110"/>
  <c r="AI110"/>
  <c r="BB113"/>
  <c r="AX113"/>
  <c r="AT113"/>
  <c r="AO113"/>
  <c r="AK113"/>
  <c r="AG113"/>
  <c r="BA113"/>
  <c r="AW113"/>
  <c r="AS113"/>
  <c r="AN113"/>
  <c r="AJ113"/>
  <c r="AF113"/>
  <c r="BB117"/>
  <c r="AX117"/>
  <c r="AT117"/>
  <c r="AO117"/>
  <c r="AK117"/>
  <c r="AG117"/>
  <c r="BA117"/>
  <c r="AW117"/>
  <c r="AS117"/>
  <c r="AN117"/>
  <c r="AJ117"/>
  <c r="AF117"/>
  <c r="BB121"/>
  <c r="AX121"/>
  <c r="AT121"/>
  <c r="AO121"/>
  <c r="AK121"/>
  <c r="AG121"/>
  <c r="BA121"/>
  <c r="AW121"/>
  <c r="AS121"/>
  <c r="AN121"/>
  <c r="AJ121"/>
  <c r="AF121"/>
  <c r="BA122"/>
  <c r="AW122"/>
  <c r="AS122"/>
  <c r="AN122"/>
  <c r="AJ122"/>
  <c r="AF122"/>
  <c r="BD122"/>
  <c r="AZ122"/>
  <c r="AV122"/>
  <c r="AQ122"/>
  <c r="AM122"/>
  <c r="AI122"/>
  <c r="BB84"/>
  <c r="AX84"/>
  <c r="AT84"/>
  <c r="AO84"/>
  <c r="AK84"/>
  <c r="AG84"/>
  <c r="BD90"/>
  <c r="AZ90"/>
  <c r="AV90"/>
  <c r="AQ90"/>
  <c r="AM90"/>
  <c r="AI90"/>
  <c r="F101"/>
  <c r="AU101"/>
  <c r="F102"/>
  <c r="AL105"/>
  <c r="AU105"/>
  <c r="BC105"/>
  <c r="F106"/>
  <c r="AK106"/>
  <c r="AT106"/>
  <c r="BB106"/>
  <c r="F109"/>
  <c r="AU109"/>
  <c r="AU113"/>
  <c r="BC113"/>
  <c r="F114"/>
  <c r="AL117"/>
  <c r="BC117"/>
  <c r="F118"/>
  <c r="BB122"/>
  <c r="F8"/>
  <c r="AI47"/>
  <c r="AM53"/>
  <c r="AG56"/>
  <c r="AO56"/>
  <c r="AW56"/>
  <c r="BD56"/>
  <c r="AH64"/>
  <c r="AL64"/>
  <c r="AP64"/>
  <c r="AU64"/>
  <c r="AY64"/>
  <c r="AG65"/>
  <c r="AK65"/>
  <c r="AO65"/>
  <c r="AT65"/>
  <c r="AX65"/>
  <c r="AH68"/>
  <c r="AL68"/>
  <c r="AP68"/>
  <c r="AU68"/>
  <c r="AY68"/>
  <c r="AG69"/>
  <c r="AK69"/>
  <c r="AO69"/>
  <c r="AT69"/>
  <c r="AX69"/>
  <c r="AH72"/>
  <c r="AY72"/>
  <c r="AG73"/>
  <c r="AK73"/>
  <c r="AO73"/>
  <c r="AT73"/>
  <c r="AX73"/>
  <c r="AH76"/>
  <c r="AL76"/>
  <c r="AP76"/>
  <c r="AU76"/>
  <c r="AY76"/>
  <c r="AG77"/>
  <c r="AK77"/>
  <c r="AO77"/>
  <c r="AT77"/>
  <c r="AX77"/>
  <c r="AH80"/>
  <c r="AL80"/>
  <c r="AP80"/>
  <c r="AU80"/>
  <c r="AY80"/>
  <c r="AG81"/>
  <c r="AK81"/>
  <c r="AO81"/>
  <c r="AT81"/>
  <c r="AX81"/>
  <c r="AI84"/>
  <c r="AN84"/>
  <c r="AU84"/>
  <c r="AZ84"/>
  <c r="AG86"/>
  <c r="AL86"/>
  <c r="AS86"/>
  <c r="AX86"/>
  <c r="BC86"/>
  <c r="AH90"/>
  <c r="AN90"/>
  <c r="AT90"/>
  <c r="AY90"/>
  <c r="AH93"/>
  <c r="AM93"/>
  <c r="AT93"/>
  <c r="AY93"/>
  <c r="BD93"/>
  <c r="AH101"/>
  <c r="AP101"/>
  <c r="AY101"/>
  <c r="AG102"/>
  <c r="AO102"/>
  <c r="AX102"/>
  <c r="AH105"/>
  <c r="AP105"/>
  <c r="AY105"/>
  <c r="AG106"/>
  <c r="AO106"/>
  <c r="AX106"/>
  <c r="AH109"/>
  <c r="AP109"/>
  <c r="AY109"/>
  <c r="AG110"/>
  <c r="AO110"/>
  <c r="AX110"/>
  <c r="AH113"/>
  <c r="AP113"/>
  <c r="AY113"/>
  <c r="AG114"/>
  <c r="AO114"/>
  <c r="AX114"/>
  <c r="AH117"/>
  <c r="AP117"/>
  <c r="AY117"/>
  <c r="AG118"/>
  <c r="AO118"/>
  <c r="AX118"/>
  <c r="AH121"/>
  <c r="AP121"/>
  <c r="AY121"/>
  <c r="AG122"/>
  <c r="AO122"/>
  <c r="AX122"/>
  <c r="AH83"/>
  <c r="AL83"/>
  <c r="AP83"/>
  <c r="AU83"/>
  <c r="AY83"/>
  <c r="AH87"/>
  <c r="AL87"/>
  <c r="AP87"/>
  <c r="AU87"/>
  <c r="AY87"/>
  <c r="AH91"/>
  <c r="AL91"/>
  <c r="AP91"/>
  <c r="AU91"/>
  <c r="AY91"/>
  <c r="AH95"/>
  <c r="AL95"/>
  <c r="AP95"/>
  <c r="AU95"/>
  <c r="AY95"/>
  <c r="AG96"/>
  <c r="AK96"/>
  <c r="AO96"/>
  <c r="AT96"/>
  <c r="AX96"/>
  <c r="BB96"/>
  <c r="AH99"/>
  <c r="AL99"/>
  <c r="AP99"/>
  <c r="AU99"/>
  <c r="AY99"/>
  <c r="AK100"/>
  <c r="BB100"/>
  <c r="AH103"/>
  <c r="AL103"/>
  <c r="AP103"/>
  <c r="AU103"/>
  <c r="AY103"/>
  <c r="AG104"/>
  <c r="AK104"/>
  <c r="AO104"/>
  <c r="AT104"/>
  <c r="AX104"/>
  <c r="BB104"/>
  <c r="AH107"/>
  <c r="AL107"/>
  <c r="AP107"/>
  <c r="AU107"/>
  <c r="AY107"/>
  <c r="AG108"/>
  <c r="AK108"/>
  <c r="AO108"/>
  <c r="AT108"/>
  <c r="AX108"/>
  <c r="BB108"/>
  <c r="AH111"/>
  <c r="AL111"/>
  <c r="AP111"/>
  <c r="AU111"/>
  <c r="AY111"/>
  <c r="AG112"/>
  <c r="AK112"/>
  <c r="AO112"/>
  <c r="AT112"/>
  <c r="AX112"/>
  <c r="BB112"/>
  <c r="AH115"/>
  <c r="AL115"/>
  <c r="AP115"/>
  <c r="AU115"/>
  <c r="AY115"/>
  <c r="AG116"/>
  <c r="AK116"/>
  <c r="AO116"/>
  <c r="AT116"/>
  <c r="AX116"/>
  <c r="BB116"/>
  <c r="AH119"/>
  <c r="AL119"/>
  <c r="AP119"/>
  <c r="AU119"/>
  <c r="AY119"/>
  <c r="AG120"/>
  <c r="AK120"/>
  <c r="AO120"/>
  <c r="AT120"/>
  <c r="AX120"/>
  <c r="BB120"/>
  <c r="AH96"/>
  <c r="AL96"/>
  <c r="AP96"/>
  <c r="AU96"/>
  <c r="AY96"/>
  <c r="AU100"/>
  <c r="AH104"/>
  <c r="AL104"/>
  <c r="AP104"/>
  <c r="AU104"/>
  <c r="AY104"/>
  <c r="AH108"/>
  <c r="AL108"/>
  <c r="AP108"/>
  <c r="AU108"/>
  <c r="AY108"/>
  <c r="AH112"/>
  <c r="AL112"/>
  <c r="AP112"/>
  <c r="AU112"/>
  <c r="AY112"/>
  <c r="AH116"/>
  <c r="AL116"/>
  <c r="AP116"/>
  <c r="AU116"/>
  <c r="AY116"/>
  <c r="AH120"/>
  <c r="AL120"/>
  <c r="AP120"/>
  <c r="AU120"/>
  <c r="AY120"/>
  <c r="BA38"/>
  <c r="AT41"/>
  <c r="AS46"/>
  <c r="AS50"/>
  <c r="BD54"/>
  <c r="AJ57"/>
  <c r="AS57"/>
  <c r="BA57"/>
  <c r="BD58"/>
  <c r="AJ61"/>
  <c r="AS61"/>
  <c r="BA61"/>
  <c r="AX45"/>
  <c r="AJ46"/>
  <c r="AM49"/>
  <c r="AX49"/>
  <c r="AJ50"/>
  <c r="AZ51"/>
  <c r="AV54"/>
  <c r="BC55"/>
  <c r="AI57"/>
  <c r="AQ57"/>
  <c r="AZ57"/>
  <c r="AV58"/>
  <c r="BC59"/>
  <c r="AI61"/>
  <c r="AQ61"/>
  <c r="AZ61"/>
  <c r="BC19"/>
  <c r="AI22"/>
  <c r="AZ22"/>
  <c r="BD23"/>
  <c r="AV26"/>
  <c r="AQ30"/>
  <c r="AF33"/>
  <c r="AJ38"/>
  <c r="AK39"/>
  <c r="AI41"/>
  <c r="BB41"/>
  <c r="AV45"/>
  <c r="AF46"/>
  <c r="BA46"/>
  <c r="AS47"/>
  <c r="AI49"/>
  <c r="AV49"/>
  <c r="AF50"/>
  <c r="BA50"/>
  <c r="AN51"/>
  <c r="AO53"/>
  <c r="AM54"/>
  <c r="AU55"/>
  <c r="AI56"/>
  <c r="AN56"/>
  <c r="AT56"/>
  <c r="AZ56"/>
  <c r="AF57"/>
  <c r="AN57"/>
  <c r="AW57"/>
  <c r="AU59"/>
  <c r="AI60"/>
  <c r="AN60"/>
  <c r="AT60"/>
  <c r="AZ60"/>
  <c r="AF61"/>
  <c r="AN61"/>
  <c r="AW61"/>
  <c r="AN22"/>
  <c r="BD22"/>
  <c r="AQ33"/>
  <c r="AN39"/>
  <c r="AK41"/>
  <c r="AS8"/>
  <c r="AF22"/>
  <c r="AV22"/>
  <c r="AZ23"/>
  <c r="AN30"/>
  <c r="BD30"/>
  <c r="AF39"/>
  <c r="AQ45"/>
  <c r="AW46"/>
  <c r="AN47"/>
  <c r="AG49"/>
  <c r="AQ49"/>
  <c r="BD49"/>
  <c r="AW50"/>
  <c r="AM57"/>
  <c r="AV57"/>
  <c r="BD57"/>
  <c r="AM61"/>
  <c r="AV61"/>
  <c r="BD61"/>
  <c r="BC25"/>
  <c r="AV25"/>
  <c r="AJ25"/>
  <c r="BB27"/>
  <c r="BD27"/>
  <c r="AI27"/>
  <c r="BA37"/>
  <c r="AX37"/>
  <c r="AO37"/>
  <c r="AG37"/>
  <c r="BC21"/>
  <c r="BA21"/>
  <c r="AO21"/>
  <c r="BC29"/>
  <c r="BA29"/>
  <c r="AO29"/>
  <c r="BC43"/>
  <c r="BB43"/>
  <c r="AW43"/>
  <c r="AQ43"/>
  <c r="AK43"/>
  <c r="AF43"/>
  <c r="BD43"/>
  <c r="AX43"/>
  <c r="AS43"/>
  <c r="AM43"/>
  <c r="AG43"/>
  <c r="BD55"/>
  <c r="AZ55"/>
  <c r="AV55"/>
  <c r="AQ55"/>
  <c r="AM55"/>
  <c r="AI55"/>
  <c r="BA55"/>
  <c r="AW55"/>
  <c r="AS55"/>
  <c r="AN55"/>
  <c r="AJ55"/>
  <c r="AF55"/>
  <c r="BA58"/>
  <c r="AW58"/>
  <c r="AS58"/>
  <c r="AN58"/>
  <c r="AJ58"/>
  <c r="AF58"/>
  <c r="AX58"/>
  <c r="AT58"/>
  <c r="AO58"/>
  <c r="AK58"/>
  <c r="AG58"/>
  <c r="BB58"/>
  <c r="BD59"/>
  <c r="AZ59"/>
  <c r="AV59"/>
  <c r="AQ59"/>
  <c r="AM59"/>
  <c r="AI59"/>
  <c r="BA59"/>
  <c r="AW59"/>
  <c r="AS59"/>
  <c r="AN59"/>
  <c r="AJ59"/>
  <c r="AF59"/>
  <c r="AS62"/>
  <c r="BB62"/>
  <c r="AK62"/>
  <c r="BC16"/>
  <c r="BB16"/>
  <c r="BC39"/>
  <c r="BD39"/>
  <c r="AX39"/>
  <c r="AS39"/>
  <c r="AM39"/>
  <c r="AG39"/>
  <c r="AZ39"/>
  <c r="AT39"/>
  <c r="AO25"/>
  <c r="BD25"/>
  <c r="AZ27"/>
  <c r="AM37"/>
  <c r="AZ37"/>
  <c r="AM21"/>
  <c r="BD21"/>
  <c r="AM25"/>
  <c r="BA25"/>
  <c r="F26"/>
  <c r="AV27"/>
  <c r="AM29"/>
  <c r="BD29"/>
  <c r="F42"/>
  <c r="AN43"/>
  <c r="AZ43"/>
  <c r="F51"/>
  <c r="AX51"/>
  <c r="F54"/>
  <c r="AU54"/>
  <c r="BC54"/>
  <c r="AK55"/>
  <c r="AT55"/>
  <c r="BB55"/>
  <c r="AL58"/>
  <c r="AU58"/>
  <c r="BC58"/>
  <c r="AK59"/>
  <c r="AT59"/>
  <c r="BB59"/>
  <c r="AU62"/>
  <c r="AJ21"/>
  <c r="AX21"/>
  <c r="AG25"/>
  <c r="AX25"/>
  <c r="AM26"/>
  <c r="AM27"/>
  <c r="AJ29"/>
  <c r="AX29"/>
  <c r="AI37"/>
  <c r="AT37"/>
  <c r="BD37"/>
  <c r="AJ39"/>
  <c r="AQ39"/>
  <c r="BB39"/>
  <c r="AJ43"/>
  <c r="AV43"/>
  <c r="AI51"/>
  <c r="AI54"/>
  <c r="AQ54"/>
  <c r="AH55"/>
  <c r="AP55"/>
  <c r="AY55"/>
  <c r="AI58"/>
  <c r="AQ58"/>
  <c r="AZ58"/>
  <c r="AH59"/>
  <c r="AP59"/>
  <c r="AY59"/>
  <c r="AQ62"/>
  <c r="BC134"/>
  <c r="AJ134"/>
  <c r="BC26"/>
  <c r="BD26"/>
  <c r="AQ26"/>
  <c r="AF26"/>
  <c r="BD42"/>
  <c r="AS42"/>
  <c r="AW42"/>
  <c r="AF42"/>
  <c r="BC51"/>
  <c r="BA51"/>
  <c r="AV51"/>
  <c r="AO51"/>
  <c r="AJ51"/>
  <c r="BB51"/>
  <c r="AW51"/>
  <c r="AQ51"/>
  <c r="AK51"/>
  <c r="AF51"/>
  <c r="BA54"/>
  <c r="AW54"/>
  <c r="AS54"/>
  <c r="AN54"/>
  <c r="AJ54"/>
  <c r="AF54"/>
  <c r="BB54"/>
  <c r="AX54"/>
  <c r="AT54"/>
  <c r="AO54"/>
  <c r="AK54"/>
  <c r="AG54"/>
  <c r="BC33"/>
  <c r="AK33"/>
  <c r="BB35"/>
  <c r="AM35"/>
  <c r="BD38"/>
  <c r="AW38"/>
  <c r="AF38"/>
  <c r="BA41"/>
  <c r="BD41"/>
  <c r="AV41"/>
  <c r="AM41"/>
  <c r="AX41"/>
  <c r="AO41"/>
  <c r="AG41"/>
  <c r="BC47"/>
  <c r="BA47"/>
  <c r="AV47"/>
  <c r="AO47"/>
  <c r="AJ47"/>
  <c r="BB47"/>
  <c r="AW47"/>
  <c r="AQ47"/>
  <c r="AK47"/>
  <c r="AF47"/>
  <c r="AN26"/>
  <c r="AK37"/>
  <c r="AV37"/>
  <c r="BA42"/>
  <c r="AM51"/>
  <c r="AL54"/>
  <c r="F58"/>
  <c r="AS133"/>
  <c r="AF134"/>
  <c r="AG21"/>
  <c r="AV21"/>
  <c r="AS25"/>
  <c r="AI26"/>
  <c r="AW26"/>
  <c r="AG29"/>
  <c r="AV29"/>
  <c r="AW33"/>
  <c r="BC36"/>
  <c r="AQ37"/>
  <c r="BB37"/>
  <c r="AS38"/>
  <c r="AI39"/>
  <c r="AO39"/>
  <c r="BA39"/>
  <c r="AQ41"/>
  <c r="AJ42"/>
  <c r="AI43"/>
  <c r="AT43"/>
  <c r="AM47"/>
  <c r="AX47"/>
  <c r="AG51"/>
  <c r="AS51"/>
  <c r="BD51"/>
  <c r="AH54"/>
  <c r="AP54"/>
  <c r="AY54"/>
  <c r="AG55"/>
  <c r="AO55"/>
  <c r="AX55"/>
  <c r="AH58"/>
  <c r="AP58"/>
  <c r="AY58"/>
  <c r="AG59"/>
  <c r="AO59"/>
  <c r="AX59"/>
  <c r="AH62"/>
  <c r="AK53"/>
  <c r="AT53"/>
  <c r="BB53"/>
  <c r="AH57"/>
  <c r="AL57"/>
  <c r="AP57"/>
  <c r="AU57"/>
  <c r="AY57"/>
  <c r="BC57"/>
  <c r="AH61"/>
  <c r="AL61"/>
  <c r="AP61"/>
  <c r="AU61"/>
  <c r="AY61"/>
  <c r="BC61"/>
  <c r="AM22"/>
  <c r="AW22"/>
  <c r="AV23"/>
  <c r="AM30"/>
  <c r="AW30"/>
  <c r="AT45"/>
  <c r="AN46"/>
  <c r="AK49"/>
  <c r="AT49"/>
  <c r="BB49"/>
  <c r="AN50"/>
  <c r="AI53"/>
  <c r="AQ53"/>
  <c r="AZ53"/>
  <c r="AH56"/>
  <c r="AL56"/>
  <c r="AP56"/>
  <c r="AU56"/>
  <c r="AY56"/>
  <c r="AG57"/>
  <c r="AK57"/>
  <c r="AO57"/>
  <c r="AT57"/>
  <c r="AX57"/>
  <c r="AH60"/>
  <c r="AL60"/>
  <c r="AP60"/>
  <c r="AU60"/>
  <c r="AY60"/>
  <c r="AG61"/>
  <c r="AK61"/>
  <c r="AO61"/>
  <c r="AT61"/>
  <c r="AX61"/>
  <c r="AI31"/>
  <c r="AZ31"/>
  <c r="AI33"/>
  <c r="AN33"/>
  <c r="AT33"/>
  <c r="AZ33"/>
  <c r="AF34"/>
  <c r="AN34"/>
  <c r="AW34"/>
  <c r="AH38"/>
  <c r="AL38"/>
  <c r="AP38"/>
  <c r="AU38"/>
  <c r="AY38"/>
  <c r="BC38"/>
  <c r="AF52"/>
  <c r="AJ52"/>
  <c r="AN52"/>
  <c r="AS52"/>
  <c r="AW52"/>
  <c r="BA52"/>
  <c r="AJ40"/>
  <c r="AS40"/>
  <c r="BA40"/>
  <c r="AH42"/>
  <c r="AL42"/>
  <c r="AP42"/>
  <c r="AU42"/>
  <c r="AY42"/>
  <c r="BC42"/>
  <c r="AF44"/>
  <c r="AJ44"/>
  <c r="AN44"/>
  <c r="AS44"/>
  <c r="AW44"/>
  <c r="BA44"/>
  <c r="AH46"/>
  <c r="AL46"/>
  <c r="AP46"/>
  <c r="AU46"/>
  <c r="AY46"/>
  <c r="BC46"/>
  <c r="AF48"/>
  <c r="AJ48"/>
  <c r="AN48"/>
  <c r="AS48"/>
  <c r="AW48"/>
  <c r="BA48"/>
  <c r="AH50"/>
  <c r="AL50"/>
  <c r="AP50"/>
  <c r="AU50"/>
  <c r="AY50"/>
  <c r="BC50"/>
  <c r="AG3"/>
  <c r="AF129"/>
  <c r="BA8"/>
  <c r="AX12"/>
  <c r="AX16"/>
  <c r="AI21"/>
  <c r="AN21"/>
  <c r="AT21"/>
  <c r="AZ21"/>
  <c r="AI25"/>
  <c r="AN25"/>
  <c r="AT25"/>
  <c r="AZ25"/>
  <c r="AI29"/>
  <c r="AN29"/>
  <c r="AT29"/>
  <c r="AZ29"/>
  <c r="AV31"/>
  <c r="AG33"/>
  <c r="AM33"/>
  <c r="AS33"/>
  <c r="AX33"/>
  <c r="BD33"/>
  <c r="AM34"/>
  <c r="AV34"/>
  <c r="BD34"/>
  <c r="AQ35"/>
  <c r="AH37"/>
  <c r="AL37"/>
  <c r="AP37"/>
  <c r="AU37"/>
  <c r="AY37"/>
  <c r="BC37"/>
  <c r="AG38"/>
  <c r="AK38"/>
  <c r="AO38"/>
  <c r="AT38"/>
  <c r="AX38"/>
  <c r="BB38"/>
  <c r="AI40"/>
  <c r="AQ40"/>
  <c r="AZ40"/>
  <c r="AH41"/>
  <c r="AL41"/>
  <c r="AP41"/>
  <c r="AU41"/>
  <c r="AY41"/>
  <c r="BC41"/>
  <c r="AG42"/>
  <c r="AK42"/>
  <c r="AO42"/>
  <c r="AT42"/>
  <c r="AX42"/>
  <c r="BB42"/>
  <c r="AI44"/>
  <c r="AM44"/>
  <c r="AQ44"/>
  <c r="AV44"/>
  <c r="AZ44"/>
  <c r="BD44"/>
  <c r="AH45"/>
  <c r="AP45"/>
  <c r="AY45"/>
  <c r="AG46"/>
  <c r="AK46"/>
  <c r="AO46"/>
  <c r="AT46"/>
  <c r="AX46"/>
  <c r="BB46"/>
  <c r="AI48"/>
  <c r="AM48"/>
  <c r="AQ48"/>
  <c r="AV48"/>
  <c r="AZ48"/>
  <c r="BD48"/>
  <c r="AH49"/>
  <c r="AL49"/>
  <c r="AP49"/>
  <c r="AU49"/>
  <c r="AY49"/>
  <c r="BC49"/>
  <c r="AG50"/>
  <c r="AK50"/>
  <c r="AO50"/>
  <c r="AT50"/>
  <c r="AX50"/>
  <c r="BB50"/>
  <c r="AI52"/>
  <c r="AM52"/>
  <c r="AQ52"/>
  <c r="AV52"/>
  <c r="AZ52"/>
  <c r="BD52"/>
  <c r="AH53"/>
  <c r="AL53"/>
  <c r="AP53"/>
  <c r="AU53"/>
  <c r="AY53"/>
  <c r="BC53"/>
  <c r="F9"/>
  <c r="F16"/>
  <c r="AQ16"/>
  <c r="AQ31"/>
  <c r="F48"/>
  <c r="AP48"/>
  <c r="F126"/>
  <c r="AM12"/>
  <c r="AJ34"/>
  <c r="AS34"/>
  <c r="BA34"/>
  <c r="AH40"/>
  <c r="AP40"/>
  <c r="AY40"/>
  <c r="AH44"/>
  <c r="AL44"/>
  <c r="AP44"/>
  <c r="AU44"/>
  <c r="AY44"/>
  <c r="BC44"/>
  <c r="AH48"/>
  <c r="AL48"/>
  <c r="AU48"/>
  <c r="AY48"/>
  <c r="BC48"/>
  <c r="AH52"/>
  <c r="AL52"/>
  <c r="AP52"/>
  <c r="AU52"/>
  <c r="AY52"/>
  <c r="BC52"/>
  <c r="AV134"/>
  <c r="AK8"/>
  <c r="AM16"/>
  <c r="AF21"/>
  <c r="AK21"/>
  <c r="AQ21"/>
  <c r="AW21"/>
  <c r="BB21"/>
  <c r="AJ22"/>
  <c r="AS22"/>
  <c r="BA22"/>
  <c r="AQ23"/>
  <c r="AF25"/>
  <c r="AK25"/>
  <c r="AQ25"/>
  <c r="AW25"/>
  <c r="BB25"/>
  <c r="AJ26"/>
  <c r="AS26"/>
  <c r="BA26"/>
  <c r="AQ27"/>
  <c r="AF29"/>
  <c r="AK29"/>
  <c r="AQ29"/>
  <c r="AW29"/>
  <c r="BB29"/>
  <c r="AJ30"/>
  <c r="AS30"/>
  <c r="BA30"/>
  <c r="AM31"/>
  <c r="BD31"/>
  <c r="AJ33"/>
  <c r="AO33"/>
  <c r="AV33"/>
  <c r="BA33"/>
  <c r="AI34"/>
  <c r="AQ34"/>
  <c r="AZ34"/>
  <c r="AI35"/>
  <c r="AZ35"/>
  <c r="AF37"/>
  <c r="AJ37"/>
  <c r="AN37"/>
  <c r="AS37"/>
  <c r="AW37"/>
  <c r="AI38"/>
  <c r="AM38"/>
  <c r="AQ38"/>
  <c r="AV38"/>
  <c r="AZ38"/>
  <c r="AH39"/>
  <c r="AL39"/>
  <c r="AP39"/>
  <c r="AU39"/>
  <c r="AY39"/>
  <c r="AK40"/>
  <c r="AT40"/>
  <c r="AF41"/>
  <c r="AJ41"/>
  <c r="AN41"/>
  <c r="AS41"/>
  <c r="AW41"/>
  <c r="AI42"/>
  <c r="AM42"/>
  <c r="AQ42"/>
  <c r="AV42"/>
  <c r="AZ42"/>
  <c r="AH43"/>
  <c r="AL43"/>
  <c r="AP43"/>
  <c r="AU43"/>
  <c r="AY43"/>
  <c r="AG44"/>
  <c r="AK44"/>
  <c r="AO44"/>
  <c r="AT44"/>
  <c r="AX44"/>
  <c r="AF45"/>
  <c r="AN45"/>
  <c r="AW45"/>
  <c r="AI46"/>
  <c r="AM46"/>
  <c r="AQ46"/>
  <c r="AV46"/>
  <c r="AZ46"/>
  <c r="AH47"/>
  <c r="AL47"/>
  <c r="AP47"/>
  <c r="AU47"/>
  <c r="AY47"/>
  <c r="AG48"/>
  <c r="AK48"/>
  <c r="AO48"/>
  <c r="AT48"/>
  <c r="AX48"/>
  <c r="AF49"/>
  <c r="AJ49"/>
  <c r="AN49"/>
  <c r="AS49"/>
  <c r="AW49"/>
  <c r="AI50"/>
  <c r="AM50"/>
  <c r="AQ50"/>
  <c r="AV50"/>
  <c r="AZ50"/>
  <c r="AH51"/>
  <c r="AL51"/>
  <c r="AP51"/>
  <c r="AU51"/>
  <c r="AY51"/>
  <c r="AG52"/>
  <c r="AK52"/>
  <c r="AO52"/>
  <c r="AT52"/>
  <c r="AX52"/>
  <c r="AF53"/>
  <c r="AJ53"/>
  <c r="AN53"/>
  <c r="AS53"/>
  <c r="AW53"/>
  <c r="AJ8"/>
  <c r="AQ8"/>
  <c r="AX8"/>
  <c r="AV17"/>
  <c r="AG20"/>
  <c r="AO20"/>
  <c r="AH23"/>
  <c r="AP23"/>
  <c r="AY23"/>
  <c r="AK24"/>
  <c r="AX24"/>
  <c r="F27"/>
  <c r="AL27"/>
  <c r="AU27"/>
  <c r="BC27"/>
  <c r="AG28"/>
  <c r="AK28"/>
  <c r="AT28"/>
  <c r="AX28"/>
  <c r="BB28"/>
  <c r="AH31"/>
  <c r="AL31"/>
  <c r="AP31"/>
  <c r="AU31"/>
  <c r="AY31"/>
  <c r="BC31"/>
  <c r="AK32"/>
  <c r="AT32"/>
  <c r="BB32"/>
  <c r="AS129"/>
  <c r="AO130"/>
  <c r="BD130"/>
  <c r="AM132"/>
  <c r="AQ134"/>
  <c r="AF5"/>
  <c r="BD6"/>
  <c r="AF8"/>
  <c r="AM8"/>
  <c r="AV8"/>
  <c r="BB8"/>
  <c r="AF12"/>
  <c r="AQ12"/>
  <c r="BB12"/>
  <c r="BD13"/>
  <c r="AG16"/>
  <c r="AS16"/>
  <c r="BD16"/>
  <c r="AI20"/>
  <c r="AM20"/>
  <c r="AQ20"/>
  <c r="AV20"/>
  <c r="AZ20"/>
  <c r="BD20"/>
  <c r="AH21"/>
  <c r="AL21"/>
  <c r="AP21"/>
  <c r="AU21"/>
  <c r="AY21"/>
  <c r="AG22"/>
  <c r="AK22"/>
  <c r="AO22"/>
  <c r="AT22"/>
  <c r="AX22"/>
  <c r="BB22"/>
  <c r="AF23"/>
  <c r="AJ23"/>
  <c r="AN23"/>
  <c r="AS23"/>
  <c r="AW23"/>
  <c r="BA23"/>
  <c r="AM24"/>
  <c r="AV24"/>
  <c r="BD24"/>
  <c r="AH25"/>
  <c r="AL25"/>
  <c r="AP25"/>
  <c r="AU25"/>
  <c r="AY25"/>
  <c r="AG26"/>
  <c r="AK26"/>
  <c r="AO26"/>
  <c r="AT26"/>
  <c r="AX26"/>
  <c r="BB26"/>
  <c r="AF27"/>
  <c r="AJ27"/>
  <c r="AN27"/>
  <c r="AS27"/>
  <c r="AW27"/>
  <c r="BA27"/>
  <c r="AI28"/>
  <c r="AM28"/>
  <c r="AQ28"/>
  <c r="AV28"/>
  <c r="AZ28"/>
  <c r="BD28"/>
  <c r="AH29"/>
  <c r="AL29"/>
  <c r="AP29"/>
  <c r="AU29"/>
  <c r="AY29"/>
  <c r="AG30"/>
  <c r="AK30"/>
  <c r="AO30"/>
  <c r="AT30"/>
  <c r="AX30"/>
  <c r="BB30"/>
  <c r="AF31"/>
  <c r="AJ31"/>
  <c r="AN31"/>
  <c r="AS31"/>
  <c r="AW31"/>
  <c r="BA31"/>
  <c r="AI32"/>
  <c r="AM32"/>
  <c r="AV32"/>
  <c r="AZ32"/>
  <c r="BD32"/>
  <c r="AH33"/>
  <c r="AL33"/>
  <c r="AP33"/>
  <c r="AU33"/>
  <c r="AY33"/>
  <c r="AG34"/>
  <c r="AK34"/>
  <c r="AO34"/>
  <c r="AT34"/>
  <c r="AX34"/>
  <c r="BB34"/>
  <c r="AF35"/>
  <c r="AJ35"/>
  <c r="AN35"/>
  <c r="AS35"/>
  <c r="AW35"/>
  <c r="BA35"/>
  <c r="AI36"/>
  <c r="AM36"/>
  <c r="AQ36"/>
  <c r="AV36"/>
  <c r="AZ36"/>
  <c r="BD36"/>
  <c r="AM130"/>
  <c r="BB130"/>
  <c r="AZ6"/>
  <c r="BD17"/>
  <c r="AH20"/>
  <c r="AL20"/>
  <c r="AP20"/>
  <c r="AU20"/>
  <c r="AY20"/>
  <c r="BC20"/>
  <c r="AH24"/>
  <c r="AL24"/>
  <c r="AP24"/>
  <c r="AY24"/>
  <c r="BC24"/>
  <c r="AH28"/>
  <c r="AL28"/>
  <c r="AP28"/>
  <c r="AU28"/>
  <c r="AY28"/>
  <c r="BC28"/>
  <c r="AH32"/>
  <c r="AL32"/>
  <c r="AP32"/>
  <c r="AY32"/>
  <c r="BC32"/>
  <c r="AH36"/>
  <c r="AL36"/>
  <c r="AP36"/>
  <c r="AU36"/>
  <c r="AY36"/>
  <c r="AG130"/>
  <c r="AW130"/>
  <c r="AO138"/>
  <c r="AN5"/>
  <c r="AM6"/>
  <c r="AK12"/>
  <c r="AW12"/>
  <c r="AK20"/>
  <c r="AT20"/>
  <c r="AX20"/>
  <c r="BB20"/>
  <c r="F23"/>
  <c r="AL23"/>
  <c r="AU23"/>
  <c r="BC23"/>
  <c r="AG24"/>
  <c r="AH27"/>
  <c r="AP27"/>
  <c r="AY27"/>
  <c r="AO28"/>
  <c r="AH35"/>
  <c r="AL35"/>
  <c r="AP35"/>
  <c r="AU35"/>
  <c r="AY35"/>
  <c r="BC35"/>
  <c r="AG36"/>
  <c r="AK36"/>
  <c r="AO36"/>
  <c r="AT36"/>
  <c r="AX36"/>
  <c r="BB36"/>
  <c r="AF130"/>
  <c r="AV130"/>
  <c r="AV132"/>
  <c r="AJ138"/>
  <c r="AI5"/>
  <c r="AZ5"/>
  <c r="AI6"/>
  <c r="AG8"/>
  <c r="AO8"/>
  <c r="AW8"/>
  <c r="BD8"/>
  <c r="AG12"/>
  <c r="AS12"/>
  <c r="BD12"/>
  <c r="AK16"/>
  <c r="AW16"/>
  <c r="AM17"/>
  <c r="AF20"/>
  <c r="AJ20"/>
  <c r="AN20"/>
  <c r="AS20"/>
  <c r="AW20"/>
  <c r="AH22"/>
  <c r="AL22"/>
  <c r="AP22"/>
  <c r="AU22"/>
  <c r="AY22"/>
  <c r="AG23"/>
  <c r="AK23"/>
  <c r="AO23"/>
  <c r="AT23"/>
  <c r="AX23"/>
  <c r="AF24"/>
  <c r="AJ24"/>
  <c r="AN24"/>
  <c r="AW24"/>
  <c r="AH26"/>
  <c r="AL26"/>
  <c r="AP26"/>
  <c r="AU26"/>
  <c r="AY26"/>
  <c r="AG27"/>
  <c r="AK27"/>
  <c r="AO27"/>
  <c r="AT27"/>
  <c r="AX27"/>
  <c r="AF28"/>
  <c r="AJ28"/>
  <c r="AN28"/>
  <c r="AS28"/>
  <c r="AW28"/>
  <c r="AH30"/>
  <c r="AL30"/>
  <c r="AP30"/>
  <c r="AU30"/>
  <c r="AY30"/>
  <c r="AG31"/>
  <c r="AK31"/>
  <c r="AO31"/>
  <c r="AT31"/>
  <c r="AX31"/>
  <c r="AF32"/>
  <c r="AN32"/>
  <c r="AS32"/>
  <c r="AW32"/>
  <c r="AH34"/>
  <c r="AL34"/>
  <c r="AP34"/>
  <c r="AU34"/>
  <c r="AY34"/>
  <c r="AG35"/>
  <c r="AK35"/>
  <c r="AO35"/>
  <c r="AT35"/>
  <c r="AX35"/>
  <c r="AF36"/>
  <c r="AJ36"/>
  <c r="AN36"/>
  <c r="AS36"/>
  <c r="AW36"/>
  <c r="F128"/>
  <c r="F4"/>
  <c r="AJ9"/>
  <c r="AS9"/>
  <c r="BA9"/>
  <c r="AQ10"/>
  <c r="F14"/>
  <c r="AQ14"/>
  <c r="F18"/>
  <c r="AQ18"/>
  <c r="AV128"/>
  <c r="AI9"/>
  <c r="AQ9"/>
  <c r="AM10"/>
  <c r="BD10"/>
  <c r="AJ13"/>
  <c r="BA13"/>
  <c r="AM14"/>
  <c r="BD14"/>
  <c r="AS17"/>
  <c r="BA17"/>
  <c r="AM18"/>
  <c r="BD18"/>
  <c r="AF126"/>
  <c r="AQ126"/>
  <c r="BB126"/>
  <c r="AM128"/>
  <c r="AW129"/>
  <c r="AK130"/>
  <c r="AS130"/>
  <c r="BA130"/>
  <c r="BD132"/>
  <c r="AO134"/>
  <c r="BA134"/>
  <c r="BA138"/>
  <c r="AF4"/>
  <c r="AK4"/>
  <c r="AQ4"/>
  <c r="AW4"/>
  <c r="BB4"/>
  <c r="AM5"/>
  <c r="AV5"/>
  <c r="AV6"/>
  <c r="AI8"/>
  <c r="AN8"/>
  <c r="AT8"/>
  <c r="AZ8"/>
  <c r="AF9"/>
  <c r="AN9"/>
  <c r="AI10"/>
  <c r="AZ10"/>
  <c r="AJ12"/>
  <c r="AO12"/>
  <c r="AV12"/>
  <c r="BA12"/>
  <c r="AI13"/>
  <c r="AZ13"/>
  <c r="AI14"/>
  <c r="AZ14"/>
  <c r="AJ16"/>
  <c r="AO16"/>
  <c r="AV16"/>
  <c r="BA16"/>
  <c r="AQ17"/>
  <c r="AZ17"/>
  <c r="AI18"/>
  <c r="AZ18"/>
  <c r="F124"/>
  <c r="AK126"/>
  <c r="AW126"/>
  <c r="BD128"/>
  <c r="AI4"/>
  <c r="AN4"/>
  <c r="AT4"/>
  <c r="AZ4"/>
  <c r="AJ126"/>
  <c r="AV126"/>
  <c r="AG4"/>
  <c r="AM4"/>
  <c r="AS4"/>
  <c r="AX4"/>
  <c r="BD4"/>
  <c r="AX3"/>
  <c r="AS125"/>
  <c r="AO126"/>
  <c r="BA126"/>
  <c r="AJ130"/>
  <c r="AQ130"/>
  <c r="AX130"/>
  <c r="AK134"/>
  <c r="AW134"/>
  <c r="A137"/>
  <c r="AV138"/>
  <c r="AJ4"/>
  <c r="AO4"/>
  <c r="AV4"/>
  <c r="BA4"/>
  <c r="AJ5"/>
  <c r="BA5"/>
  <c r="AQ6"/>
  <c r="AM9"/>
  <c r="BD9"/>
  <c r="AV10"/>
  <c r="AI12"/>
  <c r="AN12"/>
  <c r="AT12"/>
  <c r="AZ12"/>
  <c r="AF13"/>
  <c r="AW13"/>
  <c r="AV14"/>
  <c r="AI16"/>
  <c r="AN16"/>
  <c r="AT16"/>
  <c r="AZ16"/>
  <c r="AF17"/>
  <c r="AW17"/>
  <c r="AV18"/>
  <c r="AK136"/>
  <c r="AT136"/>
  <c r="BB136"/>
  <c r="F137"/>
  <c r="F7"/>
  <c r="AH7"/>
  <c r="AU7"/>
  <c r="F11"/>
  <c r="AL11"/>
  <c r="AU11"/>
  <c r="AY11"/>
  <c r="F15"/>
  <c r="AL15"/>
  <c r="AU15"/>
  <c r="AY15"/>
  <c r="F19"/>
  <c r="AH19"/>
  <c r="AP19"/>
  <c r="AY19"/>
  <c r="AQ3"/>
  <c r="F131"/>
  <c r="AJ137"/>
  <c r="BA137"/>
  <c r="F138"/>
  <c r="AN138"/>
  <c r="F6"/>
  <c r="AH6"/>
  <c r="AL6"/>
  <c r="AU6"/>
  <c r="BC6"/>
  <c r="AH10"/>
  <c r="AP10"/>
  <c r="AU10"/>
  <c r="BC10"/>
  <c r="AT11"/>
  <c r="AH14"/>
  <c r="AL14"/>
  <c r="AP14"/>
  <c r="AU14"/>
  <c r="AY14"/>
  <c r="BC14"/>
  <c r="AG15"/>
  <c r="AK15"/>
  <c r="AO15"/>
  <c r="AT15"/>
  <c r="AX15"/>
  <c r="BB15"/>
  <c r="AX19"/>
  <c r="AG124"/>
  <c r="AO124"/>
  <c r="AX124"/>
  <c r="AJ125"/>
  <c r="BA125"/>
  <c r="AI126"/>
  <c r="AN126"/>
  <c r="AT126"/>
  <c r="AZ126"/>
  <c r="AI132"/>
  <c r="AQ132"/>
  <c r="AZ132"/>
  <c r="AJ133"/>
  <c r="BA133"/>
  <c r="F134"/>
  <c r="AG136"/>
  <c r="AF137"/>
  <c r="AW137"/>
  <c r="AG138"/>
  <c r="AM138"/>
  <c r="AS138"/>
  <c r="BD138"/>
  <c r="F5"/>
  <c r="AH5"/>
  <c r="AL5"/>
  <c r="AU5"/>
  <c r="AY5"/>
  <c r="BC5"/>
  <c r="AG6"/>
  <c r="AK6"/>
  <c r="AO6"/>
  <c r="AT6"/>
  <c r="AX6"/>
  <c r="BB6"/>
  <c r="AF7"/>
  <c r="AJ7"/>
  <c r="AN7"/>
  <c r="AS7"/>
  <c r="AW7"/>
  <c r="BA7"/>
  <c r="AI3"/>
  <c r="AZ3"/>
  <c r="AM124"/>
  <c r="AV124"/>
  <c r="BD124"/>
  <c r="AF125"/>
  <c r="AW125"/>
  <c r="AG126"/>
  <c r="AM126"/>
  <c r="AS126"/>
  <c r="AX126"/>
  <c r="BD126"/>
  <c r="AG128"/>
  <c r="AO128"/>
  <c r="AX128"/>
  <c r="AJ129"/>
  <c r="BA129"/>
  <c r="AI130"/>
  <c r="AN130"/>
  <c r="AT130"/>
  <c r="AZ130"/>
  <c r="AG132"/>
  <c r="AO132"/>
  <c r="AX132"/>
  <c r="AF133"/>
  <c r="AW133"/>
  <c r="AG134"/>
  <c r="AM134"/>
  <c r="AS134"/>
  <c r="AX134"/>
  <c r="BD134"/>
  <c r="AM136"/>
  <c r="AV136"/>
  <c r="BD136"/>
  <c r="AS137"/>
  <c r="AF138"/>
  <c r="AK138"/>
  <c r="AQ138"/>
  <c r="AW138"/>
  <c r="BB138"/>
  <c r="AH4"/>
  <c r="AL4"/>
  <c r="AP4"/>
  <c r="AU4"/>
  <c r="AY4"/>
  <c r="AG5"/>
  <c r="AK5"/>
  <c r="AO5"/>
  <c r="AX5"/>
  <c r="AF6"/>
  <c r="AJ6"/>
  <c r="AN6"/>
  <c r="AS6"/>
  <c r="AW6"/>
  <c r="BA6"/>
  <c r="AI7"/>
  <c r="AM7"/>
  <c r="AQ7"/>
  <c r="AV7"/>
  <c r="AZ7"/>
  <c r="BD7"/>
  <c r="AH8"/>
  <c r="AL8"/>
  <c r="AP8"/>
  <c r="AU8"/>
  <c r="AY8"/>
  <c r="AG9"/>
  <c r="AO9"/>
  <c r="AT9"/>
  <c r="AX9"/>
  <c r="AF10"/>
  <c r="AJ10"/>
  <c r="AN10"/>
  <c r="AS10"/>
  <c r="AW10"/>
  <c r="BA10"/>
  <c r="AI11"/>
  <c r="AM11"/>
  <c r="AQ11"/>
  <c r="AV11"/>
  <c r="AZ11"/>
  <c r="BD11"/>
  <c r="AH12"/>
  <c r="AL12"/>
  <c r="AP12"/>
  <c r="AU12"/>
  <c r="AY12"/>
  <c r="AG13"/>
  <c r="AK13"/>
  <c r="AT13"/>
  <c r="AX13"/>
  <c r="BB13"/>
  <c r="AF14"/>
  <c r="AJ14"/>
  <c r="AN14"/>
  <c r="AS14"/>
  <c r="AW14"/>
  <c r="BA14"/>
  <c r="AI15"/>
  <c r="AM15"/>
  <c r="AQ15"/>
  <c r="AV15"/>
  <c r="AZ15"/>
  <c r="BD15"/>
  <c r="AH16"/>
  <c r="AL16"/>
  <c r="AP16"/>
  <c r="AU16"/>
  <c r="AY16"/>
  <c r="AG17"/>
  <c r="AK17"/>
  <c r="AO17"/>
  <c r="AX17"/>
  <c r="BB17"/>
  <c r="AF18"/>
  <c r="AJ18"/>
  <c r="AN18"/>
  <c r="AS18"/>
  <c r="AW18"/>
  <c r="BA18"/>
  <c r="AI19"/>
  <c r="AM19"/>
  <c r="AQ19"/>
  <c r="AV19"/>
  <c r="AZ19"/>
  <c r="BD19"/>
  <c r="AK124"/>
  <c r="AT124"/>
  <c r="BB124"/>
  <c r="AN137"/>
  <c r="AL7"/>
  <c r="AP7"/>
  <c r="AY7"/>
  <c r="BC7"/>
  <c r="AH11"/>
  <c r="AP11"/>
  <c r="BC11"/>
  <c r="AH15"/>
  <c r="AP15"/>
  <c r="BC15"/>
  <c r="AL19"/>
  <c r="AU19"/>
  <c r="AI124"/>
  <c r="AQ124"/>
  <c r="AZ124"/>
  <c r="AN125"/>
  <c r="AK128"/>
  <c r="AT128"/>
  <c r="BB128"/>
  <c r="AK132"/>
  <c r="AT132"/>
  <c r="BB132"/>
  <c r="AN133"/>
  <c r="AI136"/>
  <c r="AQ136"/>
  <c r="AZ136"/>
  <c r="AI138"/>
  <c r="AT138"/>
  <c r="AZ138"/>
  <c r="AP6"/>
  <c r="AG7"/>
  <c r="AK7"/>
  <c r="AO7"/>
  <c r="AT7"/>
  <c r="AX7"/>
  <c r="F10"/>
  <c r="AL10"/>
  <c r="AY10"/>
  <c r="AG11"/>
  <c r="AK11"/>
  <c r="AO11"/>
  <c r="AX11"/>
  <c r="BB11"/>
  <c r="AH18"/>
  <c r="AL18"/>
  <c r="AP18"/>
  <c r="AU18"/>
  <c r="AY18"/>
  <c r="BC18"/>
  <c r="AG19"/>
  <c r="AK19"/>
  <c r="AO19"/>
  <c r="AT19"/>
  <c r="BB19"/>
  <c r="AO3"/>
  <c r="AI128"/>
  <c r="AQ128"/>
  <c r="AZ128"/>
  <c r="AN129"/>
  <c r="AI134"/>
  <c r="AN134"/>
  <c r="AT134"/>
  <c r="AZ134"/>
  <c r="AO136"/>
  <c r="AX136"/>
  <c r="AX138"/>
  <c r="AH9"/>
  <c r="AL9"/>
  <c r="AP9"/>
  <c r="AY9"/>
  <c r="AG10"/>
  <c r="AK10"/>
  <c r="AO10"/>
  <c r="AT10"/>
  <c r="AX10"/>
  <c r="AF11"/>
  <c r="AJ11"/>
  <c r="AN11"/>
  <c r="AS11"/>
  <c r="AW11"/>
  <c r="AL13"/>
  <c r="AP13"/>
  <c r="AU13"/>
  <c r="AG14"/>
  <c r="AK14"/>
  <c r="AO14"/>
  <c r="AT14"/>
  <c r="AX14"/>
  <c r="AF15"/>
  <c r="AJ15"/>
  <c r="AN15"/>
  <c r="AS15"/>
  <c r="AW15"/>
  <c r="AH17"/>
  <c r="AP17"/>
  <c r="AU17"/>
  <c r="AY17"/>
  <c r="AG18"/>
  <c r="AK18"/>
  <c r="AO18"/>
  <c r="AT18"/>
  <c r="AX18"/>
  <c r="AF19"/>
  <c r="AJ19"/>
  <c r="AN19"/>
  <c r="AS19"/>
  <c r="AW19"/>
  <c r="BC3"/>
  <c r="AM3"/>
  <c r="AV3"/>
  <c r="BD3"/>
  <c r="F3"/>
  <c r="AK3"/>
  <c r="AT3"/>
  <c r="AH127"/>
  <c r="AL127"/>
  <c r="AP127"/>
  <c r="AU127"/>
  <c r="AY127"/>
  <c r="BC127"/>
  <c r="AH131"/>
  <c r="AL131"/>
  <c r="AP131"/>
  <c r="AU131"/>
  <c r="AY131"/>
  <c r="BC131"/>
  <c r="AH135"/>
  <c r="AL135"/>
  <c r="AP135"/>
  <c r="AU135"/>
  <c r="AY135"/>
  <c r="BC135"/>
  <c r="AF3"/>
  <c r="AJ3"/>
  <c r="AN3"/>
  <c r="AS3"/>
  <c r="AW3"/>
  <c r="BA3"/>
  <c r="AG123"/>
  <c r="AK123"/>
  <c r="AO123"/>
  <c r="AT123"/>
  <c r="AX123"/>
  <c r="BB123"/>
  <c r="AF124"/>
  <c r="AJ124"/>
  <c r="AN124"/>
  <c r="AS124"/>
  <c r="AW124"/>
  <c r="BA124"/>
  <c r="AI125"/>
  <c r="AM125"/>
  <c r="AQ125"/>
  <c r="AV125"/>
  <c r="AZ125"/>
  <c r="BD125"/>
  <c r="AH126"/>
  <c r="AL126"/>
  <c r="AP126"/>
  <c r="AU126"/>
  <c r="AY126"/>
  <c r="AG127"/>
  <c r="AK127"/>
  <c r="AO127"/>
  <c r="AT127"/>
  <c r="AX127"/>
  <c r="BB127"/>
  <c r="AF128"/>
  <c r="AJ128"/>
  <c r="AN128"/>
  <c r="AS128"/>
  <c r="AW128"/>
  <c r="BA128"/>
  <c r="AI129"/>
  <c r="AM129"/>
  <c r="AQ129"/>
  <c r="AV129"/>
  <c r="AZ129"/>
  <c r="BD129"/>
  <c r="AH130"/>
  <c r="AL130"/>
  <c r="AP130"/>
  <c r="AU130"/>
  <c r="AY130"/>
  <c r="AG131"/>
  <c r="AK131"/>
  <c r="AO131"/>
  <c r="AT131"/>
  <c r="AX131"/>
  <c r="BB131"/>
  <c r="AF132"/>
  <c r="AJ132"/>
  <c r="AN132"/>
  <c r="AS132"/>
  <c r="AW132"/>
  <c r="BA132"/>
  <c r="AI133"/>
  <c r="AM133"/>
  <c r="AQ133"/>
  <c r="AV133"/>
  <c r="AZ133"/>
  <c r="BD133"/>
  <c r="AH134"/>
  <c r="AL134"/>
  <c r="AP134"/>
  <c r="AU134"/>
  <c r="AY134"/>
  <c r="AG135"/>
  <c r="AK135"/>
  <c r="AO135"/>
  <c r="AT135"/>
  <c r="AX135"/>
  <c r="BB135"/>
  <c r="AF136"/>
  <c r="AJ136"/>
  <c r="AN136"/>
  <c r="AS136"/>
  <c r="AW136"/>
  <c r="BA136"/>
  <c r="AI137"/>
  <c r="AM137"/>
  <c r="AQ137"/>
  <c r="AV137"/>
  <c r="AZ137"/>
  <c r="BD137"/>
  <c r="AH138"/>
  <c r="AL138"/>
  <c r="AP138"/>
  <c r="AU138"/>
  <c r="AY138"/>
  <c r="AH123"/>
  <c r="AL123"/>
  <c r="AP123"/>
  <c r="AU123"/>
  <c r="AY123"/>
  <c r="BC123"/>
  <c r="AJ123"/>
  <c r="AS123"/>
  <c r="BA123"/>
  <c r="F125"/>
  <c r="AL125"/>
  <c r="AJ127"/>
  <c r="AS127"/>
  <c r="AL129"/>
  <c r="AU129"/>
  <c r="AY129"/>
  <c r="AF131"/>
  <c r="AJ131"/>
  <c r="AN131"/>
  <c r="AS131"/>
  <c r="AW131"/>
  <c r="BA131"/>
  <c r="AH133"/>
  <c r="AL133"/>
  <c r="AP133"/>
  <c r="AU133"/>
  <c r="AY133"/>
  <c r="BC133"/>
  <c r="AF135"/>
  <c r="AJ135"/>
  <c r="AN135"/>
  <c r="AS135"/>
  <c r="AW135"/>
  <c r="BA135"/>
  <c r="AH137"/>
  <c r="AL137"/>
  <c r="AP137"/>
  <c r="AU137"/>
  <c r="AY137"/>
  <c r="BC137"/>
  <c r="F127"/>
  <c r="AF123"/>
  <c r="AN123"/>
  <c r="AW123"/>
  <c r="AH125"/>
  <c r="AP125"/>
  <c r="AU125"/>
  <c r="AY125"/>
  <c r="BC125"/>
  <c r="AF127"/>
  <c r="AN127"/>
  <c r="AW127"/>
  <c r="BA127"/>
  <c r="F129"/>
  <c r="AH129"/>
  <c r="AP129"/>
  <c r="BC129"/>
  <c r="AH3"/>
  <c r="AL3"/>
  <c r="AP3"/>
  <c r="AU3"/>
  <c r="AY3"/>
  <c r="AI123"/>
  <c r="AM123"/>
  <c r="AQ123"/>
  <c r="AV123"/>
  <c r="AZ123"/>
  <c r="AH124"/>
  <c r="AL124"/>
  <c r="AP124"/>
  <c r="AU124"/>
  <c r="AY124"/>
  <c r="AG125"/>
  <c r="AK125"/>
  <c r="AO125"/>
  <c r="AT125"/>
  <c r="AX125"/>
  <c r="AI127"/>
  <c r="AM127"/>
  <c r="AQ127"/>
  <c r="AV127"/>
  <c r="AZ127"/>
  <c r="AH128"/>
  <c r="AL128"/>
  <c r="AP128"/>
  <c r="AU128"/>
  <c r="AY128"/>
  <c r="AG129"/>
  <c r="AK129"/>
  <c r="AO129"/>
  <c r="AT129"/>
  <c r="AX129"/>
  <c r="AI131"/>
  <c r="AM131"/>
  <c r="AQ131"/>
  <c r="AV131"/>
  <c r="AZ131"/>
  <c r="AH132"/>
  <c r="AL132"/>
  <c r="AP132"/>
  <c r="AU132"/>
  <c r="AY132"/>
  <c r="AG133"/>
  <c r="AK133"/>
  <c r="AO133"/>
  <c r="AT133"/>
  <c r="AX133"/>
  <c r="AI135"/>
  <c r="AM135"/>
  <c r="AQ135"/>
  <c r="AV135"/>
  <c r="AZ135"/>
  <c r="AH136"/>
  <c r="AL136"/>
  <c r="AP136"/>
  <c r="AU136"/>
  <c r="AY136"/>
  <c r="AG137"/>
  <c r="AK137"/>
  <c r="AO137"/>
  <c r="AT137"/>
  <c r="AX137"/>
  <c r="U26" i="2"/>
  <c r="U27"/>
  <c r="U28"/>
  <c r="U29"/>
  <c r="U30"/>
  <c r="U31"/>
  <c r="U32"/>
  <c r="U33"/>
  <c r="U34"/>
  <c r="U35"/>
  <c r="U36"/>
  <c r="U37"/>
  <c r="U38"/>
  <c r="U39"/>
  <c r="U25"/>
  <c r="V26"/>
  <c r="V27"/>
  <c r="V28"/>
  <c r="V29"/>
  <c r="V30"/>
  <c r="V31"/>
  <c r="V32"/>
  <c r="V33"/>
  <c r="V34"/>
  <c r="V35"/>
  <c r="V36"/>
  <c r="V37"/>
  <c r="V38"/>
  <c r="V39"/>
  <c r="V25"/>
  <c r="V24"/>
  <c r="T25"/>
  <c r="T26"/>
  <c r="T27"/>
  <c r="T29"/>
  <c r="T30"/>
  <c r="T31"/>
  <c r="T32"/>
  <c r="T33"/>
  <c r="T34"/>
  <c r="T35"/>
  <c r="T36"/>
  <c r="T37"/>
  <c r="AJ37" s="1"/>
  <c r="T38"/>
  <c r="T39"/>
  <c r="T28"/>
  <c r="E75" i="24"/>
  <c r="D223" i="31"/>
  <c r="A222" s="1"/>
  <c r="W222"/>
  <c r="K222"/>
  <c r="G222"/>
  <c r="D184"/>
  <c r="X183"/>
  <c r="X222"/>
  <c r="W183"/>
  <c r="V183"/>
  <c r="V222"/>
  <c r="U183"/>
  <c r="U222"/>
  <c r="T183"/>
  <c r="T222"/>
  <c r="S183"/>
  <c r="S222"/>
  <c r="R183"/>
  <c r="R222"/>
  <c r="Q183"/>
  <c r="Q222"/>
  <c r="P183"/>
  <c r="P222"/>
  <c r="O183"/>
  <c r="O222"/>
  <c r="N183"/>
  <c r="N222"/>
  <c r="M183"/>
  <c r="M222"/>
  <c r="L183"/>
  <c r="L222"/>
  <c r="K183"/>
  <c r="J183"/>
  <c r="J222"/>
  <c r="I183"/>
  <c r="I222"/>
  <c r="H183"/>
  <c r="H222"/>
  <c r="G183"/>
  <c r="F183"/>
  <c r="F222"/>
  <c r="E183"/>
  <c r="E222"/>
  <c r="D183"/>
  <c r="X146"/>
  <c r="W146"/>
  <c r="V146"/>
  <c r="U146"/>
  <c r="T146"/>
  <c r="S146"/>
  <c r="R146"/>
  <c r="Q146"/>
  <c r="P146"/>
  <c r="O146"/>
  <c r="N146"/>
  <c r="M146"/>
  <c r="L146"/>
  <c r="K146"/>
  <c r="J146"/>
  <c r="I146"/>
  <c r="H146"/>
  <c r="G146"/>
  <c r="F146"/>
  <c r="E146"/>
  <c r="B140"/>
  <c r="H242" i="34" s="1"/>
  <c r="A140" i="31"/>
  <c r="G242" i="34" s="1"/>
  <c r="B139" i="31"/>
  <c r="H241" i="34" s="1"/>
  <c r="A139" i="31"/>
  <c r="G241" i="34" s="1"/>
  <c r="B138" i="31"/>
  <c r="H240" i="34" s="1"/>
  <c r="A138" i="31"/>
  <c r="G240" i="34" s="1"/>
  <c r="B137" i="31"/>
  <c r="H239" i="34" s="1"/>
  <c r="A137" i="31"/>
  <c r="G239" i="34" s="1"/>
  <c r="B136" i="31"/>
  <c r="H238" i="34" s="1"/>
  <c r="A136" i="31"/>
  <c r="G238" i="34" s="1"/>
  <c r="B135" i="31"/>
  <c r="H237" i="34" s="1"/>
  <c r="A135" i="31"/>
  <c r="G237" i="34" s="1"/>
  <c r="B134" i="31"/>
  <c r="H236" i="34" s="1"/>
  <c r="A134" i="31"/>
  <c r="G236" i="34" s="1"/>
  <c r="B133" i="31"/>
  <c r="H235" i="34" s="1"/>
  <c r="A133" i="31"/>
  <c r="G235" i="34" s="1"/>
  <c r="B132" i="31"/>
  <c r="H234" i="34" s="1"/>
  <c r="A132" i="31"/>
  <c r="G234" i="34" s="1"/>
  <c r="B131" i="31"/>
  <c r="H233" i="34" s="1"/>
  <c r="A131" i="31"/>
  <c r="G233" i="34" s="1"/>
  <c r="B130" i="31"/>
  <c r="H232" i="34" s="1"/>
  <c r="A130" i="31"/>
  <c r="G232" i="34" s="1"/>
  <c r="B129" i="31"/>
  <c r="H231" i="34" s="1"/>
  <c r="A129" i="31"/>
  <c r="G231" i="34" s="1"/>
  <c r="B128" i="31"/>
  <c r="H230" i="34" s="1"/>
  <c r="A128" i="31"/>
  <c r="G230" i="34" s="1"/>
  <c r="B127" i="31"/>
  <c r="H229" i="34" s="1"/>
  <c r="A127" i="31"/>
  <c r="G229" i="34" s="1"/>
  <c r="C126" i="31"/>
  <c r="B126"/>
  <c r="H228" i="34" s="1"/>
  <c r="A126" i="31"/>
  <c r="G228" i="34" s="1"/>
  <c r="B125" i="31"/>
  <c r="H227" i="34" s="1"/>
  <c r="A125" i="31"/>
  <c r="G227" i="34" s="1"/>
  <c r="B124" i="31"/>
  <c r="H226" i="34" s="1"/>
  <c r="A124" i="31"/>
  <c r="G226" i="34" s="1"/>
  <c r="B123" i="31"/>
  <c r="H225" i="34" s="1"/>
  <c r="A123" i="31"/>
  <c r="G225" i="34" s="1"/>
  <c r="B122" i="31"/>
  <c r="H224" i="34" s="1"/>
  <c r="A122" i="31"/>
  <c r="G224" i="34" s="1"/>
  <c r="B121" i="31"/>
  <c r="H223" i="34" s="1"/>
  <c r="A121" i="31"/>
  <c r="G223" i="34" s="1"/>
  <c r="B120" i="31"/>
  <c r="H222" i="34" s="1"/>
  <c r="A120" i="31"/>
  <c r="G222" i="34" s="1"/>
  <c r="B119" i="31"/>
  <c r="H221" i="34" s="1"/>
  <c r="A119" i="31"/>
  <c r="G221" i="34" s="1"/>
  <c r="B118" i="31"/>
  <c r="H220" i="34" s="1"/>
  <c r="A118" i="31"/>
  <c r="G220" i="34" s="1"/>
  <c r="B117" i="31"/>
  <c r="H219" i="34" s="1"/>
  <c r="A117" i="31"/>
  <c r="G219" i="34" s="1"/>
  <c r="B116" i="31"/>
  <c r="H218" i="34" s="1"/>
  <c r="A116" i="31"/>
  <c r="G218" i="34" s="1"/>
  <c r="B115" i="31"/>
  <c r="H217" i="34" s="1"/>
  <c r="A115" i="31"/>
  <c r="G217" i="34" s="1"/>
  <c r="B114" i="31"/>
  <c r="H216" i="34" s="1"/>
  <c r="A114" i="31"/>
  <c r="G216" i="34" s="1"/>
  <c r="B113" i="31"/>
  <c r="H215" i="34" s="1"/>
  <c r="A113" i="31"/>
  <c r="G215" i="34" s="1"/>
  <c r="B112" i="31"/>
  <c r="H214" i="34"/>
  <c r="A112" i="31"/>
  <c r="G214" i="34" s="1"/>
  <c r="C111" i="31"/>
  <c r="B111"/>
  <c r="H213" i="34" s="1"/>
  <c r="A111" i="31"/>
  <c r="G213" i="34" s="1"/>
  <c r="B110" i="31"/>
  <c r="H212" i="34" s="1"/>
  <c r="A110" i="31"/>
  <c r="G212" i="34" s="1"/>
  <c r="B109" i="31"/>
  <c r="H211" i="34" s="1"/>
  <c r="A109" i="31"/>
  <c r="G211" i="34" s="1"/>
  <c r="B108" i="31"/>
  <c r="H210" i="34" s="1"/>
  <c r="A108" i="31"/>
  <c r="G210" i="34" s="1"/>
  <c r="B107" i="31"/>
  <c r="H209" i="34" s="1"/>
  <c r="A107" i="31"/>
  <c r="G209" i="34" s="1"/>
  <c r="B106" i="31"/>
  <c r="H208" i="34" s="1"/>
  <c r="A106" i="31"/>
  <c r="G208" i="34" s="1"/>
  <c r="B105" i="31"/>
  <c r="H207" i="34" s="1"/>
  <c r="A105" i="31"/>
  <c r="G207" i="34" s="1"/>
  <c r="B104" i="31"/>
  <c r="H206" i="34" s="1"/>
  <c r="A104" i="31"/>
  <c r="G206" i="34" s="1"/>
  <c r="B103" i="31"/>
  <c r="H205" i="34" s="1"/>
  <c r="A103" i="31"/>
  <c r="G205" i="34" s="1"/>
  <c r="B102" i="31"/>
  <c r="H204" i="34" s="1"/>
  <c r="A102" i="31"/>
  <c r="G204" i="34" s="1"/>
  <c r="B101" i="31"/>
  <c r="H203" i="34" s="1"/>
  <c r="A101" i="31"/>
  <c r="G203" i="34" s="1"/>
  <c r="B100" i="31"/>
  <c r="H202" i="34" s="1"/>
  <c r="A100" i="31"/>
  <c r="G202" i="34" s="1"/>
  <c r="B99" i="31"/>
  <c r="H201" i="34" s="1"/>
  <c r="A99" i="31"/>
  <c r="G201" i="34" s="1"/>
  <c r="B98" i="31"/>
  <c r="H200" i="34" s="1"/>
  <c r="A98" i="31"/>
  <c r="G200" i="34" s="1"/>
  <c r="B97" i="31"/>
  <c r="H199" i="34" s="1"/>
  <c r="A97" i="31"/>
  <c r="G199" i="34" s="1"/>
  <c r="C96" i="31"/>
  <c r="B96"/>
  <c r="H198" i="34" s="1"/>
  <c r="A96" i="31"/>
  <c r="G198" i="34" s="1"/>
  <c r="B95" i="31"/>
  <c r="H197" i="34" s="1"/>
  <c r="A95" i="31"/>
  <c r="G197" i="34" s="1"/>
  <c r="B94" i="31"/>
  <c r="H196" i="34" s="1"/>
  <c r="A94" i="31"/>
  <c r="G196" i="34" s="1"/>
  <c r="B93" i="31"/>
  <c r="H195" i="34" s="1"/>
  <c r="A93" i="31"/>
  <c r="G195" i="34" s="1"/>
  <c r="B92" i="31"/>
  <c r="H194" i="34" s="1"/>
  <c r="A92" i="31"/>
  <c r="G194" i="34" s="1"/>
  <c r="B91" i="31"/>
  <c r="H193" i="34" s="1"/>
  <c r="A91" i="31"/>
  <c r="G193" i="34" s="1"/>
  <c r="B90" i="31"/>
  <c r="H192" i="34" s="1"/>
  <c r="A90" i="31"/>
  <c r="G192" i="34" s="1"/>
  <c r="B89" i="31"/>
  <c r="H191" i="34" s="1"/>
  <c r="A89" i="31"/>
  <c r="G191" i="34" s="1"/>
  <c r="B88" i="31"/>
  <c r="H190" i="34" s="1"/>
  <c r="A88" i="31"/>
  <c r="G190" i="34" s="1"/>
  <c r="B87" i="31"/>
  <c r="H189" i="34" s="1"/>
  <c r="A87" i="31"/>
  <c r="G189" i="34" s="1"/>
  <c r="B86" i="31"/>
  <c r="H188" i="34" s="1"/>
  <c r="A86" i="31"/>
  <c r="G188" i="34" s="1"/>
  <c r="B85" i="31"/>
  <c r="H187" i="34" s="1"/>
  <c r="A85" i="31"/>
  <c r="G187" i="34" s="1"/>
  <c r="B84" i="31"/>
  <c r="H186" i="34" s="1"/>
  <c r="A84" i="31"/>
  <c r="G186" i="34" s="1"/>
  <c r="B83" i="31"/>
  <c r="H185" i="34" s="1"/>
  <c r="A83" i="31"/>
  <c r="G185" i="34" s="1"/>
  <c r="B82" i="31"/>
  <c r="H184" i="34" s="1"/>
  <c r="A82" i="31"/>
  <c r="G184" i="34" s="1"/>
  <c r="C81" i="31"/>
  <c r="B81"/>
  <c r="H183" i="34" s="1"/>
  <c r="A81" i="31"/>
  <c r="G183" i="34" s="1"/>
  <c r="X79" i="31"/>
  <c r="W79"/>
  <c r="V79"/>
  <c r="U79"/>
  <c r="T79"/>
  <c r="S79"/>
  <c r="R79"/>
  <c r="Q79"/>
  <c r="P79"/>
  <c r="O79"/>
  <c r="N79"/>
  <c r="M79"/>
  <c r="L79"/>
  <c r="K79"/>
  <c r="J79"/>
  <c r="I79"/>
  <c r="H79"/>
  <c r="G79"/>
  <c r="F79"/>
  <c r="E79"/>
  <c r="D63"/>
  <c r="D72"/>
  <c r="D60"/>
  <c r="D54"/>
  <c r="D53"/>
  <c r="D50"/>
  <c r="C51" s="1"/>
  <c r="D46"/>
  <c r="B46"/>
  <c r="D45"/>
  <c r="B45"/>
  <c r="D44"/>
  <c r="D43"/>
  <c r="D42"/>
  <c r="J59" s="1"/>
  <c r="C36"/>
  <c r="C35"/>
  <c r="C34"/>
  <c r="C33"/>
  <c r="C26"/>
  <c r="C25"/>
  <c r="D62"/>
  <c r="D71"/>
  <c r="C24"/>
  <c r="D61"/>
  <c r="C23"/>
  <c r="X12"/>
  <c r="W12"/>
  <c r="V12"/>
  <c r="U12"/>
  <c r="T12"/>
  <c r="S12"/>
  <c r="R12"/>
  <c r="Q12"/>
  <c r="P12"/>
  <c r="O12"/>
  <c r="N12"/>
  <c r="M12"/>
  <c r="L12"/>
  <c r="K12"/>
  <c r="J12"/>
  <c r="I12"/>
  <c r="H12"/>
  <c r="G12"/>
  <c r="F12"/>
  <c r="E12"/>
  <c r="C9"/>
  <c r="D70"/>
  <c r="H59"/>
  <c r="E59"/>
  <c r="D52"/>
  <c r="B44"/>
  <c r="D51"/>
  <c r="D69"/>
  <c r="A82" i="18"/>
  <c r="G124" i="34" s="1"/>
  <c r="B82" i="18"/>
  <c r="H124" i="34" s="1"/>
  <c r="A83" i="18"/>
  <c r="B83"/>
  <c r="H125" i="34" s="1"/>
  <c r="A84" i="18"/>
  <c r="B84"/>
  <c r="H126" i="34" s="1"/>
  <c r="A85" i="18"/>
  <c r="G127" i="34" s="1"/>
  <c r="B85" i="18"/>
  <c r="H127" i="34" s="1"/>
  <c r="A86" i="18"/>
  <c r="G128" i="34" s="1"/>
  <c r="B86" i="18"/>
  <c r="H128" i="34" s="1"/>
  <c r="A87" i="18"/>
  <c r="G129" i="34" s="1"/>
  <c r="B87" i="18"/>
  <c r="H129" i="34" s="1"/>
  <c r="A88" i="18"/>
  <c r="B88"/>
  <c r="H130" i="34" s="1"/>
  <c r="A89" i="18"/>
  <c r="G131" i="34" s="1"/>
  <c r="B89" i="18"/>
  <c r="H131" i="34" s="1"/>
  <c r="A90" i="18"/>
  <c r="B90"/>
  <c r="H132" i="34" s="1"/>
  <c r="A91" i="18"/>
  <c r="G133" i="34" s="1"/>
  <c r="B91" i="18"/>
  <c r="H133" i="34" s="1"/>
  <c r="A92" i="18"/>
  <c r="G134" i="34" s="1"/>
  <c r="B92" i="18"/>
  <c r="H134" i="34" s="1"/>
  <c r="A93" i="18"/>
  <c r="G135" i="34" s="1"/>
  <c r="B93" i="18"/>
  <c r="H135" i="34" s="1"/>
  <c r="A94" i="18"/>
  <c r="G136" i="34" s="1"/>
  <c r="B94" i="18"/>
  <c r="H136" i="34" s="1"/>
  <c r="A95" i="18"/>
  <c r="B95"/>
  <c r="H137" i="34" s="1"/>
  <c r="A96" i="18"/>
  <c r="G138" i="34" s="1"/>
  <c r="B96" i="18"/>
  <c r="H138" i="34" s="1"/>
  <c r="A97" i="18"/>
  <c r="B97"/>
  <c r="H139" i="34" s="1"/>
  <c r="A98" i="18"/>
  <c r="G140" i="34" s="1"/>
  <c r="B98" i="18"/>
  <c r="H140" i="34" s="1"/>
  <c r="A99" i="18"/>
  <c r="B99"/>
  <c r="H141" i="34" s="1"/>
  <c r="A100" i="18"/>
  <c r="B100"/>
  <c r="H142" i="34" s="1"/>
  <c r="A101" i="18"/>
  <c r="G143" i="34" s="1"/>
  <c r="B101" i="18"/>
  <c r="H143" i="34" s="1"/>
  <c r="A102" i="18"/>
  <c r="B102"/>
  <c r="H144" i="34" s="1"/>
  <c r="A103" i="18"/>
  <c r="B103"/>
  <c r="H145" i="34" s="1"/>
  <c r="A104" i="18"/>
  <c r="B104"/>
  <c r="H146" i="34" s="1"/>
  <c r="A105" i="18"/>
  <c r="G147" i="34" s="1"/>
  <c r="B105" i="18"/>
  <c r="H147" i="34" s="1"/>
  <c r="A106" i="18"/>
  <c r="B106"/>
  <c r="H148" i="34" s="1"/>
  <c r="A107" i="18"/>
  <c r="G149" i="34" s="1"/>
  <c r="B107" i="18"/>
  <c r="H149" i="34" s="1"/>
  <c r="A108" i="18"/>
  <c r="B108"/>
  <c r="H150" i="34" s="1"/>
  <c r="A109" i="18"/>
  <c r="B109"/>
  <c r="H151" i="34" s="1"/>
  <c r="A110" i="18"/>
  <c r="G152" i="34" s="1"/>
  <c r="B110" i="18"/>
  <c r="H152" i="34" s="1"/>
  <c r="A111" i="18"/>
  <c r="G153" i="34" s="1"/>
  <c r="B111" i="18"/>
  <c r="H153" i="34" s="1"/>
  <c r="A112" i="18"/>
  <c r="G154" i="34" s="1"/>
  <c r="B112" i="18"/>
  <c r="H154" i="34" s="1"/>
  <c r="A113" i="18"/>
  <c r="G155" i="34" s="1"/>
  <c r="B113" i="18"/>
  <c r="H155" i="34" s="1"/>
  <c r="A114" i="18"/>
  <c r="G156" i="34" s="1"/>
  <c r="B114" i="18"/>
  <c r="H156" i="34" s="1"/>
  <c r="A115" i="18"/>
  <c r="B115"/>
  <c r="H157" i="34" s="1"/>
  <c r="A116" i="18"/>
  <c r="G158" i="34" s="1"/>
  <c r="B116" i="18"/>
  <c r="H158" i="34" s="1"/>
  <c r="A117" i="18"/>
  <c r="B117"/>
  <c r="H159" i="34" s="1"/>
  <c r="A118" i="18"/>
  <c r="B118"/>
  <c r="H160" i="34" s="1"/>
  <c r="A119" i="18"/>
  <c r="B119"/>
  <c r="H161" i="34" s="1"/>
  <c r="A120" i="18"/>
  <c r="B120"/>
  <c r="H162" i="34" s="1"/>
  <c r="A121" i="18"/>
  <c r="G163" i="34" s="1"/>
  <c r="B121" i="18"/>
  <c r="H163" i="34" s="1"/>
  <c r="A122" i="18"/>
  <c r="G164" i="34" s="1"/>
  <c r="B122" i="18"/>
  <c r="H164" i="34" s="1"/>
  <c r="A123" i="18"/>
  <c r="G165" i="34" s="1"/>
  <c r="B123" i="18"/>
  <c r="H165" i="34" s="1"/>
  <c r="A124" i="18"/>
  <c r="G166" i="34" s="1"/>
  <c r="B124" i="18"/>
  <c r="H166" i="34" s="1"/>
  <c r="A125" i="18"/>
  <c r="G167" i="34" s="1"/>
  <c r="B125" i="18"/>
  <c r="H167" i="34" s="1"/>
  <c r="A126" i="18"/>
  <c r="B126"/>
  <c r="H168" i="34" s="1"/>
  <c r="A127" i="18"/>
  <c r="G169" i="34" s="1"/>
  <c r="B127" i="18"/>
  <c r="H169" i="34" s="1"/>
  <c r="A128" i="18"/>
  <c r="G170" i="34" s="1"/>
  <c r="B128" i="18"/>
  <c r="H170" i="34" s="1"/>
  <c r="A129" i="18"/>
  <c r="G171" i="34" s="1"/>
  <c r="B129" i="18"/>
  <c r="H171" i="34" s="1"/>
  <c r="A130" i="18"/>
  <c r="G172" i="34" s="1"/>
  <c r="B130" i="18"/>
  <c r="H172" i="34" s="1"/>
  <c r="A131" i="18"/>
  <c r="G173" i="34" s="1"/>
  <c r="B131" i="18"/>
  <c r="H173" i="34" s="1"/>
  <c r="A132" i="18"/>
  <c r="G174" i="34" s="1"/>
  <c r="B132" i="18"/>
  <c r="H174" i="34" s="1"/>
  <c r="A133" i="18"/>
  <c r="B133"/>
  <c r="H175" i="34" s="1"/>
  <c r="A134" i="18"/>
  <c r="B134"/>
  <c r="H176" i="34" s="1"/>
  <c r="A135" i="18"/>
  <c r="B135"/>
  <c r="H177" i="34" s="1"/>
  <c r="A136" i="18"/>
  <c r="B136"/>
  <c r="H178" i="34" s="1"/>
  <c r="A137" i="18"/>
  <c r="G179" i="34" s="1"/>
  <c r="B137" i="18"/>
  <c r="H179" i="34" s="1"/>
  <c r="A138" i="18"/>
  <c r="G180" i="34" s="1"/>
  <c r="B138" i="18"/>
  <c r="H180" i="34" s="1"/>
  <c r="A139" i="18"/>
  <c r="G181" i="34" s="1"/>
  <c r="B139" i="18"/>
  <c r="H181" i="34" s="1"/>
  <c r="A140" i="18"/>
  <c r="G182" i="34" s="1"/>
  <c r="B140" i="18"/>
  <c r="H182" i="34" s="1"/>
  <c r="B81" i="18"/>
  <c r="H123" i="34" s="1"/>
  <c r="A81" i="18"/>
  <c r="C111"/>
  <c r="C96"/>
  <c r="C4" i="30"/>
  <c r="C5"/>
  <c r="C19" s="1"/>
  <c r="C6"/>
  <c r="C7"/>
  <c r="C8"/>
  <c r="C9"/>
  <c r="C10"/>
  <c r="C11"/>
  <c r="C12"/>
  <c r="C13"/>
  <c r="C14"/>
  <c r="C15"/>
  <c r="C16"/>
  <c r="C17"/>
  <c r="C3"/>
  <c r="B103" i="17"/>
  <c r="H62" i="34" s="1"/>
  <c r="B102" i="17"/>
  <c r="H61" i="34" s="1"/>
  <c r="B101" i="17"/>
  <c r="H60" i="34" s="1"/>
  <c r="B100" i="17"/>
  <c r="H59" i="34" s="1"/>
  <c r="B99" i="17"/>
  <c r="H58" i="34" s="1"/>
  <c r="B98" i="17"/>
  <c r="H57" i="34" s="1"/>
  <c r="B97" i="17"/>
  <c r="H56" i="34" s="1"/>
  <c r="B96" i="17"/>
  <c r="H55" i="34" s="1"/>
  <c r="B95" i="17"/>
  <c r="H54" i="34" s="1"/>
  <c r="B94" i="17"/>
  <c r="H53" i="34" s="1"/>
  <c r="B93" i="17"/>
  <c r="H52" i="34" s="1"/>
  <c r="B92" i="17"/>
  <c r="H51" i="34" s="1"/>
  <c r="B91" i="17"/>
  <c r="H50" i="34" s="1"/>
  <c r="B90" i="17"/>
  <c r="H49" i="34" s="1"/>
  <c r="B89" i="17"/>
  <c r="H48" i="34" s="1"/>
  <c r="B88" i="17"/>
  <c r="H47" i="34" s="1"/>
  <c r="B87" i="17"/>
  <c r="H46" i="34" s="1"/>
  <c r="B86" i="17"/>
  <c r="H45" i="34" s="1"/>
  <c r="B85" i="17"/>
  <c r="H44" i="34" s="1"/>
  <c r="B84" i="17"/>
  <c r="H43" i="34" s="1"/>
  <c r="B83" i="17"/>
  <c r="H42" i="34" s="1"/>
  <c r="B82" i="17"/>
  <c r="H41" i="34" s="1"/>
  <c r="B81" i="17"/>
  <c r="H40" i="34" s="1"/>
  <c r="B80" i="17"/>
  <c r="H39" i="34" s="1"/>
  <c r="B79" i="17"/>
  <c r="H38" i="34" s="1"/>
  <c r="B78" i="17"/>
  <c r="H37" i="34" s="1"/>
  <c r="B77" i="17"/>
  <c r="H36" i="34" s="1"/>
  <c r="B76" i="17"/>
  <c r="H35" i="34" s="1"/>
  <c r="B75" i="17"/>
  <c r="H34" i="34" s="1"/>
  <c r="B74" i="17"/>
  <c r="H33" i="34" s="1"/>
  <c r="B73" i="17"/>
  <c r="H32" i="34" s="1"/>
  <c r="B72" i="17"/>
  <c r="H31" i="34" s="1"/>
  <c r="B71" i="17"/>
  <c r="H30" i="34" s="1"/>
  <c r="B70" i="17"/>
  <c r="H29" i="34" s="1"/>
  <c r="B69" i="17"/>
  <c r="H28" i="34" s="1"/>
  <c r="B68" i="17"/>
  <c r="H27" i="34" s="1"/>
  <c r="B67" i="17"/>
  <c r="H26" i="34" s="1"/>
  <c r="B66" i="17"/>
  <c r="H25" i="34" s="1"/>
  <c r="B65" i="17"/>
  <c r="H24" i="34" s="1"/>
  <c r="B64" i="17"/>
  <c r="H23" i="34" s="1"/>
  <c r="B63" i="17"/>
  <c r="H22" i="34" s="1"/>
  <c r="B62" i="17"/>
  <c r="H21" i="34" s="1"/>
  <c r="B61" i="17"/>
  <c r="H20" i="34" s="1"/>
  <c r="B60" i="17"/>
  <c r="H19" i="34" s="1"/>
  <c r="B59" i="17"/>
  <c r="H18" i="34" s="1"/>
  <c r="B58" i="17"/>
  <c r="H17" i="34" s="1"/>
  <c r="B57" i="17"/>
  <c r="H16" i="34" s="1"/>
  <c r="B56" i="17"/>
  <c r="H15" i="34" s="1"/>
  <c r="B55" i="17"/>
  <c r="H14" i="34" s="1"/>
  <c r="B54" i="17"/>
  <c r="H13" i="34" s="1"/>
  <c r="B53" i="17"/>
  <c r="H12" i="34" s="1"/>
  <c r="B52" i="17"/>
  <c r="H11" i="34" s="1"/>
  <c r="B51" i="17"/>
  <c r="H10" i="34" s="1"/>
  <c r="B50" i="17"/>
  <c r="H9" i="34" s="1"/>
  <c r="B49" i="17"/>
  <c r="H8" i="34" s="1"/>
  <c r="B48" i="17"/>
  <c r="H7" i="34" s="1"/>
  <c r="B47" i="17"/>
  <c r="H6" i="34" s="1"/>
  <c r="B46" i="17"/>
  <c r="H5" i="34" s="1"/>
  <c r="B45" i="17"/>
  <c r="H4" i="34" s="1"/>
  <c r="C195" i="29"/>
  <c r="C194"/>
  <c r="C193"/>
  <c r="C192"/>
  <c r="C147"/>
  <c r="X146"/>
  <c r="W146"/>
  <c r="V146"/>
  <c r="U146"/>
  <c r="T146"/>
  <c r="S146"/>
  <c r="R146"/>
  <c r="Q146"/>
  <c r="P146"/>
  <c r="O146"/>
  <c r="N146"/>
  <c r="M146"/>
  <c r="L146"/>
  <c r="K146"/>
  <c r="J146"/>
  <c r="I146"/>
  <c r="H146"/>
  <c r="G146"/>
  <c r="F146"/>
  <c r="E146"/>
  <c r="X109"/>
  <c r="W109"/>
  <c r="V109"/>
  <c r="U109"/>
  <c r="T109"/>
  <c r="S109"/>
  <c r="R109"/>
  <c r="Q109"/>
  <c r="P109"/>
  <c r="O109"/>
  <c r="N109"/>
  <c r="M109"/>
  <c r="L109"/>
  <c r="K109"/>
  <c r="J109"/>
  <c r="I109"/>
  <c r="H109"/>
  <c r="G109"/>
  <c r="F109"/>
  <c r="E109"/>
  <c r="B103"/>
  <c r="H122" i="34" s="1"/>
  <c r="A103" i="29"/>
  <c r="B102"/>
  <c r="H121" i="34" s="1"/>
  <c r="A102" i="29"/>
  <c r="B101"/>
  <c r="H120" i="34" s="1"/>
  <c r="A101" i="29"/>
  <c r="B100"/>
  <c r="H119" i="34" s="1"/>
  <c r="A100" i="29"/>
  <c r="B99"/>
  <c r="H118" i="34" s="1"/>
  <c r="A99" i="29"/>
  <c r="B98"/>
  <c r="H117" i="34" s="1"/>
  <c r="A98" i="29"/>
  <c r="B97"/>
  <c r="H116" i="34" s="1"/>
  <c r="A97" i="29"/>
  <c r="B96"/>
  <c r="H115" i="34" s="1"/>
  <c r="A96" i="29"/>
  <c r="B95"/>
  <c r="H114" i="34" s="1"/>
  <c r="A95" i="29"/>
  <c r="B94"/>
  <c r="H113" i="34" s="1"/>
  <c r="A94" i="29"/>
  <c r="B93"/>
  <c r="H112" i="34" s="1"/>
  <c r="A93" i="29"/>
  <c r="B92"/>
  <c r="H111" i="34" s="1"/>
  <c r="A92" i="29"/>
  <c r="B91"/>
  <c r="H110" i="34" s="1"/>
  <c r="A91" i="29"/>
  <c r="B90"/>
  <c r="H109" i="34" s="1"/>
  <c r="A90" i="29"/>
  <c r="C89"/>
  <c r="B89"/>
  <c r="H108" i="34" s="1"/>
  <c r="A89" i="29"/>
  <c r="G108" i="34" s="1"/>
  <c r="B88" i="29"/>
  <c r="H107" i="34" s="1"/>
  <c r="A88" i="29"/>
  <c r="B87"/>
  <c r="H106" i="34" s="1"/>
  <c r="A87" i="29"/>
  <c r="B86"/>
  <c r="H105" i="34" s="1"/>
  <c r="A86" i="29"/>
  <c r="G105" i="34" s="1"/>
  <c r="B85" i="29"/>
  <c r="H104" i="34" s="1"/>
  <c r="A85" i="29"/>
  <c r="B84"/>
  <c r="H103" i="34" s="1"/>
  <c r="A84" i="29"/>
  <c r="G103" i="34" s="1"/>
  <c r="B83" i="29"/>
  <c r="H102" i="34" s="1"/>
  <c r="A83" i="29"/>
  <c r="B82"/>
  <c r="H101" i="34" s="1"/>
  <c r="A82" i="29"/>
  <c r="B81"/>
  <c r="H100" i="34" s="1"/>
  <c r="A81" i="29"/>
  <c r="B80"/>
  <c r="H99" i="34" s="1"/>
  <c r="A80" i="29"/>
  <c r="B79"/>
  <c r="H98" i="34" s="1"/>
  <c r="A79" i="29"/>
  <c r="G98" i="34" s="1"/>
  <c r="B78" i="29"/>
  <c r="H97" i="34" s="1"/>
  <c r="A78" i="29"/>
  <c r="B77"/>
  <c r="H96" i="34" s="1"/>
  <c r="A77" i="29"/>
  <c r="B76"/>
  <c r="H95" i="34" s="1"/>
  <c r="A76" i="29"/>
  <c r="B75"/>
  <c r="H94" i="34" s="1"/>
  <c r="A75" i="29"/>
  <c r="B74"/>
  <c r="H93" i="34" s="1"/>
  <c r="A74" i="29"/>
  <c r="G93" i="34" s="1"/>
  <c r="C73" i="29"/>
  <c r="B73"/>
  <c r="H92" i="34" s="1"/>
  <c r="A73" i="29"/>
  <c r="G92" i="34" s="1"/>
  <c r="B72" i="29"/>
  <c r="H91" i="34" s="1"/>
  <c r="A72" i="29"/>
  <c r="G91" i="34" s="1"/>
  <c r="B71" i="29"/>
  <c r="H90" i="34" s="1"/>
  <c r="A71" i="29"/>
  <c r="B70"/>
  <c r="H89" i="34" s="1"/>
  <c r="A70" i="29"/>
  <c r="G89" i="34" s="1"/>
  <c r="B69" i="29"/>
  <c r="H88" i="34" s="1"/>
  <c r="A69" i="29"/>
  <c r="B68"/>
  <c r="H87" i="34" s="1"/>
  <c r="A68" i="29"/>
  <c r="B67"/>
  <c r="H86" i="34" s="1"/>
  <c r="A67" i="29"/>
  <c r="G86" i="34" s="1"/>
  <c r="B66" i="29"/>
  <c r="H85" i="34" s="1"/>
  <c r="A66" i="29"/>
  <c r="G85" i="34" s="1"/>
  <c r="B65" i="29"/>
  <c r="H84" i="34" s="1"/>
  <c r="A65" i="29"/>
  <c r="B64"/>
  <c r="H83" i="34" s="1"/>
  <c r="A64" i="29"/>
  <c r="G83" i="34" s="1"/>
  <c r="B63" i="29"/>
  <c r="H82" i="34" s="1"/>
  <c r="A63" i="29"/>
  <c r="B62"/>
  <c r="H81" i="34" s="1"/>
  <c r="A62" i="29"/>
  <c r="G81" i="34" s="1"/>
  <c r="B61" i="29"/>
  <c r="H80" i="34" s="1"/>
  <c r="A61" i="29"/>
  <c r="B60"/>
  <c r="H79" i="34" s="1"/>
  <c r="A60" i="29"/>
  <c r="C59"/>
  <c r="B59"/>
  <c r="H78" i="34" s="1"/>
  <c r="A59" i="29"/>
  <c r="B58"/>
  <c r="H77" i="34" s="1"/>
  <c r="A58" i="29"/>
  <c r="B57"/>
  <c r="H76" i="34" s="1"/>
  <c r="A57" i="29"/>
  <c r="B56"/>
  <c r="H75" i="34" s="1"/>
  <c r="A56" i="29"/>
  <c r="G75" i="34" s="1"/>
  <c r="B55" i="29"/>
  <c r="H74" i="34" s="1"/>
  <c r="A55" i="29"/>
  <c r="G74" i="34" s="1"/>
  <c r="B54" i="29"/>
  <c r="H73" i="34" s="1"/>
  <c r="A54" i="29"/>
  <c r="B53"/>
  <c r="H72" i="34" s="1"/>
  <c r="A53" i="29"/>
  <c r="B52"/>
  <c r="H71" i="34" s="1"/>
  <c r="A52" i="29"/>
  <c r="B51"/>
  <c r="H70" i="34" s="1"/>
  <c r="A51" i="29"/>
  <c r="G70" i="34" s="1"/>
  <c r="B50" i="29"/>
  <c r="H69" i="34" s="1"/>
  <c r="A50" i="29"/>
  <c r="G69" i="34" s="1"/>
  <c r="B49" i="29"/>
  <c r="H68" i="34" s="1"/>
  <c r="A49" i="29"/>
  <c r="B48"/>
  <c r="H67" i="34" s="1"/>
  <c r="A48" i="29"/>
  <c r="G67" i="34" s="1"/>
  <c r="B47" i="29"/>
  <c r="H66" i="34" s="1"/>
  <c r="A47" i="29"/>
  <c r="B46"/>
  <c r="H65" i="34" s="1"/>
  <c r="A46" i="29"/>
  <c r="B45"/>
  <c r="H64" i="34" s="1"/>
  <c r="A45" i="29"/>
  <c r="C44"/>
  <c r="B44"/>
  <c r="H63" i="34" s="1"/>
  <c r="A44" i="29"/>
  <c r="G63" i="34" s="1"/>
  <c r="X42" i="29"/>
  <c r="W42"/>
  <c r="V42"/>
  <c r="U42"/>
  <c r="T42"/>
  <c r="S42"/>
  <c r="R42"/>
  <c r="Q42"/>
  <c r="P42"/>
  <c r="O42"/>
  <c r="N42"/>
  <c r="M42"/>
  <c r="L42"/>
  <c r="K42"/>
  <c r="J42"/>
  <c r="I42"/>
  <c r="H42"/>
  <c r="G42"/>
  <c r="F42"/>
  <c r="E42"/>
  <c r="C41"/>
  <c r="C36"/>
  <c r="C32"/>
  <c r="R32" s="1"/>
  <c r="C25"/>
  <c r="C24"/>
  <c r="C23"/>
  <c r="C22"/>
  <c r="A21" s="1"/>
  <c r="X12"/>
  <c r="W12"/>
  <c r="V12"/>
  <c r="U12"/>
  <c r="T12"/>
  <c r="S12"/>
  <c r="R12"/>
  <c r="Q12"/>
  <c r="P12"/>
  <c r="O12"/>
  <c r="N12"/>
  <c r="M12"/>
  <c r="L12"/>
  <c r="K12"/>
  <c r="J12"/>
  <c r="I12"/>
  <c r="H12"/>
  <c r="G12"/>
  <c r="F12"/>
  <c r="E12"/>
  <c r="A11"/>
  <c r="C9"/>
  <c r="A45" i="17"/>
  <c r="G4" i="34" s="1"/>
  <c r="A46" i="17"/>
  <c r="G5" i="34" s="1"/>
  <c r="A47" i="17"/>
  <c r="G6" i="34" s="1"/>
  <c r="A48" i="17"/>
  <c r="G7" i="34" s="1"/>
  <c r="A49" i="17"/>
  <c r="G8" i="34" s="1"/>
  <c r="A50" i="17"/>
  <c r="G9" i="34" s="1"/>
  <c r="A51" i="17"/>
  <c r="A52"/>
  <c r="G11" i="34" s="1"/>
  <c r="A53" i="17"/>
  <c r="G12" i="34" s="1"/>
  <c r="A54" i="17"/>
  <c r="G13" i="34" s="1"/>
  <c r="A55" i="17"/>
  <c r="G14" i="34" s="1"/>
  <c r="A56" i="17"/>
  <c r="G15" i="34" s="1"/>
  <c r="A57" i="17"/>
  <c r="G16" i="34" s="1"/>
  <c r="A58" i="17"/>
  <c r="A59"/>
  <c r="G18" i="34" s="1"/>
  <c r="A60" i="17"/>
  <c r="A61"/>
  <c r="A62"/>
  <c r="A63"/>
  <c r="G22" i="34" s="1"/>
  <c r="A64" i="17"/>
  <c r="A65"/>
  <c r="A66"/>
  <c r="A67"/>
  <c r="G26" i="34" s="1"/>
  <c r="A68" i="17"/>
  <c r="A69"/>
  <c r="G28" i="34" s="1"/>
  <c r="A70" i="17"/>
  <c r="A71"/>
  <c r="G30" i="34" s="1"/>
  <c r="A72" i="17"/>
  <c r="A73"/>
  <c r="G32" i="34" s="1"/>
  <c r="A74" i="17"/>
  <c r="A75"/>
  <c r="G34" i="34" s="1"/>
  <c r="A76" i="17"/>
  <c r="A77"/>
  <c r="G36" i="34" s="1"/>
  <c r="A78" i="17"/>
  <c r="G37" i="34" s="1"/>
  <c r="A79" i="17"/>
  <c r="G38" i="34" s="1"/>
  <c r="A80" i="17"/>
  <c r="G39" i="34" s="1"/>
  <c r="A81" i="17"/>
  <c r="G40" i="34" s="1"/>
  <c r="A82" i="17"/>
  <c r="G41" i="34" s="1"/>
  <c r="A83" i="17"/>
  <c r="G42" i="34" s="1"/>
  <c r="A84" i="17"/>
  <c r="A85"/>
  <c r="G44" i="34" s="1"/>
  <c r="A86" i="17"/>
  <c r="G45" i="34" s="1"/>
  <c r="A87" i="17"/>
  <c r="G46" i="34" s="1"/>
  <c r="A88" i="17"/>
  <c r="A89"/>
  <c r="A90"/>
  <c r="A91"/>
  <c r="G50" i="34" s="1"/>
  <c r="A92" i="17"/>
  <c r="A93"/>
  <c r="G52" i="34" s="1"/>
  <c r="A94" i="17"/>
  <c r="A95"/>
  <c r="G54" i="34"/>
  <c r="A96" i="17"/>
  <c r="A97"/>
  <c r="A98"/>
  <c r="A99"/>
  <c r="A100"/>
  <c r="A101"/>
  <c r="G60" i="34" s="1"/>
  <c r="A102" i="17"/>
  <c r="A103"/>
  <c r="G62" i="34" s="1"/>
  <c r="C89" i="17"/>
  <c r="C73"/>
  <c r="C59"/>
  <c r="B44"/>
  <c r="H3" i="34" s="1"/>
  <c r="A44" i="17"/>
  <c r="C34" i="29"/>
  <c r="C33"/>
  <c r="E18"/>
  <c r="D6" i="28"/>
  <c r="D5"/>
  <c r="D4"/>
  <c r="C5"/>
  <c r="C6"/>
  <c r="C4"/>
  <c r="D18"/>
  <c r="D19"/>
  <c r="D20"/>
  <c r="D21"/>
  <c r="D22"/>
  <c r="D23"/>
  <c r="C52" i="10"/>
  <c r="A15" i="16" s="1"/>
  <c r="A17"/>
  <c r="C56" i="10"/>
  <c r="A19" i="16" s="1"/>
  <c r="X23" i="2"/>
  <c r="R9" i="10"/>
  <c r="R47" s="1"/>
  <c r="M15"/>
  <c r="M68" s="1"/>
  <c r="K31" i="16" s="1"/>
  <c r="P21" i="10"/>
  <c r="P74" s="1"/>
  <c r="N37" i="16" s="1"/>
  <c r="H13" i="10"/>
  <c r="H51" s="1"/>
  <c r="F14" i="16" s="1"/>
  <c r="P13" i="10"/>
  <c r="P51" s="1"/>
  <c r="R17"/>
  <c r="R70" s="1"/>
  <c r="O18"/>
  <c r="O56" s="1"/>
  <c r="R22" i="3"/>
  <c r="R21" i="10" s="1"/>
  <c r="P22" i="3"/>
  <c r="O22"/>
  <c r="O21" i="10"/>
  <c r="O74" s="1"/>
  <c r="M37" i="16" s="1"/>
  <c r="N22" i="3"/>
  <c r="N21" i="10" s="1"/>
  <c r="N59" s="1"/>
  <c r="M22" i="3"/>
  <c r="M21" i="10"/>
  <c r="M59" s="1"/>
  <c r="K22" i="16" s="1"/>
  <c r="J22" i="3"/>
  <c r="J21" i="10" s="1"/>
  <c r="I22" i="3"/>
  <c r="I21" i="10" s="1"/>
  <c r="I74" s="1"/>
  <c r="H22" i="3"/>
  <c r="H21" i="10" s="1"/>
  <c r="D22" i="3"/>
  <c r="D21" i="10" s="1"/>
  <c r="C22" i="3"/>
  <c r="C21" i="10" s="1"/>
  <c r="C59" s="1"/>
  <c r="A22" i="16" s="1"/>
  <c r="R21" i="3"/>
  <c r="R20" i="10" s="1"/>
  <c r="P21" i="3"/>
  <c r="P20" i="10"/>
  <c r="P73" s="1"/>
  <c r="O21" i="3"/>
  <c r="O20" i="10"/>
  <c r="O58" s="1"/>
  <c r="M21" i="16" s="1"/>
  <c r="N21" i="3"/>
  <c r="N20" i="10"/>
  <c r="N73" s="1"/>
  <c r="M21" i="3"/>
  <c r="M20" i="10" s="1"/>
  <c r="M58" s="1"/>
  <c r="J21" i="3"/>
  <c r="J20" i="10" s="1"/>
  <c r="J58" s="1"/>
  <c r="H21" i="16" s="1"/>
  <c r="I21" i="3"/>
  <c r="I20" i="10"/>
  <c r="I73" s="1"/>
  <c r="H21" i="3"/>
  <c r="H20" i="10" s="1"/>
  <c r="H73" s="1"/>
  <c r="D21" i="3"/>
  <c r="D20" i="10" s="1"/>
  <c r="C21" i="3"/>
  <c r="C20" i="10"/>
  <c r="C73" s="1"/>
  <c r="A36" i="16" s="1"/>
  <c r="R20" i="3"/>
  <c r="R19" i="10" s="1"/>
  <c r="R72" s="1"/>
  <c r="P20" i="3"/>
  <c r="P19" i="10" s="1"/>
  <c r="P72" s="1"/>
  <c r="N35" i="16" s="1"/>
  <c r="O20" i="3"/>
  <c r="O19" i="10" s="1"/>
  <c r="N20" i="3"/>
  <c r="N19" i="10" s="1"/>
  <c r="N57" s="1"/>
  <c r="M20" i="3"/>
  <c r="M19" i="10" s="1"/>
  <c r="J20" i="3"/>
  <c r="J19" i="10" s="1"/>
  <c r="I20" i="3"/>
  <c r="I19" i="10"/>
  <c r="I57" s="1"/>
  <c r="H20" i="3"/>
  <c r="H19" i="10" s="1"/>
  <c r="D20" i="3"/>
  <c r="D19" i="10" s="1"/>
  <c r="D57" s="1"/>
  <c r="D72"/>
  <c r="B35" i="16" s="1"/>
  <c r="C20" i="3"/>
  <c r="B20" s="1"/>
  <c r="R19"/>
  <c r="R18" i="10"/>
  <c r="P19" i="3"/>
  <c r="P18" i="10" s="1"/>
  <c r="P56" s="1"/>
  <c r="N19" i="16" s="1"/>
  <c r="O19" i="3"/>
  <c r="N19"/>
  <c r="N18" i="10"/>
  <c r="N71" s="1"/>
  <c r="L34" i="16" s="1"/>
  <c r="M19" i="3"/>
  <c r="M18" i="10"/>
  <c r="M56" s="1"/>
  <c r="J19" i="3"/>
  <c r="J18" i="10"/>
  <c r="J71" s="1"/>
  <c r="H34" i="16" s="1"/>
  <c r="I19" i="3"/>
  <c r="I18" i="10"/>
  <c r="H19" i="3"/>
  <c r="H18" i="10"/>
  <c r="D19" i="3"/>
  <c r="D18" i="10"/>
  <c r="D56" s="1"/>
  <c r="D71"/>
  <c r="B34" i="16"/>
  <c r="C19" i="3"/>
  <c r="C18" i="10"/>
  <c r="C71"/>
  <c r="A34" i="16"/>
  <c r="R18" i="3"/>
  <c r="P18"/>
  <c r="P17" i="10"/>
  <c r="P55" s="1"/>
  <c r="N18" i="16" s="1"/>
  <c r="O18" i="3"/>
  <c r="O17" i="10" s="1"/>
  <c r="O70" s="1"/>
  <c r="N18" i="3"/>
  <c r="N17" i="10" s="1"/>
  <c r="M18" i="3"/>
  <c r="M17" i="10"/>
  <c r="M55" s="1"/>
  <c r="K18" i="16" s="1"/>
  <c r="J18" i="3"/>
  <c r="J17" i="10" s="1"/>
  <c r="I18" i="3"/>
  <c r="I17" i="10" s="1"/>
  <c r="I70" s="1"/>
  <c r="H18" i="3"/>
  <c r="H17" i="10" s="1"/>
  <c r="H55" s="1"/>
  <c r="D18" i="3"/>
  <c r="D17" i="10"/>
  <c r="D70" s="1"/>
  <c r="B33" i="16" s="1"/>
  <c r="C18" i="3"/>
  <c r="B18" s="1"/>
  <c r="R17"/>
  <c r="R16" i="10"/>
  <c r="R54" s="1"/>
  <c r="P17" i="3"/>
  <c r="P16" i="10" s="1"/>
  <c r="O17" i="3"/>
  <c r="O16" i="10" s="1"/>
  <c r="O54" s="1"/>
  <c r="N17" i="3"/>
  <c r="N16" i="10" s="1"/>
  <c r="N69" s="1"/>
  <c r="L32" i="16" s="1"/>
  <c r="M17" i="3"/>
  <c r="M16" i="10" s="1"/>
  <c r="J17" i="3"/>
  <c r="J16" i="10" s="1"/>
  <c r="J69" s="1"/>
  <c r="I17" i="3"/>
  <c r="I16" i="10" s="1"/>
  <c r="H17" i="3"/>
  <c r="H16" i="10" s="1"/>
  <c r="H54" s="1"/>
  <c r="D17" i="3"/>
  <c r="D16" i="10"/>
  <c r="D69" s="1"/>
  <c r="B32" i="16" s="1"/>
  <c r="C17" i="3"/>
  <c r="C16" i="10" s="1"/>
  <c r="C54" s="1"/>
  <c r="R16" i="3"/>
  <c r="R15" i="10" s="1"/>
  <c r="R53" s="1"/>
  <c r="P16" i="3"/>
  <c r="P15" i="10" s="1"/>
  <c r="O16" i="3"/>
  <c r="O15" i="10"/>
  <c r="O53" s="1"/>
  <c r="M16" i="16" s="1"/>
  <c r="N16" i="3"/>
  <c r="N15" i="10" s="1"/>
  <c r="N53" s="1"/>
  <c r="L16" i="16" s="1"/>
  <c r="M16" i="3"/>
  <c r="J16"/>
  <c r="J15" i="10" s="1"/>
  <c r="I16" i="3"/>
  <c r="I15" i="10" s="1"/>
  <c r="H16" i="3"/>
  <c r="H15" i="10" s="1"/>
  <c r="D16" i="3"/>
  <c r="D15" i="10" s="1"/>
  <c r="C16" i="3"/>
  <c r="C15" i="10" s="1"/>
  <c r="C53" s="1"/>
  <c r="A16" i="16" s="1"/>
  <c r="R15" i="3"/>
  <c r="R14" i="10" s="1"/>
  <c r="R52" s="1"/>
  <c r="P15" i="3"/>
  <c r="P14" i="10" s="1"/>
  <c r="O15" i="3"/>
  <c r="O14" i="10" s="1"/>
  <c r="O67" s="1"/>
  <c r="N15" i="3"/>
  <c r="N14" i="10"/>
  <c r="N67" s="1"/>
  <c r="L30" i="16" s="1"/>
  <c r="M15" i="3"/>
  <c r="M14" i="10" s="1"/>
  <c r="M52" s="1"/>
  <c r="K15" i="16" s="1"/>
  <c r="J15" i="3"/>
  <c r="J14" i="10"/>
  <c r="J67" s="1"/>
  <c r="I15" i="3"/>
  <c r="I14" i="10" s="1"/>
  <c r="I52" s="1"/>
  <c r="H15" i="3"/>
  <c r="H14" i="10" s="1"/>
  <c r="H52" s="1"/>
  <c r="D15" i="3"/>
  <c r="D14" i="10" s="1"/>
  <c r="D52" s="1"/>
  <c r="B15" i="16" s="1"/>
  <c r="C15" i="3"/>
  <c r="C14" i="10" s="1"/>
  <c r="C67"/>
  <c r="A30" i="16" s="1"/>
  <c r="R14" i="3"/>
  <c r="R13" i="10" s="1"/>
  <c r="P14" i="3"/>
  <c r="O14"/>
  <c r="O13" i="10" s="1"/>
  <c r="N14" i="3"/>
  <c r="N13" i="10"/>
  <c r="N51" s="1"/>
  <c r="M14" i="3"/>
  <c r="M13" i="10" s="1"/>
  <c r="J14" i="3"/>
  <c r="J13" i="10"/>
  <c r="J51" s="1"/>
  <c r="I14" i="3"/>
  <c r="I13" i="10" s="1"/>
  <c r="H14" i="3"/>
  <c r="D14"/>
  <c r="D13" i="10"/>
  <c r="D66" s="1"/>
  <c r="B29" i="16" s="1"/>
  <c r="C14" i="3"/>
  <c r="R13"/>
  <c r="R12" i="10" s="1"/>
  <c r="P13" i="3"/>
  <c r="P12" i="10" s="1"/>
  <c r="P50" s="1"/>
  <c r="O13" i="3"/>
  <c r="O12" i="10" s="1"/>
  <c r="N13" i="3"/>
  <c r="N12" i="10" s="1"/>
  <c r="N65" s="1"/>
  <c r="M13" i="3"/>
  <c r="M12" i="10"/>
  <c r="M65" s="1"/>
  <c r="J13" i="3"/>
  <c r="J12" i="10" s="1"/>
  <c r="I13" i="3"/>
  <c r="I12" i="10" s="1"/>
  <c r="I65" s="1"/>
  <c r="H13" i="3"/>
  <c r="H12" i="10" s="1"/>
  <c r="H50" s="1"/>
  <c r="F13" i="16" s="1"/>
  <c r="D13" i="3"/>
  <c r="B13" s="1"/>
  <c r="C13"/>
  <c r="C12" i="10"/>
  <c r="C65" s="1"/>
  <c r="A28" i="16" s="1"/>
  <c r="R12" i="3"/>
  <c r="R11" i="10"/>
  <c r="R64" s="1"/>
  <c r="P12" i="3"/>
  <c r="P11" i="10" s="1"/>
  <c r="P64" s="1"/>
  <c r="N27" i="16" s="1"/>
  <c r="O12" i="3"/>
  <c r="O11" i="10" s="1"/>
  <c r="O64" s="1"/>
  <c r="M27" i="16" s="1"/>
  <c r="N12" i="3"/>
  <c r="N11" i="10"/>
  <c r="N64" s="1"/>
  <c r="M12" i="3"/>
  <c r="M11" i="10"/>
  <c r="M64" s="1"/>
  <c r="K27" i="16" s="1"/>
  <c r="J12" i="3"/>
  <c r="J11" i="10"/>
  <c r="J49" s="1"/>
  <c r="I12" i="3"/>
  <c r="I11" i="10" s="1"/>
  <c r="I49" s="1"/>
  <c r="H12" i="3"/>
  <c r="H11" i="10" s="1"/>
  <c r="H64" s="1"/>
  <c r="F27" i="16" s="1"/>
  <c r="D12" i="3"/>
  <c r="D11" i="10" s="1"/>
  <c r="D49" s="1"/>
  <c r="B12" i="16" s="1"/>
  <c r="C12" i="3"/>
  <c r="C11" i="10" s="1"/>
  <c r="C64"/>
  <c r="A27" i="16" s="1"/>
  <c r="R11" i="3"/>
  <c r="R10" i="10" s="1"/>
  <c r="R48" s="1"/>
  <c r="P11" i="3"/>
  <c r="P10" i="10"/>
  <c r="P63" s="1"/>
  <c r="O11" i="3"/>
  <c r="O10" i="10" s="1"/>
  <c r="O63" s="1"/>
  <c r="N11" i="3"/>
  <c r="N10" i="10" s="1"/>
  <c r="N48" s="1"/>
  <c r="M11" i="3"/>
  <c r="M10" i="10" s="1"/>
  <c r="J11" i="3"/>
  <c r="J10" i="10" s="1"/>
  <c r="I11" i="3"/>
  <c r="I10" i="10" s="1"/>
  <c r="H11" i="3"/>
  <c r="H10" i="10" s="1"/>
  <c r="D11" i="3"/>
  <c r="D10" i="10" s="1"/>
  <c r="C11" i="3"/>
  <c r="C10" i="10" s="1"/>
  <c r="C48" s="1"/>
  <c r="A11" i="16" s="1"/>
  <c r="R10" i="3"/>
  <c r="P10"/>
  <c r="P9" i="10"/>
  <c r="P47" s="1"/>
  <c r="N10" i="16" s="1"/>
  <c r="O10" i="3"/>
  <c r="O9" i="10"/>
  <c r="O47" s="1"/>
  <c r="N10" i="3"/>
  <c r="N9" i="10"/>
  <c r="N62" s="1"/>
  <c r="L25" i="16" s="1"/>
  <c r="M10" i="3"/>
  <c r="M9" i="10" s="1"/>
  <c r="M62" s="1"/>
  <c r="J10" i="3"/>
  <c r="J9" i="10" s="1"/>
  <c r="J62" s="1"/>
  <c r="H25" i="16" s="1"/>
  <c r="I10" i="3"/>
  <c r="I9" i="10" s="1"/>
  <c r="H10" i="3"/>
  <c r="H9" i="10" s="1"/>
  <c r="H62" s="1"/>
  <c r="D10" i="3"/>
  <c r="D9" i="10"/>
  <c r="D62" s="1"/>
  <c r="B25" i="16" s="1"/>
  <c r="C10" i="3"/>
  <c r="C9" i="10"/>
  <c r="C47" s="1"/>
  <c r="C62"/>
  <c r="A25" i="16" s="1"/>
  <c r="R9" i="3"/>
  <c r="R8" i="10" s="1"/>
  <c r="R61" s="1"/>
  <c r="P9" i="3"/>
  <c r="P8" i="10" s="1"/>
  <c r="P46" s="1"/>
  <c r="O9" i="3"/>
  <c r="O8" i="10"/>
  <c r="N9" i="3"/>
  <c r="N8" i="10" s="1"/>
  <c r="N46" s="1"/>
  <c r="M9" i="3"/>
  <c r="M8" i="10" s="1"/>
  <c r="J9" i="3"/>
  <c r="J8" i="10" s="1"/>
  <c r="I9" i="3"/>
  <c r="I8" i="10"/>
  <c r="I61" s="1"/>
  <c r="H9" i="3"/>
  <c r="H8" i="10" s="1"/>
  <c r="D9" i="3"/>
  <c r="D8" i="10" s="1"/>
  <c r="D46" s="1"/>
  <c r="B9" i="16" s="1"/>
  <c r="C9" i="3"/>
  <c r="C8" i="10" s="1"/>
  <c r="R8" i="3"/>
  <c r="R7" i="10" s="1"/>
  <c r="P8" i="3"/>
  <c r="P7" i="10" s="1"/>
  <c r="P45" s="1"/>
  <c r="O8" i="3"/>
  <c r="O7" i="10" s="1"/>
  <c r="O60" s="1"/>
  <c r="N8" i="3"/>
  <c r="N7" i="10" s="1"/>
  <c r="M8" i="3"/>
  <c r="M7" i="10"/>
  <c r="M60" s="1"/>
  <c r="J8" i="3"/>
  <c r="J7" i="10" s="1"/>
  <c r="I8" i="3"/>
  <c r="I7" i="10"/>
  <c r="H8" i="3"/>
  <c r="H7" i="10" s="1"/>
  <c r="D8" i="3"/>
  <c r="D7" i="10"/>
  <c r="D60"/>
  <c r="B23" i="16" s="1"/>
  <c r="C8" i="3"/>
  <c r="C7" i="10"/>
  <c r="C45" s="1"/>
  <c r="C60"/>
  <c r="A23" i="16" s="1"/>
  <c r="V11" i="2"/>
  <c r="V12"/>
  <c r="V16"/>
  <c r="V17"/>
  <c r="V18"/>
  <c r="V19"/>
  <c r="V20"/>
  <c r="V21"/>
  <c r="V22"/>
  <c r="V23"/>
  <c r="V10"/>
  <c r="U11"/>
  <c r="U12"/>
  <c r="U13"/>
  <c r="U14"/>
  <c r="U15"/>
  <c r="U16"/>
  <c r="U17"/>
  <c r="U18"/>
  <c r="U19"/>
  <c r="U20"/>
  <c r="U21"/>
  <c r="U22"/>
  <c r="U23"/>
  <c r="U24"/>
  <c r="U10"/>
  <c r="P60" i="10"/>
  <c r="N23" i="16" s="1"/>
  <c r="N8"/>
  <c r="N61" i="10"/>
  <c r="L24" i="16" s="1"/>
  <c r="L9"/>
  <c r="J47" i="10"/>
  <c r="H10" i="16"/>
  <c r="P62" i="10"/>
  <c r="N25" i="16" s="1"/>
  <c r="J64" i="10"/>
  <c r="H27" i="16" s="1"/>
  <c r="H12"/>
  <c r="P49" i="10"/>
  <c r="N12" i="16" s="1"/>
  <c r="N50" i="10"/>
  <c r="L13" i="16" s="1"/>
  <c r="L28"/>
  <c r="J66" i="10"/>
  <c r="H29" i="16"/>
  <c r="H14"/>
  <c r="N52" i="10"/>
  <c r="L15" i="16" s="1"/>
  <c r="H69" i="10"/>
  <c r="F32" i="16" s="1"/>
  <c r="F17"/>
  <c r="I45" i="10"/>
  <c r="I60"/>
  <c r="O62"/>
  <c r="M25" i="16" s="1"/>
  <c r="M10"/>
  <c r="K28"/>
  <c r="M50" i="10"/>
  <c r="K13" i="16" s="1"/>
  <c r="M67" i="10"/>
  <c r="K30" i="16" s="1"/>
  <c r="R67" i="10"/>
  <c r="I53"/>
  <c r="I68"/>
  <c r="O68"/>
  <c r="M31" i="16" s="1"/>
  <c r="M33"/>
  <c r="K19"/>
  <c r="M71" i="10"/>
  <c r="K34" i="16"/>
  <c r="I72" i="10"/>
  <c r="I59"/>
  <c r="O59"/>
  <c r="M22" i="16" s="1"/>
  <c r="N9"/>
  <c r="H47" i="10"/>
  <c r="F10" i="16" s="1"/>
  <c r="F25"/>
  <c r="N47" i="10"/>
  <c r="L10" i="16" s="1"/>
  <c r="P48" i="10"/>
  <c r="N11" i="16" s="1"/>
  <c r="N26"/>
  <c r="N49" i="10"/>
  <c r="L12" i="16" s="1"/>
  <c r="L27"/>
  <c r="P65" i="10"/>
  <c r="N28" i="16" s="1"/>
  <c r="N13"/>
  <c r="N66" i="10"/>
  <c r="L29" i="16" s="1"/>
  <c r="L14"/>
  <c r="J52" i="10"/>
  <c r="H15" i="16"/>
  <c r="H30"/>
  <c r="J54" i="10"/>
  <c r="H17" i="16" s="1"/>
  <c r="H32"/>
  <c r="H70" i="10"/>
  <c r="F33" i="16" s="1"/>
  <c r="F18"/>
  <c r="P71" i="10"/>
  <c r="N34" i="16" s="1"/>
  <c r="N72" i="10"/>
  <c r="L35" i="16" s="1"/>
  <c r="L20"/>
  <c r="J73" i="10"/>
  <c r="H36" i="16" s="1"/>
  <c r="N36"/>
  <c r="N74" i="10"/>
  <c r="L37" i="16" s="1"/>
  <c r="L22"/>
  <c r="M45" i="10"/>
  <c r="K8" i="16" s="1"/>
  <c r="K23"/>
  <c r="I46" i="10"/>
  <c r="I63"/>
  <c r="I48"/>
  <c r="M26" i="16"/>
  <c r="O48" i="10"/>
  <c r="M11" i="16" s="1"/>
  <c r="R49" i="10"/>
  <c r="I50"/>
  <c r="I67"/>
  <c r="M30" i="16"/>
  <c r="O52" i="10"/>
  <c r="M15" i="16"/>
  <c r="O69" i="10"/>
  <c r="M32" i="16" s="1"/>
  <c r="M17"/>
  <c r="M70" i="10"/>
  <c r="K33" i="16"/>
  <c r="I56" i="10"/>
  <c r="I71"/>
  <c r="O73"/>
  <c r="M36" i="16" s="1"/>
  <c r="L11"/>
  <c r="F15"/>
  <c r="N54" i="10"/>
  <c r="L17" i="16" s="1"/>
  <c r="P70" i="10"/>
  <c r="N33" i="16" s="1"/>
  <c r="N56" i="10"/>
  <c r="L19" i="16" s="1"/>
  <c r="P57" i="10"/>
  <c r="N20" i="16" s="1"/>
  <c r="H58" i="10"/>
  <c r="F21" i="16"/>
  <c r="F36"/>
  <c r="L36"/>
  <c r="R46" i="10"/>
  <c r="M23" i="16"/>
  <c r="O45" i="10"/>
  <c r="M8" i="16" s="1"/>
  <c r="R55" i="10"/>
  <c r="P66"/>
  <c r="N29" i="16" s="1"/>
  <c r="N14"/>
  <c r="O49" i="10"/>
  <c r="M12" i="16" s="1"/>
  <c r="I64" i="10"/>
  <c r="M73"/>
  <c r="K36" i="16" s="1"/>
  <c r="K21"/>
  <c r="R68" i="10"/>
  <c r="R62"/>
  <c r="M47"/>
  <c r="K10" i="16"/>
  <c r="K25"/>
  <c r="D45" i="10"/>
  <c r="B8" i="16" s="1"/>
  <c r="A8"/>
  <c r="B19"/>
  <c r="C49" i="10"/>
  <c r="A12" i="16"/>
  <c r="A10"/>
  <c r="O71" i="10"/>
  <c r="M34" i="16" s="1"/>
  <c r="M19"/>
  <c r="B20"/>
  <c r="I4" i="26"/>
  <c r="I5"/>
  <c r="I8"/>
  <c r="I7"/>
  <c r="I9"/>
  <c r="B23"/>
  <c r="B20"/>
  <c r="B21"/>
  <c r="B19"/>
  <c r="D7"/>
  <c r="AE39" i="2"/>
  <c r="AD39"/>
  <c r="AA39"/>
  <c r="AE38"/>
  <c r="AD38"/>
  <c r="AA38"/>
  <c r="AE37"/>
  <c r="AD37"/>
  <c r="AA37"/>
  <c r="AE36"/>
  <c r="AD36"/>
  <c r="AA36"/>
  <c r="AE35"/>
  <c r="AD35"/>
  <c r="AA35"/>
  <c r="AE34"/>
  <c r="AD34"/>
  <c r="AA34"/>
  <c r="AE33"/>
  <c r="AD33"/>
  <c r="AA33"/>
  <c r="AE32"/>
  <c r="AD32"/>
  <c r="AA32"/>
  <c r="AE31"/>
  <c r="AD31"/>
  <c r="AA31"/>
  <c r="AE30"/>
  <c r="AD30"/>
  <c r="AA30"/>
  <c r="AE29"/>
  <c r="AD29"/>
  <c r="AA29"/>
  <c r="AE28"/>
  <c r="AD28"/>
  <c r="AA28"/>
  <c r="AE27"/>
  <c r="AD27"/>
  <c r="AA27"/>
  <c r="AE26"/>
  <c r="AD26"/>
  <c r="AA26"/>
  <c r="AE25"/>
  <c r="AD25"/>
  <c r="AA25"/>
  <c r="AE24"/>
  <c r="AD24"/>
  <c r="AA24"/>
  <c r="AE23"/>
  <c r="AD23"/>
  <c r="AA23"/>
  <c r="AE22"/>
  <c r="AD22"/>
  <c r="AA22"/>
  <c r="AE20"/>
  <c r="AE16"/>
  <c r="AE12"/>
  <c r="AD21"/>
  <c r="AD20"/>
  <c r="AD19"/>
  <c r="AD18"/>
  <c r="AD17"/>
  <c r="AD16"/>
  <c r="AD15"/>
  <c r="AD14"/>
  <c r="AD13"/>
  <c r="AD12"/>
  <c r="AD11"/>
  <c r="F67" i="27"/>
  <c r="E67"/>
  <c r="D67"/>
  <c r="G67"/>
  <c r="C67"/>
  <c r="A67"/>
  <c r="F66"/>
  <c r="E66"/>
  <c r="D66"/>
  <c r="G66"/>
  <c r="C66"/>
  <c r="A66"/>
  <c r="G65"/>
  <c r="F65"/>
  <c r="E65"/>
  <c r="D65"/>
  <c r="C65"/>
  <c r="A65"/>
  <c r="E64"/>
  <c r="D64"/>
  <c r="G64"/>
  <c r="C64"/>
  <c r="A64"/>
  <c r="F63"/>
  <c r="E63"/>
  <c r="D63"/>
  <c r="G63"/>
  <c r="C63"/>
  <c r="A63"/>
  <c r="G62"/>
  <c r="F62"/>
  <c r="AE21" i="2"/>
  <c r="E62" i="27"/>
  <c r="D62"/>
  <c r="C62"/>
  <c r="A62"/>
  <c r="F61"/>
  <c r="E61"/>
  <c r="D61"/>
  <c r="G61"/>
  <c r="C61"/>
  <c r="F60"/>
  <c r="E60"/>
  <c r="D60"/>
  <c r="G60"/>
  <c r="C60"/>
  <c r="F59"/>
  <c r="E59"/>
  <c r="D59"/>
  <c r="G59"/>
  <c r="C59"/>
  <c r="F58"/>
  <c r="E58"/>
  <c r="D58"/>
  <c r="G58"/>
  <c r="C58"/>
  <c r="F57"/>
  <c r="E57"/>
  <c r="D57"/>
  <c r="G57"/>
  <c r="C57"/>
  <c r="F56"/>
  <c r="E56"/>
  <c r="D56"/>
  <c r="G56"/>
  <c r="C56"/>
  <c r="C73" i="25"/>
  <c r="F68"/>
  <c r="E68"/>
  <c r="D68"/>
  <c r="C68"/>
  <c r="E55"/>
  <c r="A54"/>
  <c r="A55"/>
  <c r="A56"/>
  <c r="A57"/>
  <c r="A58"/>
  <c r="A59"/>
  <c r="A60"/>
  <c r="A61"/>
  <c r="A62"/>
  <c r="A63"/>
  <c r="A64"/>
  <c r="A65"/>
  <c r="A66"/>
  <c r="G53"/>
  <c r="C53"/>
  <c r="F56"/>
  <c r="D29"/>
  <c r="D28"/>
  <c r="D21"/>
  <c r="D20"/>
  <c r="D19"/>
  <c r="AA20" i="2"/>
  <c r="B5" i="25"/>
  <c r="D102" i="24"/>
  <c r="D101"/>
  <c r="D100"/>
  <c r="D99"/>
  <c r="D98"/>
  <c r="D97"/>
  <c r="D96"/>
  <c r="D95"/>
  <c r="D94"/>
  <c r="D93"/>
  <c r="D92"/>
  <c r="D91"/>
  <c r="D90"/>
  <c r="D89"/>
  <c r="D88"/>
  <c r="D87"/>
  <c r="D86"/>
  <c r="D85"/>
  <c r="D84"/>
  <c r="D83"/>
  <c r="D82"/>
  <c r="D81"/>
  <c r="D80"/>
  <c r="D79"/>
  <c r="D78"/>
  <c r="Z37" i="2" s="1"/>
  <c r="D77" i="24"/>
  <c r="Z19" i="2" s="1"/>
  <c r="D76" i="24"/>
  <c r="D75"/>
  <c r="D74"/>
  <c r="D73"/>
  <c r="K58"/>
  <c r="K60"/>
  <c r="A65"/>
  <c r="I58"/>
  <c r="A64"/>
  <c r="F39"/>
  <c r="E96"/>
  <c r="F96"/>
  <c r="G96" s="1"/>
  <c r="H96" s="1"/>
  <c r="F38"/>
  <c r="E90"/>
  <c r="F90"/>
  <c r="K90" s="1"/>
  <c r="E27"/>
  <c r="E41"/>
  <c r="E101"/>
  <c r="F26"/>
  <c r="F27"/>
  <c r="F41"/>
  <c r="E102"/>
  <c r="E40"/>
  <c r="E98"/>
  <c r="D40"/>
  <c r="E97"/>
  <c r="F97"/>
  <c r="K97" s="1"/>
  <c r="D39"/>
  <c r="E94"/>
  <c r="D24"/>
  <c r="D23"/>
  <c r="D37"/>
  <c r="E91"/>
  <c r="F91"/>
  <c r="F23"/>
  <c r="F37"/>
  <c r="E93"/>
  <c r="F93"/>
  <c r="F36"/>
  <c r="E87"/>
  <c r="D22"/>
  <c r="D36"/>
  <c r="E85"/>
  <c r="F35"/>
  <c r="E84"/>
  <c r="E35"/>
  <c r="E83"/>
  <c r="D35"/>
  <c r="E82"/>
  <c r="E34"/>
  <c r="E80"/>
  <c r="F33"/>
  <c r="E33"/>
  <c r="E74"/>
  <c r="D33"/>
  <c r="E73"/>
  <c r="F18"/>
  <c r="F32"/>
  <c r="E78"/>
  <c r="E32"/>
  <c r="E77"/>
  <c r="D32"/>
  <c r="E76"/>
  <c r="E24"/>
  <c r="E86" i="23"/>
  <c r="D86"/>
  <c r="D85"/>
  <c r="E84"/>
  <c r="D84"/>
  <c r="E83"/>
  <c r="D83"/>
  <c r="E82"/>
  <c r="D82"/>
  <c r="D81"/>
  <c r="D80"/>
  <c r="E79"/>
  <c r="D79"/>
  <c r="D78"/>
  <c r="E77"/>
  <c r="D77"/>
  <c r="E76"/>
  <c r="D76"/>
  <c r="D75"/>
  <c r="D74"/>
  <c r="D73"/>
  <c r="E72"/>
  <c r="D72"/>
  <c r="D71"/>
  <c r="D70"/>
  <c r="D69"/>
  <c r="D68"/>
  <c r="D67"/>
  <c r="E66"/>
  <c r="D66"/>
  <c r="D65"/>
  <c r="D64"/>
  <c r="D63"/>
  <c r="D62"/>
  <c r="E61"/>
  <c r="D61"/>
  <c r="D60"/>
  <c r="D59"/>
  <c r="D58"/>
  <c r="K57"/>
  <c r="D57"/>
  <c r="K55"/>
  <c r="K58"/>
  <c r="F52"/>
  <c r="E85" s="1"/>
  <c r="X21" i="2" s="1"/>
  <c r="E52" i="23"/>
  <c r="E75"/>
  <c r="X20" i="2" s="1"/>
  <c r="E51" i="23"/>
  <c r="E74" s="1"/>
  <c r="X17" i="2" s="1"/>
  <c r="E50" i="23"/>
  <c r="E73"/>
  <c r="B47"/>
  <c r="K43"/>
  <c r="K41"/>
  <c r="B39"/>
  <c r="B53"/>
  <c r="K38"/>
  <c r="K37"/>
  <c r="B37"/>
  <c r="B51"/>
  <c r="K36"/>
  <c r="C36"/>
  <c r="C50"/>
  <c r="B34"/>
  <c r="B48"/>
  <c r="C33"/>
  <c r="C47"/>
  <c r="B33"/>
  <c r="C32"/>
  <c r="C46"/>
  <c r="B30"/>
  <c r="B44"/>
  <c r="C27"/>
  <c r="C39"/>
  <c r="C53"/>
  <c r="B27"/>
  <c r="C26"/>
  <c r="C38"/>
  <c r="C52"/>
  <c r="B26"/>
  <c r="C25"/>
  <c r="B25"/>
  <c r="C24"/>
  <c r="B24"/>
  <c r="C23"/>
  <c r="C35"/>
  <c r="C49"/>
  <c r="B23"/>
  <c r="C22"/>
  <c r="C34"/>
  <c r="C48"/>
  <c r="B22"/>
  <c r="C21"/>
  <c r="B21"/>
  <c r="C20"/>
  <c r="B20"/>
  <c r="C19"/>
  <c r="C31"/>
  <c r="C45"/>
  <c r="B19"/>
  <c r="C18"/>
  <c r="C30"/>
  <c r="C44"/>
  <c r="B18"/>
  <c r="F17"/>
  <c r="E17"/>
  <c r="D17"/>
  <c r="C17"/>
  <c r="B17"/>
  <c r="E38"/>
  <c r="F80" i="24"/>
  <c r="F85"/>
  <c r="I85" s="1"/>
  <c r="J85" s="1"/>
  <c r="F101"/>
  <c r="F102"/>
  <c r="K102" s="1"/>
  <c r="F73"/>
  <c r="K73"/>
  <c r="F94"/>
  <c r="I94" s="1"/>
  <c r="J94" s="1"/>
  <c r="F98"/>
  <c r="K98" s="1"/>
  <c r="AA14" i="2"/>
  <c r="AA18"/>
  <c r="AE11"/>
  <c r="AE15"/>
  <c r="AE19"/>
  <c r="AA13"/>
  <c r="AA17"/>
  <c r="AB17" s="1"/>
  <c r="AA21"/>
  <c r="AE13"/>
  <c r="AE18"/>
  <c r="AA11"/>
  <c r="AA15"/>
  <c r="AA19"/>
  <c r="E37" i="23"/>
  <c r="F20" i="24"/>
  <c r="F34"/>
  <c r="E81"/>
  <c r="D30" i="23"/>
  <c r="D44"/>
  <c r="E57"/>
  <c r="D34"/>
  <c r="F40" i="24"/>
  <c r="E99"/>
  <c r="F33" i="23"/>
  <c r="F47"/>
  <c r="E80"/>
  <c r="E36"/>
  <c r="F37"/>
  <c r="D38"/>
  <c r="D52"/>
  <c r="E65"/>
  <c r="AA12" i="2"/>
  <c r="AA16"/>
  <c r="AE14"/>
  <c r="AE17"/>
  <c r="D54" i="25"/>
  <c r="C54"/>
  <c r="G73" i="24"/>
  <c r="H73" s="1"/>
  <c r="K91"/>
  <c r="I91"/>
  <c r="J91" s="1"/>
  <c r="G91"/>
  <c r="H91" s="1"/>
  <c r="E38"/>
  <c r="E89"/>
  <c r="E23"/>
  <c r="E37"/>
  <c r="E92"/>
  <c r="E25"/>
  <c r="E39"/>
  <c r="E95"/>
  <c r="I93"/>
  <c r="J93" s="1"/>
  <c r="K93"/>
  <c r="G93"/>
  <c r="H93" s="1"/>
  <c r="I90"/>
  <c r="J90" s="1"/>
  <c r="G90"/>
  <c r="H90" s="1"/>
  <c r="G97"/>
  <c r="H97" s="1"/>
  <c r="F78"/>
  <c r="F81"/>
  <c r="F84"/>
  <c r="I84" s="1"/>
  <c r="J84" s="1"/>
  <c r="F77"/>
  <c r="G77" s="1"/>
  <c r="H77" s="1"/>
  <c r="F75"/>
  <c r="G75" s="1"/>
  <c r="H75" s="1"/>
  <c r="F83"/>
  <c r="F76"/>
  <c r="F74"/>
  <c r="F82"/>
  <c r="I82" s="1"/>
  <c r="J82" s="1"/>
  <c r="F87"/>
  <c r="D34"/>
  <c r="E79"/>
  <c r="D38"/>
  <c r="E88"/>
  <c r="D27"/>
  <c r="D41"/>
  <c r="E100"/>
  <c r="E36"/>
  <c r="E86"/>
  <c r="E30" i="23"/>
  <c r="E44"/>
  <c r="E67"/>
  <c r="F31"/>
  <c r="F45"/>
  <c r="E78"/>
  <c r="D33"/>
  <c r="D47"/>
  <c r="E60"/>
  <c r="E34"/>
  <c r="E48"/>
  <c r="E71"/>
  <c r="F35"/>
  <c r="D37"/>
  <c r="D51"/>
  <c r="E64"/>
  <c r="F39"/>
  <c r="E32"/>
  <c r="E46"/>
  <c r="E69"/>
  <c r="F32"/>
  <c r="E33"/>
  <c r="E47"/>
  <c r="E70"/>
  <c r="F36"/>
  <c r="F30"/>
  <c r="E31"/>
  <c r="E45"/>
  <c r="E68"/>
  <c r="D32"/>
  <c r="D46"/>
  <c r="E59"/>
  <c r="F34"/>
  <c r="F48"/>
  <c r="E81"/>
  <c r="E35"/>
  <c r="D36"/>
  <c r="D50"/>
  <c r="E63"/>
  <c r="F38"/>
  <c r="E39"/>
  <c r="B32"/>
  <c r="B46"/>
  <c r="B36"/>
  <c r="B50"/>
  <c r="B38"/>
  <c r="B52"/>
  <c r="D31"/>
  <c r="D45"/>
  <c r="E58"/>
  <c r="D35"/>
  <c r="D49"/>
  <c r="E62"/>
  <c r="D39"/>
  <c r="B31"/>
  <c r="B45"/>
  <c r="B35"/>
  <c r="B49"/>
  <c r="C37"/>
  <c r="C51"/>
  <c r="I73" i="24"/>
  <c r="J73" s="1"/>
  <c r="F100"/>
  <c r="K100" s="1"/>
  <c r="F86"/>
  <c r="I86" s="1"/>
  <c r="J86" s="1"/>
  <c r="F79"/>
  <c r="K79" s="1"/>
  <c r="F89"/>
  <c r="K89" s="1"/>
  <c r="F88"/>
  <c r="F92"/>
  <c r="K92" s="1"/>
  <c r="F99"/>
  <c r="G99" s="1"/>
  <c r="H99" s="1"/>
  <c r="F95"/>
  <c r="I95" s="1"/>
  <c r="J95" s="1"/>
  <c r="E56" i="25"/>
  <c r="F57"/>
  <c r="G54"/>
  <c r="C55"/>
  <c r="D55"/>
  <c r="G88" i="24"/>
  <c r="H88" s="1"/>
  <c r="I75"/>
  <c r="J75" s="1"/>
  <c r="K84"/>
  <c r="G82"/>
  <c r="H82" s="1"/>
  <c r="G86"/>
  <c r="H86" s="1"/>
  <c r="K87"/>
  <c r="I87"/>
  <c r="J87" s="1"/>
  <c r="G87"/>
  <c r="H87" s="1"/>
  <c r="G83"/>
  <c r="H83" s="1"/>
  <c r="I83"/>
  <c r="J83" s="1"/>
  <c r="K83"/>
  <c r="G81"/>
  <c r="H81" s="1"/>
  <c r="I81"/>
  <c r="J81" s="1"/>
  <c r="K81"/>
  <c r="K86"/>
  <c r="G89"/>
  <c r="H89" s="1"/>
  <c r="G55" i="25"/>
  <c r="D56"/>
  <c r="F58"/>
  <c r="E57"/>
  <c r="C56"/>
  <c r="E58"/>
  <c r="C57"/>
  <c r="F59"/>
  <c r="D57"/>
  <c r="G56"/>
  <c r="G57"/>
  <c r="D58"/>
  <c r="F60"/>
  <c r="E59"/>
  <c r="C58"/>
  <c r="C248" i="22"/>
  <c r="B248"/>
  <c r="C247"/>
  <c r="B247"/>
  <c r="C246"/>
  <c r="B246"/>
  <c r="C245"/>
  <c r="B245"/>
  <c r="C244"/>
  <c r="B244"/>
  <c r="C243"/>
  <c r="B243"/>
  <c r="C242"/>
  <c r="B242"/>
  <c r="C241"/>
  <c r="B241"/>
  <c r="C240"/>
  <c r="B240"/>
  <c r="C239"/>
  <c r="B239"/>
  <c r="F235"/>
  <c r="E235"/>
  <c r="D235"/>
  <c r="F234"/>
  <c r="E234"/>
  <c r="D234"/>
  <c r="F233"/>
  <c r="E233"/>
  <c r="D233"/>
  <c r="F232"/>
  <c r="E232"/>
  <c r="D232"/>
  <c r="F231"/>
  <c r="E231"/>
  <c r="D231"/>
  <c r="F230"/>
  <c r="E230"/>
  <c r="D230"/>
  <c r="F229"/>
  <c r="E229"/>
  <c r="D229"/>
  <c r="F228"/>
  <c r="E228"/>
  <c r="D228"/>
  <c r="F227"/>
  <c r="E227"/>
  <c r="D227"/>
  <c r="F226"/>
  <c r="E226"/>
  <c r="D226"/>
  <c r="B221"/>
  <c r="A221"/>
  <c r="A217"/>
  <c r="B213"/>
  <c r="A213"/>
  <c r="A212"/>
  <c r="A209"/>
  <c r="B206"/>
  <c r="A205"/>
  <c r="A204"/>
  <c r="B202"/>
  <c r="A201"/>
  <c r="B198"/>
  <c r="B197"/>
  <c r="A197"/>
  <c r="A196"/>
  <c r="C194"/>
  <c r="B194"/>
  <c r="A193"/>
  <c r="B178"/>
  <c r="A178"/>
  <c r="A177"/>
  <c r="B176"/>
  <c r="B219"/>
  <c r="A176"/>
  <c r="A219"/>
  <c r="A175"/>
  <c r="B174"/>
  <c r="B217"/>
  <c r="A174"/>
  <c r="A173"/>
  <c r="A216"/>
  <c r="B172"/>
  <c r="B215"/>
  <c r="A172"/>
  <c r="A215"/>
  <c r="A171"/>
  <c r="A214"/>
  <c r="B170"/>
  <c r="A170"/>
  <c r="A169"/>
  <c r="B168"/>
  <c r="B211"/>
  <c r="A168"/>
  <c r="A211"/>
  <c r="E211"/>
  <c r="A167"/>
  <c r="B166"/>
  <c r="B209"/>
  <c r="A166"/>
  <c r="A165"/>
  <c r="A208"/>
  <c r="B164"/>
  <c r="B207"/>
  <c r="A164"/>
  <c r="A207"/>
  <c r="B163"/>
  <c r="A163"/>
  <c r="A206"/>
  <c r="B162"/>
  <c r="B205"/>
  <c r="A162"/>
  <c r="B161"/>
  <c r="B204"/>
  <c r="A161"/>
  <c r="B160"/>
  <c r="B203"/>
  <c r="A160"/>
  <c r="A203"/>
  <c r="B159"/>
  <c r="A159"/>
  <c r="A202"/>
  <c r="B158"/>
  <c r="B201"/>
  <c r="A158"/>
  <c r="B157"/>
  <c r="B200"/>
  <c r="A157"/>
  <c r="A200"/>
  <c r="B156"/>
  <c r="B199"/>
  <c r="A156"/>
  <c r="A199" s="1"/>
  <c r="E199" s="1"/>
  <c r="B155"/>
  <c r="A155"/>
  <c r="A198"/>
  <c r="C154"/>
  <c r="C197"/>
  <c r="B154"/>
  <c r="A154"/>
  <c r="B153"/>
  <c r="B196"/>
  <c r="A153"/>
  <c r="C152"/>
  <c r="C195"/>
  <c r="B152"/>
  <c r="B195"/>
  <c r="A152"/>
  <c r="A195"/>
  <c r="E195"/>
  <c r="C151"/>
  <c r="B151"/>
  <c r="A151"/>
  <c r="A194"/>
  <c r="E194"/>
  <c r="C150"/>
  <c r="C193"/>
  <c r="B150"/>
  <c r="B193"/>
  <c r="A150"/>
  <c r="C149"/>
  <c r="C192"/>
  <c r="B149"/>
  <c r="B192"/>
  <c r="A149"/>
  <c r="B146"/>
  <c r="B145"/>
  <c r="B144"/>
  <c r="B143"/>
  <c r="B142"/>
  <c r="B141"/>
  <c r="B140"/>
  <c r="B139"/>
  <c r="B138"/>
  <c r="B137"/>
  <c r="E136"/>
  <c r="C136"/>
  <c r="C168"/>
  <c r="C211"/>
  <c r="B136"/>
  <c r="B135"/>
  <c r="C134"/>
  <c r="B134"/>
  <c r="C133"/>
  <c r="C165"/>
  <c r="C208"/>
  <c r="B133"/>
  <c r="C132"/>
  <c r="B132"/>
  <c r="E125"/>
  <c r="C125"/>
  <c r="C122"/>
  <c r="C121"/>
  <c r="E121"/>
  <c r="E120"/>
  <c r="F195"/>
  <c r="C120"/>
  <c r="C135"/>
  <c r="C167"/>
  <c r="C210"/>
  <c r="F194"/>
  <c r="E119"/>
  <c r="F193"/>
  <c r="E118"/>
  <c r="F192"/>
  <c r="E117"/>
  <c r="D103"/>
  <c r="D102"/>
  <c r="D101"/>
  <c r="D104"/>
  <c r="E100"/>
  <c r="D100"/>
  <c r="E99"/>
  <c r="E98"/>
  <c r="E97"/>
  <c r="D94"/>
  <c r="E94"/>
  <c r="E91"/>
  <c r="E89"/>
  <c r="E88"/>
  <c r="D88"/>
  <c r="D91"/>
  <c r="D87"/>
  <c r="E86"/>
  <c r="D86"/>
  <c r="D89"/>
  <c r="D92"/>
  <c r="E85"/>
  <c r="D85"/>
  <c r="E84"/>
  <c r="E83"/>
  <c r="E82"/>
  <c r="D78"/>
  <c r="E75"/>
  <c r="D75"/>
  <c r="E72"/>
  <c r="D72"/>
  <c r="D71"/>
  <c r="D70"/>
  <c r="E69"/>
  <c r="E68"/>
  <c r="E67"/>
  <c r="D62"/>
  <c r="E62"/>
  <c r="E59"/>
  <c r="D59"/>
  <c r="E56"/>
  <c r="D55"/>
  <c r="D54"/>
  <c r="D53"/>
  <c r="D56"/>
  <c r="E52"/>
  <c r="D52"/>
  <c r="E51"/>
  <c r="E50"/>
  <c r="E49"/>
  <c r="B45"/>
  <c r="B44"/>
  <c r="B43"/>
  <c r="B42"/>
  <c r="B41"/>
  <c r="AQ28"/>
  <c r="C30"/>
  <c r="C29"/>
  <c r="AQ29"/>
  <c r="C28"/>
  <c r="AQ27"/>
  <c r="AO26"/>
  <c r="C17"/>
  <c r="U14"/>
  <c r="C14"/>
  <c r="B14"/>
  <c r="B13"/>
  <c r="B12"/>
  <c r="R11"/>
  <c r="C11"/>
  <c r="B11"/>
  <c r="S10"/>
  <c r="R10"/>
  <c r="D10"/>
  <c r="B10"/>
  <c r="S9"/>
  <c r="R9"/>
  <c r="D9"/>
  <c r="B9"/>
  <c r="S8"/>
  <c r="R8"/>
  <c r="N8"/>
  <c r="D8"/>
  <c r="C8"/>
  <c r="B8"/>
  <c r="T8"/>
  <c r="U7"/>
  <c r="T7"/>
  <c r="S7"/>
  <c r="R7"/>
  <c r="O7"/>
  <c r="D7"/>
  <c r="U6"/>
  <c r="T6"/>
  <c r="S6"/>
  <c r="R6"/>
  <c r="N6"/>
  <c r="D6"/>
  <c r="U5"/>
  <c r="T5"/>
  <c r="S5"/>
  <c r="R5"/>
  <c r="D5"/>
  <c r="C5"/>
  <c r="G4"/>
  <c r="P13"/>
  <c r="F4"/>
  <c r="O11"/>
  <c r="E4"/>
  <c r="N13"/>
  <c r="C4"/>
  <c r="A11" i="2"/>
  <c r="A12"/>
  <c r="P11" i="22"/>
  <c r="N7"/>
  <c r="P12"/>
  <c r="G24"/>
  <c r="K24"/>
  <c r="O24"/>
  <c r="S24"/>
  <c r="W24"/>
  <c r="AA24"/>
  <c r="AE24"/>
  <c r="AI24"/>
  <c r="N10"/>
  <c r="E24"/>
  <c r="I24"/>
  <c r="M24"/>
  <c r="Q24"/>
  <c r="U24"/>
  <c r="Y24"/>
  <c r="AC24"/>
  <c r="AG24"/>
  <c r="M119"/>
  <c r="N9"/>
  <c r="AP27"/>
  <c r="AQ25"/>
  <c r="AQ26"/>
  <c r="E60" i="25"/>
  <c r="C59"/>
  <c r="F61"/>
  <c r="D59"/>
  <c r="G58"/>
  <c r="C33" i="22"/>
  <c r="AO30"/>
  <c r="AP30"/>
  <c r="D74"/>
  <c r="E71"/>
  <c r="B177"/>
  <c r="B220"/>
  <c r="P10"/>
  <c r="P9"/>
  <c r="P8"/>
  <c r="P6"/>
  <c r="P17"/>
  <c r="P7"/>
  <c r="B15"/>
  <c r="S12"/>
  <c r="D12"/>
  <c r="T12"/>
  <c r="T13"/>
  <c r="B16"/>
  <c r="S13"/>
  <c r="D13"/>
  <c r="S14"/>
  <c r="B17"/>
  <c r="R14"/>
  <c r="N14"/>
  <c r="D14"/>
  <c r="D58"/>
  <c r="E55"/>
  <c r="F211"/>
  <c r="B171"/>
  <c r="T9"/>
  <c r="U9"/>
  <c r="T10"/>
  <c r="U10"/>
  <c r="S11"/>
  <c r="D11"/>
  <c r="T11"/>
  <c r="C31"/>
  <c r="AO28"/>
  <c r="C164"/>
  <c r="C207"/>
  <c r="E132"/>
  <c r="E134"/>
  <c r="C166"/>
  <c r="C209"/>
  <c r="P5"/>
  <c r="T14"/>
  <c r="F24"/>
  <c r="J24"/>
  <c r="N24"/>
  <c r="R24"/>
  <c r="V24"/>
  <c r="Z24"/>
  <c r="AD24"/>
  <c r="AH24"/>
  <c r="AP25"/>
  <c r="AP28"/>
  <c r="E207"/>
  <c r="U11"/>
  <c r="U12"/>
  <c r="U13"/>
  <c r="P14"/>
  <c r="P15"/>
  <c r="P16"/>
  <c r="AP26"/>
  <c r="AQ30"/>
  <c r="C32"/>
  <c r="AO29"/>
  <c r="AP29"/>
  <c r="D81"/>
  <c r="E81"/>
  <c r="E78"/>
  <c r="E87"/>
  <c r="D90"/>
  <c r="D106"/>
  <c r="E103"/>
  <c r="F200"/>
  <c r="A220"/>
  <c r="R12"/>
  <c r="R13"/>
  <c r="O14"/>
  <c r="D57"/>
  <c r="E54"/>
  <c r="D73"/>
  <c r="E70"/>
  <c r="C157"/>
  <c r="C128"/>
  <c r="C140"/>
  <c r="D95"/>
  <c r="E95"/>
  <c r="E92"/>
  <c r="F196"/>
  <c r="A210"/>
  <c r="E167"/>
  <c r="A218"/>
  <c r="O5"/>
  <c r="U8"/>
  <c r="O12"/>
  <c r="O13"/>
  <c r="AO25"/>
  <c r="AO27"/>
  <c r="N5"/>
  <c r="O6"/>
  <c r="O8"/>
  <c r="O9"/>
  <c r="O10"/>
  <c r="N11"/>
  <c r="N12"/>
  <c r="E154"/>
  <c r="D107"/>
  <c r="E104"/>
  <c r="B169"/>
  <c r="B212"/>
  <c r="E212"/>
  <c r="A192"/>
  <c r="E192"/>
  <c r="E149"/>
  <c r="E151"/>
  <c r="E197"/>
  <c r="D105"/>
  <c r="E102"/>
  <c r="C137"/>
  <c r="C169"/>
  <c r="C212"/>
  <c r="E122"/>
  <c r="B173"/>
  <c r="B216"/>
  <c r="Q11" i="2"/>
  <c r="AG11" s="1"/>
  <c r="E53" i="22"/>
  <c r="E150"/>
  <c r="E166"/>
  <c r="C153"/>
  <c r="C124"/>
  <c r="E133"/>
  <c r="B165"/>
  <c r="B208"/>
  <c r="E208"/>
  <c r="E135"/>
  <c r="B167"/>
  <c r="B210"/>
  <c r="B175"/>
  <c r="B218"/>
  <c r="E193"/>
  <c r="E209"/>
  <c r="C123"/>
  <c r="E152"/>
  <c r="E164"/>
  <c r="E168"/>
  <c r="E101"/>
  <c r="A13" i="2"/>
  <c r="D12"/>
  <c r="I12"/>
  <c r="E12"/>
  <c r="J12"/>
  <c r="D11"/>
  <c r="I11"/>
  <c r="M11"/>
  <c r="E11"/>
  <c r="J11"/>
  <c r="E10"/>
  <c r="J10"/>
  <c r="D10"/>
  <c r="I10"/>
  <c r="D8"/>
  <c r="C12"/>
  <c r="H12"/>
  <c r="T11"/>
  <c r="M12"/>
  <c r="R11"/>
  <c r="P11"/>
  <c r="Q10"/>
  <c r="AG10" s="1"/>
  <c r="G59" i="25"/>
  <c r="D60"/>
  <c r="F62"/>
  <c r="E61"/>
  <c r="C60"/>
  <c r="F210" i="22"/>
  <c r="C196"/>
  <c r="E196"/>
  <c r="E153"/>
  <c r="F209"/>
  <c r="C36"/>
  <c r="AO33"/>
  <c r="AP33"/>
  <c r="AQ33"/>
  <c r="F208"/>
  <c r="C200"/>
  <c r="E200"/>
  <c r="E157"/>
  <c r="U17"/>
  <c r="R17"/>
  <c r="T17"/>
  <c r="N17"/>
  <c r="D17"/>
  <c r="O17"/>
  <c r="S17"/>
  <c r="B19"/>
  <c r="S16"/>
  <c r="N16"/>
  <c r="D16"/>
  <c r="R16"/>
  <c r="O16"/>
  <c r="T16"/>
  <c r="U16"/>
  <c r="E165"/>
  <c r="Q13" i="2"/>
  <c r="E210" i="22"/>
  <c r="R12" i="2"/>
  <c r="C143" i="22"/>
  <c r="C131"/>
  <c r="C160"/>
  <c r="E128"/>
  <c r="R13" i="2"/>
  <c r="T13" s="1"/>
  <c r="AO32" i="22"/>
  <c r="C35"/>
  <c r="AP32"/>
  <c r="AQ32"/>
  <c r="F207"/>
  <c r="F197"/>
  <c r="C172"/>
  <c r="E140"/>
  <c r="D93"/>
  <c r="E90"/>
  <c r="C155"/>
  <c r="E123"/>
  <c r="C138"/>
  <c r="C126"/>
  <c r="C139"/>
  <c r="C127"/>
  <c r="C156"/>
  <c r="E124"/>
  <c r="D108"/>
  <c r="E105"/>
  <c r="D110"/>
  <c r="E110"/>
  <c r="E107"/>
  <c r="D76"/>
  <c r="E73"/>
  <c r="D60"/>
  <c r="E57"/>
  <c r="D109"/>
  <c r="E109"/>
  <c r="E106"/>
  <c r="C34"/>
  <c r="AO31"/>
  <c r="AP31"/>
  <c r="AQ31"/>
  <c r="B214"/>
  <c r="D61"/>
  <c r="E61"/>
  <c r="E58"/>
  <c r="B18"/>
  <c r="N15"/>
  <c r="R15"/>
  <c r="S15"/>
  <c r="D15"/>
  <c r="O15"/>
  <c r="T15"/>
  <c r="U15"/>
  <c r="D77"/>
  <c r="E74"/>
  <c r="E137"/>
  <c r="M118"/>
  <c r="P12" i="2"/>
  <c r="E169" i="22"/>
  <c r="M117"/>
  <c r="M136"/>
  <c r="M10" i="2"/>
  <c r="N12"/>
  <c r="A14"/>
  <c r="D13"/>
  <c r="I13"/>
  <c r="M13"/>
  <c r="P13"/>
  <c r="V13" s="1"/>
  <c r="E13"/>
  <c r="J13"/>
  <c r="C13"/>
  <c r="H13"/>
  <c r="C8"/>
  <c r="C10"/>
  <c r="H10"/>
  <c r="C11"/>
  <c r="H11"/>
  <c r="T10"/>
  <c r="AJ10" s="1"/>
  <c r="R10"/>
  <c r="P10"/>
  <c r="AB10" s="1"/>
  <c r="T12"/>
  <c r="Q12"/>
  <c r="AH12" s="1"/>
  <c r="M121" i="22"/>
  <c r="M132"/>
  <c r="E62" i="25"/>
  <c r="C61"/>
  <c r="F63"/>
  <c r="D61"/>
  <c r="G60"/>
  <c r="D80" i="22"/>
  <c r="E80"/>
  <c r="E77"/>
  <c r="U18"/>
  <c r="R18"/>
  <c r="T18"/>
  <c r="N18"/>
  <c r="D18"/>
  <c r="O18"/>
  <c r="S18"/>
  <c r="P18"/>
  <c r="AP34"/>
  <c r="AQ34"/>
  <c r="AO34"/>
  <c r="C37"/>
  <c r="F199"/>
  <c r="C141"/>
  <c r="E126"/>
  <c r="C158"/>
  <c r="C129"/>
  <c r="C175"/>
  <c r="E143"/>
  <c r="G167"/>
  <c r="G210"/>
  <c r="F212"/>
  <c r="E60"/>
  <c r="D63"/>
  <c r="E63"/>
  <c r="D111"/>
  <c r="E111"/>
  <c r="E108"/>
  <c r="C171"/>
  <c r="E139"/>
  <c r="C198"/>
  <c r="E198"/>
  <c r="E155"/>
  <c r="D96"/>
  <c r="E96"/>
  <c r="E93"/>
  <c r="C215"/>
  <c r="E215"/>
  <c r="E172"/>
  <c r="AP35"/>
  <c r="AQ35"/>
  <c r="C38"/>
  <c r="AO35"/>
  <c r="C163"/>
  <c r="E131"/>
  <c r="C146"/>
  <c r="G166"/>
  <c r="G209"/>
  <c r="R19"/>
  <c r="U19"/>
  <c r="T19"/>
  <c r="N19"/>
  <c r="D19"/>
  <c r="O19"/>
  <c r="S19"/>
  <c r="P19"/>
  <c r="G192"/>
  <c r="H192"/>
  <c r="D239"/>
  <c r="G149"/>
  <c r="M122"/>
  <c r="H210"/>
  <c r="G150"/>
  <c r="G193"/>
  <c r="H193"/>
  <c r="E239"/>
  <c r="C159"/>
  <c r="E127"/>
  <c r="C130"/>
  <c r="C142"/>
  <c r="F198"/>
  <c r="AP36"/>
  <c r="AQ36"/>
  <c r="AO36"/>
  <c r="C39"/>
  <c r="M125"/>
  <c r="G207"/>
  <c r="H207"/>
  <c r="G164"/>
  <c r="F215"/>
  <c r="C203"/>
  <c r="E203"/>
  <c r="E160"/>
  <c r="D79"/>
  <c r="E79"/>
  <c r="E76"/>
  <c r="C199"/>
  <c r="C170"/>
  <c r="E138"/>
  <c r="F203"/>
  <c r="G151"/>
  <c r="G194"/>
  <c r="H194"/>
  <c r="F239"/>
  <c r="G195"/>
  <c r="H195"/>
  <c r="D240"/>
  <c r="G152"/>
  <c r="G211"/>
  <c r="H211"/>
  <c r="G168"/>
  <c r="M120"/>
  <c r="M133"/>
  <c r="M134"/>
  <c r="M135"/>
  <c r="G197"/>
  <c r="H197"/>
  <c r="F240"/>
  <c r="G154"/>
  <c r="H209"/>
  <c r="N11" i="2"/>
  <c r="B12"/>
  <c r="G12"/>
  <c r="B11"/>
  <c r="G11"/>
  <c r="B10"/>
  <c r="G10"/>
  <c r="B8"/>
  <c r="N10"/>
  <c r="X10"/>
  <c r="N13"/>
  <c r="A15"/>
  <c r="B14"/>
  <c r="G14"/>
  <c r="D14"/>
  <c r="I14"/>
  <c r="C14"/>
  <c r="H14"/>
  <c r="E14"/>
  <c r="J14"/>
  <c r="B13"/>
  <c r="G13"/>
  <c r="X13"/>
  <c r="X12" s="1"/>
  <c r="AD10"/>
  <c r="AE10"/>
  <c r="G61" i="25"/>
  <c r="D62"/>
  <c r="F64"/>
  <c r="E63"/>
  <c r="C62"/>
  <c r="C145" i="22"/>
  <c r="E130"/>
  <c r="C162"/>
  <c r="C213"/>
  <c r="E213"/>
  <c r="E170"/>
  <c r="M164"/>
  <c r="F202"/>
  <c r="C206"/>
  <c r="E206"/>
  <c r="E163"/>
  <c r="C214"/>
  <c r="E214"/>
  <c r="E171"/>
  <c r="C218"/>
  <c r="E218"/>
  <c r="E175"/>
  <c r="C161"/>
  <c r="E129"/>
  <c r="C144"/>
  <c r="G200"/>
  <c r="H200"/>
  <c r="G157"/>
  <c r="F213"/>
  <c r="G212"/>
  <c r="H212"/>
  <c r="G169"/>
  <c r="F218"/>
  <c r="C173"/>
  <c r="E141"/>
  <c r="G208"/>
  <c r="H208"/>
  <c r="G165"/>
  <c r="E142"/>
  <c r="C174"/>
  <c r="C178"/>
  <c r="E146"/>
  <c r="AP38"/>
  <c r="AQ38"/>
  <c r="AO38"/>
  <c r="F201"/>
  <c r="M128"/>
  <c r="G196"/>
  <c r="H196"/>
  <c r="E240"/>
  <c r="G153"/>
  <c r="F206"/>
  <c r="F214"/>
  <c r="H63"/>
  <c r="AP39"/>
  <c r="AQ39"/>
  <c r="AO39"/>
  <c r="C202"/>
  <c r="E202"/>
  <c r="E159"/>
  <c r="C201"/>
  <c r="E201"/>
  <c r="E158"/>
  <c r="AP37"/>
  <c r="AQ37"/>
  <c r="AO37"/>
  <c r="H72"/>
  <c r="M140"/>
  <c r="M137"/>
  <c r="M124"/>
  <c r="N14" i="2"/>
  <c r="A16"/>
  <c r="B15"/>
  <c r="G15"/>
  <c r="C15"/>
  <c r="H15"/>
  <c r="D15"/>
  <c r="I15"/>
  <c r="M15"/>
  <c r="E15"/>
  <c r="J15"/>
  <c r="O12"/>
  <c r="O14"/>
  <c r="O11"/>
  <c r="O13"/>
  <c r="O10"/>
  <c r="M14"/>
  <c r="R15"/>
  <c r="P15"/>
  <c r="V15" s="1"/>
  <c r="Q15"/>
  <c r="AG15" s="1"/>
  <c r="P14"/>
  <c r="V14" s="1"/>
  <c r="R14"/>
  <c r="T14" s="1"/>
  <c r="Q14"/>
  <c r="H110" i="22"/>
  <c r="H91"/>
  <c r="H74"/>
  <c r="M131"/>
  <c r="H108"/>
  <c r="M143"/>
  <c r="M123"/>
  <c r="M166"/>
  <c r="E64" i="25"/>
  <c r="C63"/>
  <c r="F65"/>
  <c r="D63"/>
  <c r="G62"/>
  <c r="C221" i="22"/>
  <c r="E221"/>
  <c r="E178"/>
  <c r="C217"/>
  <c r="E217"/>
  <c r="E174"/>
  <c r="C216"/>
  <c r="E216"/>
  <c r="E173"/>
  <c r="M157"/>
  <c r="F204"/>
  <c r="F205"/>
  <c r="G155"/>
  <c r="G198"/>
  <c r="H198"/>
  <c r="D241"/>
  <c r="F221"/>
  <c r="F216"/>
  <c r="C176"/>
  <c r="E144"/>
  <c r="C205"/>
  <c r="E205"/>
  <c r="E162"/>
  <c r="H106"/>
  <c r="H52"/>
  <c r="H111"/>
  <c r="H49"/>
  <c r="H77"/>
  <c r="H85"/>
  <c r="H99"/>
  <c r="M151"/>
  <c r="M154"/>
  <c r="M167"/>
  <c r="M149"/>
  <c r="M127"/>
  <c r="H100"/>
  <c r="G203"/>
  <c r="H203"/>
  <c r="G160"/>
  <c r="H76"/>
  <c r="H81"/>
  <c r="H102"/>
  <c r="H67"/>
  <c r="H101"/>
  <c r="H86"/>
  <c r="H97"/>
  <c r="H87"/>
  <c r="H68"/>
  <c r="H103"/>
  <c r="H88"/>
  <c r="H69"/>
  <c r="H83"/>
  <c r="H92"/>
  <c r="H84"/>
  <c r="H71"/>
  <c r="H78"/>
  <c r="H70"/>
  <c r="H98"/>
  <c r="H95"/>
  <c r="H104"/>
  <c r="G199"/>
  <c r="H199"/>
  <c r="G156"/>
  <c r="M153"/>
  <c r="H60"/>
  <c r="H54"/>
  <c r="H56"/>
  <c r="H55"/>
  <c r="H50"/>
  <c r="H53"/>
  <c r="H62"/>
  <c r="H51"/>
  <c r="H109"/>
  <c r="H82"/>
  <c r="H94"/>
  <c r="H73"/>
  <c r="M152"/>
  <c r="H93"/>
  <c r="M168"/>
  <c r="H57"/>
  <c r="M126"/>
  <c r="H105"/>
  <c r="H61"/>
  <c r="H96"/>
  <c r="M150"/>
  <c r="G215"/>
  <c r="H215"/>
  <c r="G172"/>
  <c r="O29"/>
  <c r="F217"/>
  <c r="C204"/>
  <c r="E204"/>
  <c r="E161"/>
  <c r="C177"/>
  <c r="E145"/>
  <c r="H90"/>
  <c r="H89"/>
  <c r="H75"/>
  <c r="H79"/>
  <c r="H107"/>
  <c r="H59"/>
  <c r="H80"/>
  <c r="M138"/>
  <c r="H58"/>
  <c r="AR11" i="2"/>
  <c r="AS11"/>
  <c r="AR10"/>
  <c r="AS10"/>
  <c r="AR14"/>
  <c r="AS14"/>
  <c r="A17"/>
  <c r="B16"/>
  <c r="G16"/>
  <c r="C16"/>
  <c r="H16"/>
  <c r="D16"/>
  <c r="I16"/>
  <c r="M16"/>
  <c r="E16"/>
  <c r="J16"/>
  <c r="O15"/>
  <c r="N15"/>
  <c r="AR13"/>
  <c r="AS13"/>
  <c r="AR12"/>
  <c r="AS12"/>
  <c r="T16"/>
  <c r="P16"/>
  <c r="AB16" s="1"/>
  <c r="R16"/>
  <c r="Y16" s="1"/>
  <c r="Q16"/>
  <c r="AH16" s="1"/>
  <c r="X15"/>
  <c r="AH14"/>
  <c r="AG14"/>
  <c r="AH15"/>
  <c r="M32" i="22"/>
  <c r="M142"/>
  <c r="O38"/>
  <c r="M169"/>
  <c r="M165"/>
  <c r="M34"/>
  <c r="G63" i="25"/>
  <c r="D64"/>
  <c r="F66"/>
  <c r="E65"/>
  <c r="C64"/>
  <c r="N29" i="22"/>
  <c r="M139"/>
  <c r="O27"/>
  <c r="N30"/>
  <c r="C220"/>
  <c r="E220"/>
  <c r="E177"/>
  <c r="O39"/>
  <c r="O28"/>
  <c r="C219"/>
  <c r="E219"/>
  <c r="E176"/>
  <c r="G171"/>
  <c r="G214"/>
  <c r="H214"/>
  <c r="N37"/>
  <c r="M31"/>
  <c r="M35"/>
  <c r="O30"/>
  <c r="O34"/>
  <c r="N31"/>
  <c r="N32"/>
  <c r="O35"/>
  <c r="N34"/>
  <c r="M141"/>
  <c r="N39"/>
  <c r="O37"/>
  <c r="G163"/>
  <c r="G206"/>
  <c r="H206"/>
  <c r="F220"/>
  <c r="H117"/>
  <c r="F219"/>
  <c r="M37"/>
  <c r="O32"/>
  <c r="M33"/>
  <c r="O31"/>
  <c r="N28"/>
  <c r="N25"/>
  <c r="O33"/>
  <c r="H128"/>
  <c r="H118"/>
  <c r="O36"/>
  <c r="N27"/>
  <c r="O26"/>
  <c r="M30"/>
  <c r="N35"/>
  <c r="N33"/>
  <c r="N36"/>
  <c r="M130"/>
  <c r="M38"/>
  <c r="M25"/>
  <c r="G159"/>
  <c r="G202"/>
  <c r="H202"/>
  <c r="G213"/>
  <c r="H213"/>
  <c r="G170"/>
  <c r="G175"/>
  <c r="G218"/>
  <c r="H218"/>
  <c r="G158"/>
  <c r="G201"/>
  <c r="H201"/>
  <c r="M27"/>
  <c r="M36"/>
  <c r="H142"/>
  <c r="M39"/>
  <c r="N26"/>
  <c r="H143"/>
  <c r="O25"/>
  <c r="M28"/>
  <c r="N38"/>
  <c r="M29"/>
  <c r="H126"/>
  <c r="M129"/>
  <c r="M26"/>
  <c r="N16" i="2"/>
  <c r="A18"/>
  <c r="B17"/>
  <c r="G17"/>
  <c r="C17"/>
  <c r="H17"/>
  <c r="D17"/>
  <c r="I17"/>
  <c r="E17"/>
  <c r="J17"/>
  <c r="AB15"/>
  <c r="Y14"/>
  <c r="AR15"/>
  <c r="AS15"/>
  <c r="O16"/>
  <c r="X24"/>
  <c r="X16"/>
  <c r="H139" i="22"/>
  <c r="H137"/>
  <c r="H123"/>
  <c r="M172"/>
  <c r="H133"/>
  <c r="H121"/>
  <c r="M155"/>
  <c r="H130"/>
  <c r="M156"/>
  <c r="E66" i="25"/>
  <c r="C65"/>
  <c r="D65"/>
  <c r="G64"/>
  <c r="H144" i="22"/>
  <c r="H127"/>
  <c r="M163"/>
  <c r="G204"/>
  <c r="H204"/>
  <c r="G161"/>
  <c r="H145"/>
  <c r="H120"/>
  <c r="H124"/>
  <c r="G221"/>
  <c r="H221"/>
  <c r="G178"/>
  <c r="M146"/>
  <c r="H146"/>
  <c r="G174"/>
  <c r="G217"/>
  <c r="H217"/>
  <c r="M175"/>
  <c r="G216"/>
  <c r="H216"/>
  <c r="G173"/>
  <c r="M171"/>
  <c r="G205"/>
  <c r="H205"/>
  <c r="G162"/>
  <c r="M160"/>
  <c r="H136"/>
  <c r="H122"/>
  <c r="H140"/>
  <c r="H129"/>
  <c r="H134"/>
  <c r="H141"/>
  <c r="H119"/>
  <c r="M159"/>
  <c r="H135"/>
  <c r="H132"/>
  <c r="H125"/>
  <c r="H131"/>
  <c r="H138"/>
  <c r="A19" i="2"/>
  <c r="B18"/>
  <c r="G18"/>
  <c r="C18"/>
  <c r="H18"/>
  <c r="D18"/>
  <c r="I18"/>
  <c r="M18"/>
  <c r="E18"/>
  <c r="J18"/>
  <c r="AR16"/>
  <c r="AS16"/>
  <c r="O17"/>
  <c r="N17"/>
  <c r="M17"/>
  <c r="T17"/>
  <c r="P17"/>
  <c r="AJ17" s="1"/>
  <c r="Q17"/>
  <c r="AH17" s="1"/>
  <c r="R17"/>
  <c r="T18"/>
  <c r="Q18"/>
  <c r="R18"/>
  <c r="P18"/>
  <c r="AJ18" s="1"/>
  <c r="G65" i="25"/>
  <c r="D66"/>
  <c r="C66"/>
  <c r="M174" i="22"/>
  <c r="M144"/>
  <c r="G219"/>
  <c r="H219"/>
  <c r="G176"/>
  <c r="M158"/>
  <c r="M170"/>
  <c r="M173"/>
  <c r="M145"/>
  <c r="G220"/>
  <c r="H220"/>
  <c r="G177"/>
  <c r="N18" i="2"/>
  <c r="A20"/>
  <c r="B19"/>
  <c r="G19"/>
  <c r="C19"/>
  <c r="H19"/>
  <c r="D19"/>
  <c r="I19"/>
  <c r="E19"/>
  <c r="J19"/>
  <c r="AR17"/>
  <c r="AS17"/>
  <c r="O18"/>
  <c r="AH18"/>
  <c r="AG18"/>
  <c r="M178" i="22"/>
  <c r="G66" i="25"/>
  <c r="M177" i="22"/>
  <c r="M162"/>
  <c r="M176"/>
  <c r="M161"/>
  <c r="A21" i="2"/>
  <c r="B20"/>
  <c r="G20"/>
  <c r="E20"/>
  <c r="J20"/>
  <c r="C20"/>
  <c r="H20"/>
  <c r="D20"/>
  <c r="I20"/>
  <c r="M20"/>
  <c r="N19"/>
  <c r="O19"/>
  <c r="AR18"/>
  <c r="AS18"/>
  <c r="M19"/>
  <c r="T19"/>
  <c r="P19"/>
  <c r="AB19" s="1"/>
  <c r="Q19"/>
  <c r="AH19" s="1"/>
  <c r="R19"/>
  <c r="Y19" s="1"/>
  <c r="AK19" s="1"/>
  <c r="X19"/>
  <c r="T20"/>
  <c r="P20"/>
  <c r="AB20" s="1"/>
  <c r="Q20"/>
  <c r="AH20" s="1"/>
  <c r="R20"/>
  <c r="Y20" s="1"/>
  <c r="A22"/>
  <c r="E21"/>
  <c r="J21"/>
  <c r="B21"/>
  <c r="G21"/>
  <c r="C21"/>
  <c r="H21"/>
  <c r="D21"/>
  <c r="I21"/>
  <c r="O20"/>
  <c r="AR19"/>
  <c r="AS19"/>
  <c r="N20"/>
  <c r="AR20"/>
  <c r="AS20"/>
  <c r="A23"/>
  <c r="B22"/>
  <c r="G22"/>
  <c r="C22"/>
  <c r="H22"/>
  <c r="E22"/>
  <c r="J22"/>
  <c r="D22"/>
  <c r="I22"/>
  <c r="M21"/>
  <c r="O21"/>
  <c r="N21"/>
  <c r="T21"/>
  <c r="P21"/>
  <c r="AB21" s="1"/>
  <c r="Q21"/>
  <c r="AH21" s="1"/>
  <c r="R21"/>
  <c r="M22"/>
  <c r="A24"/>
  <c r="C23"/>
  <c r="H23"/>
  <c r="D23"/>
  <c r="I23"/>
  <c r="M23"/>
  <c r="E23"/>
  <c r="J23"/>
  <c r="B23"/>
  <c r="G23"/>
  <c r="AR21"/>
  <c r="AS21"/>
  <c r="N22"/>
  <c r="O22"/>
  <c r="T22"/>
  <c r="AJ22" s="1"/>
  <c r="P22"/>
  <c r="AB22" s="1"/>
  <c r="Q22"/>
  <c r="AG22" s="1"/>
  <c r="R22"/>
  <c r="T23"/>
  <c r="P23"/>
  <c r="AB23" s="1"/>
  <c r="Q23"/>
  <c r="AG23" s="1"/>
  <c r="R23"/>
  <c r="Y23" s="1"/>
  <c r="O23"/>
  <c r="A25"/>
  <c r="B24"/>
  <c r="G24"/>
  <c r="C24"/>
  <c r="H24"/>
  <c r="D24"/>
  <c r="I24"/>
  <c r="M24"/>
  <c r="E24"/>
  <c r="J24"/>
  <c r="N23"/>
  <c r="AR22"/>
  <c r="AS22"/>
  <c r="T24"/>
  <c r="P24"/>
  <c r="Q24"/>
  <c r="AG24" s="1"/>
  <c r="R24"/>
  <c r="Y24" s="1"/>
  <c r="A26"/>
  <c r="D25"/>
  <c r="I25"/>
  <c r="E25"/>
  <c r="J25"/>
  <c r="B25"/>
  <c r="G25"/>
  <c r="C25"/>
  <c r="H25"/>
  <c r="O24"/>
  <c r="AR23"/>
  <c r="AS23"/>
  <c r="N24"/>
  <c r="AR24"/>
  <c r="AS24"/>
  <c r="O25"/>
  <c r="N25"/>
  <c r="A27"/>
  <c r="B26"/>
  <c r="G26"/>
  <c r="C26"/>
  <c r="H26"/>
  <c r="E26"/>
  <c r="J26"/>
  <c r="D26"/>
  <c r="I26"/>
  <c r="M25"/>
  <c r="P25"/>
  <c r="Q25"/>
  <c r="AG25" s="1"/>
  <c r="R25"/>
  <c r="Y25" s="1"/>
  <c r="X25"/>
  <c r="Z25"/>
  <c r="O26"/>
  <c r="N26"/>
  <c r="AR25"/>
  <c r="AS25"/>
  <c r="A28"/>
  <c r="B27"/>
  <c r="G27"/>
  <c r="C27"/>
  <c r="H27"/>
  <c r="E27"/>
  <c r="J27"/>
  <c r="D27"/>
  <c r="I27"/>
  <c r="M27"/>
  <c r="M26"/>
  <c r="P27"/>
  <c r="Q27"/>
  <c r="R27"/>
  <c r="P26"/>
  <c r="Q26"/>
  <c r="AG26" s="1"/>
  <c r="R26"/>
  <c r="Y26" s="1"/>
  <c r="X26"/>
  <c r="AR26"/>
  <c r="AS26"/>
  <c r="O27"/>
  <c r="N27"/>
  <c r="A29"/>
  <c r="B28"/>
  <c r="G28"/>
  <c r="C28"/>
  <c r="H28"/>
  <c r="D28"/>
  <c r="I28"/>
  <c r="M28"/>
  <c r="E28"/>
  <c r="J28"/>
  <c r="P28"/>
  <c r="AB28" s="1"/>
  <c r="Q28"/>
  <c r="AH28" s="1"/>
  <c r="R28"/>
  <c r="Y28" s="1"/>
  <c r="X27"/>
  <c r="AB27"/>
  <c r="N28"/>
  <c r="A30"/>
  <c r="D29"/>
  <c r="I29"/>
  <c r="E29"/>
  <c r="J29"/>
  <c r="B29"/>
  <c r="G29"/>
  <c r="C29"/>
  <c r="H29"/>
  <c r="AR27"/>
  <c r="AS27"/>
  <c r="O28"/>
  <c r="X28"/>
  <c r="M29"/>
  <c r="O29"/>
  <c r="AR28"/>
  <c r="AS28"/>
  <c r="N29"/>
  <c r="A31"/>
  <c r="B30"/>
  <c r="G30"/>
  <c r="D30"/>
  <c r="I30"/>
  <c r="M30"/>
  <c r="C30"/>
  <c r="H30"/>
  <c r="E30"/>
  <c r="J30"/>
  <c r="P29"/>
  <c r="Q29"/>
  <c r="AH29" s="1"/>
  <c r="R29"/>
  <c r="Y29" s="1"/>
  <c r="P30"/>
  <c r="AJ30" s="1"/>
  <c r="Q30"/>
  <c r="AH30" s="1"/>
  <c r="R30"/>
  <c r="Y30" s="1"/>
  <c r="X29"/>
  <c r="O30"/>
  <c r="AR29"/>
  <c r="AS29"/>
  <c r="N30"/>
  <c r="A32"/>
  <c r="B31"/>
  <c r="G31"/>
  <c r="E31"/>
  <c r="J31"/>
  <c r="C31"/>
  <c r="H31"/>
  <c r="D31"/>
  <c r="I31"/>
  <c r="X30"/>
  <c r="N31"/>
  <c r="AR30"/>
  <c r="AS30"/>
  <c r="A33"/>
  <c r="C32"/>
  <c r="H32"/>
  <c r="D32"/>
  <c r="I32"/>
  <c r="M32"/>
  <c r="E32"/>
  <c r="J32"/>
  <c r="B32"/>
  <c r="G32"/>
  <c r="M31"/>
  <c r="O31"/>
  <c r="X31"/>
  <c r="P32"/>
  <c r="Q32"/>
  <c r="AG32" s="1"/>
  <c r="R32"/>
  <c r="Y32" s="1"/>
  <c r="P31"/>
  <c r="AB31" s="1"/>
  <c r="Q31"/>
  <c r="AH31" s="1"/>
  <c r="R31"/>
  <c r="Y31" s="1"/>
  <c r="AK31" s="1"/>
  <c r="AR31"/>
  <c r="AS31"/>
  <c r="O32"/>
  <c r="A34"/>
  <c r="B33"/>
  <c r="G33"/>
  <c r="D33"/>
  <c r="I33"/>
  <c r="C33"/>
  <c r="H33"/>
  <c r="E33"/>
  <c r="J33"/>
  <c r="N32"/>
  <c r="X32"/>
  <c r="Z32"/>
  <c r="N33"/>
  <c r="M33"/>
  <c r="A35"/>
  <c r="B34"/>
  <c r="G34"/>
  <c r="C34"/>
  <c r="H34"/>
  <c r="D34"/>
  <c r="I34"/>
  <c r="E34"/>
  <c r="J34"/>
  <c r="O33"/>
  <c r="AR32"/>
  <c r="AS32"/>
  <c r="P33"/>
  <c r="AB33" s="1"/>
  <c r="Q33"/>
  <c r="AH33" s="1"/>
  <c r="R33"/>
  <c r="Y33" s="1"/>
  <c r="X33"/>
  <c r="O34"/>
  <c r="AR33"/>
  <c r="AS33"/>
  <c r="N34"/>
  <c r="M34"/>
  <c r="A36"/>
  <c r="E35"/>
  <c r="J35"/>
  <c r="B35"/>
  <c r="G35"/>
  <c r="C35"/>
  <c r="H35"/>
  <c r="D35"/>
  <c r="I35"/>
  <c r="X34"/>
  <c r="P34"/>
  <c r="Q34"/>
  <c r="AG34" s="1"/>
  <c r="R34"/>
  <c r="O35"/>
  <c r="N35"/>
  <c r="A37"/>
  <c r="C36"/>
  <c r="H36"/>
  <c r="E36"/>
  <c r="J36"/>
  <c r="B36"/>
  <c r="G36"/>
  <c r="D36"/>
  <c r="I36"/>
  <c r="AR34"/>
  <c r="AS34"/>
  <c r="M35"/>
  <c r="P35"/>
  <c r="AB35" s="1"/>
  <c r="Q35"/>
  <c r="AG35" s="1"/>
  <c r="R35"/>
  <c r="Y35" s="1"/>
  <c r="X35"/>
  <c r="O36"/>
  <c r="A38"/>
  <c r="B37"/>
  <c r="G37"/>
  <c r="D37"/>
  <c r="I37"/>
  <c r="C37"/>
  <c r="H37"/>
  <c r="E37"/>
  <c r="J37"/>
  <c r="M36"/>
  <c r="N36"/>
  <c r="AR35"/>
  <c r="AS35"/>
  <c r="X36"/>
  <c r="P36"/>
  <c r="Q36"/>
  <c r="AG36" s="1"/>
  <c r="R36"/>
  <c r="Y36" s="1"/>
  <c r="M37"/>
  <c r="N37"/>
  <c r="A39"/>
  <c r="E38"/>
  <c r="J38"/>
  <c r="B38"/>
  <c r="G38"/>
  <c r="C38"/>
  <c r="H38"/>
  <c r="D38"/>
  <c r="I38"/>
  <c r="O37"/>
  <c r="AR36"/>
  <c r="AS36"/>
  <c r="P37"/>
  <c r="AB37" s="1"/>
  <c r="Q37"/>
  <c r="AH37" s="1"/>
  <c r="R37"/>
  <c r="Y37" s="1"/>
  <c r="AK37" s="1"/>
  <c r="X37"/>
  <c r="M38"/>
  <c r="E39"/>
  <c r="J39"/>
  <c r="B39"/>
  <c r="G39"/>
  <c r="C39"/>
  <c r="H39"/>
  <c r="D39"/>
  <c r="I39"/>
  <c r="M39"/>
  <c r="O38"/>
  <c r="AR37"/>
  <c r="AS37"/>
  <c r="N38"/>
  <c r="X38"/>
  <c r="P39"/>
  <c r="AJ39" s="1"/>
  <c r="Q39"/>
  <c r="AG39" s="1"/>
  <c r="R39"/>
  <c r="Y39" s="1"/>
  <c r="AK39" s="1"/>
  <c r="P38"/>
  <c r="AB38" s="1"/>
  <c r="Q38"/>
  <c r="AG38" s="1"/>
  <c r="R38"/>
  <c r="Y38" s="1"/>
  <c r="O39"/>
  <c r="AR38"/>
  <c r="AS38"/>
  <c r="N39"/>
  <c r="X39"/>
  <c r="AR39"/>
  <c r="AS39"/>
  <c r="C126" i="18"/>
  <c r="C81"/>
  <c r="D44"/>
  <c r="D45"/>
  <c r="D46"/>
  <c r="D43"/>
  <c r="C34"/>
  <c r="C35"/>
  <c r="C36"/>
  <c r="C33"/>
  <c r="C24"/>
  <c r="C25"/>
  <c r="C26"/>
  <c r="C23"/>
  <c r="C9" i="17"/>
  <c r="C9" i="18"/>
  <c r="D51"/>
  <c r="D223"/>
  <c r="A222" s="1"/>
  <c r="D184"/>
  <c r="X183"/>
  <c r="X222"/>
  <c r="W183"/>
  <c r="W222"/>
  <c r="V183"/>
  <c r="V222"/>
  <c r="U183"/>
  <c r="U222"/>
  <c r="T183"/>
  <c r="T222"/>
  <c r="S183"/>
  <c r="S222"/>
  <c r="R183"/>
  <c r="R222"/>
  <c r="Q183"/>
  <c r="Q222"/>
  <c r="P183"/>
  <c r="P222"/>
  <c r="O183"/>
  <c r="O222"/>
  <c r="N183"/>
  <c r="N222"/>
  <c r="M183"/>
  <c r="M222"/>
  <c r="L183"/>
  <c r="L222"/>
  <c r="K183"/>
  <c r="K222"/>
  <c r="J183"/>
  <c r="J222"/>
  <c r="I183"/>
  <c r="I222"/>
  <c r="H183"/>
  <c r="H222"/>
  <c r="G183"/>
  <c r="G222"/>
  <c r="F183"/>
  <c r="F222"/>
  <c r="E183"/>
  <c r="E222"/>
  <c r="D183"/>
  <c r="X146"/>
  <c r="W146"/>
  <c r="V146"/>
  <c r="U146"/>
  <c r="T146"/>
  <c r="S146"/>
  <c r="R146"/>
  <c r="Q146"/>
  <c r="P146"/>
  <c r="O146"/>
  <c r="N146"/>
  <c r="M146"/>
  <c r="L146"/>
  <c r="K146"/>
  <c r="J146"/>
  <c r="I146"/>
  <c r="H146"/>
  <c r="G146"/>
  <c r="F146"/>
  <c r="E146"/>
  <c r="X79"/>
  <c r="W79"/>
  <c r="V79"/>
  <c r="U79"/>
  <c r="T79"/>
  <c r="S79"/>
  <c r="R79"/>
  <c r="Q79"/>
  <c r="P79"/>
  <c r="O79"/>
  <c r="N79"/>
  <c r="M79"/>
  <c r="L79"/>
  <c r="K79"/>
  <c r="J79"/>
  <c r="I79"/>
  <c r="H79"/>
  <c r="G79"/>
  <c r="F79"/>
  <c r="E79"/>
  <c r="D50"/>
  <c r="C54" s="1"/>
  <c r="D54"/>
  <c r="D52"/>
  <c r="D42"/>
  <c r="D63"/>
  <c r="D62"/>
  <c r="D61"/>
  <c r="D60"/>
  <c r="X12"/>
  <c r="W12"/>
  <c r="V12"/>
  <c r="U12"/>
  <c r="T12"/>
  <c r="S12"/>
  <c r="R12"/>
  <c r="Q12"/>
  <c r="P12"/>
  <c r="O12"/>
  <c r="N12"/>
  <c r="M12"/>
  <c r="L12"/>
  <c r="K12"/>
  <c r="J12"/>
  <c r="I12"/>
  <c r="H12"/>
  <c r="G12"/>
  <c r="F12"/>
  <c r="E12"/>
  <c r="C195" i="17"/>
  <c r="C194"/>
  <c r="C193"/>
  <c r="C192"/>
  <c r="C147"/>
  <c r="X146"/>
  <c r="W146"/>
  <c r="V146"/>
  <c r="U146"/>
  <c r="T146"/>
  <c r="S146"/>
  <c r="R146"/>
  <c r="Q146"/>
  <c r="P146"/>
  <c r="O146"/>
  <c r="N146"/>
  <c r="M146"/>
  <c r="L146"/>
  <c r="K146"/>
  <c r="J146"/>
  <c r="I146"/>
  <c r="H146"/>
  <c r="G146"/>
  <c r="F146"/>
  <c r="E146"/>
  <c r="X109"/>
  <c r="W109"/>
  <c r="V109"/>
  <c r="U109"/>
  <c r="T109"/>
  <c r="S109"/>
  <c r="R109"/>
  <c r="Q109"/>
  <c r="P109"/>
  <c r="O109"/>
  <c r="N109"/>
  <c r="M109"/>
  <c r="L109"/>
  <c r="K109"/>
  <c r="J109"/>
  <c r="I109"/>
  <c r="H109"/>
  <c r="G109"/>
  <c r="F109"/>
  <c r="E109"/>
  <c r="C44"/>
  <c r="X42"/>
  <c r="W42"/>
  <c r="V42"/>
  <c r="U42"/>
  <c r="T42"/>
  <c r="S42"/>
  <c r="R42"/>
  <c r="Q42"/>
  <c r="P42"/>
  <c r="O42"/>
  <c r="N42"/>
  <c r="M42"/>
  <c r="L42"/>
  <c r="K42"/>
  <c r="J42"/>
  <c r="I42"/>
  <c r="H42"/>
  <c r="G42"/>
  <c r="F42"/>
  <c r="E42"/>
  <c r="C41"/>
  <c r="C36"/>
  <c r="C34"/>
  <c r="C32"/>
  <c r="R32" s="1"/>
  <c r="C25"/>
  <c r="C24"/>
  <c r="C23"/>
  <c r="C33"/>
  <c r="C22"/>
  <c r="A21" s="1"/>
  <c r="X12"/>
  <c r="W12"/>
  <c r="V12"/>
  <c r="U12"/>
  <c r="T12"/>
  <c r="S12"/>
  <c r="R12"/>
  <c r="Q12"/>
  <c r="P12"/>
  <c r="O12"/>
  <c r="N12"/>
  <c r="M12"/>
  <c r="L12"/>
  <c r="K12"/>
  <c r="J12"/>
  <c r="I12"/>
  <c r="H12"/>
  <c r="G12"/>
  <c r="F12"/>
  <c r="E12"/>
  <c r="A11"/>
  <c r="D72" i="18"/>
  <c r="D69"/>
  <c r="D71"/>
  <c r="D70"/>
  <c r="T18" i="17"/>
  <c r="L18"/>
  <c r="G18"/>
  <c r="K18"/>
  <c r="I18"/>
  <c r="D53" i="18"/>
  <c r="Q18" i="17"/>
  <c r="H18"/>
  <c r="P18"/>
  <c r="X18"/>
  <c r="M18"/>
  <c r="U18"/>
  <c r="F18"/>
  <c r="J18"/>
  <c r="N18"/>
  <c r="R18"/>
  <c r="V18"/>
  <c r="O18"/>
  <c r="S18"/>
  <c r="W18"/>
  <c r="B22" i="3"/>
  <c r="B21"/>
  <c r="B8"/>
  <c r="B9"/>
  <c r="B16"/>
  <c r="B12"/>
  <c r="B17"/>
  <c r="B11"/>
  <c r="B19"/>
  <c r="G34" i="18"/>
  <c r="I36"/>
  <c r="K36"/>
  <c r="K35"/>
  <c r="H36"/>
  <c r="F36"/>
  <c r="F28"/>
  <c r="F33"/>
  <c r="L34"/>
  <c r="E28"/>
  <c r="J33"/>
  <c r="J28"/>
  <c r="J34"/>
  <c r="L28"/>
  <c r="L33"/>
  <c r="I28"/>
  <c r="I33"/>
  <c r="I34"/>
  <c r="H34"/>
  <c r="F34"/>
  <c r="G28"/>
  <c r="G33"/>
  <c r="K33"/>
  <c r="K28"/>
  <c r="F35"/>
  <c r="H28"/>
  <c r="H33"/>
  <c r="L36"/>
  <c r="J36"/>
  <c r="L35"/>
  <c r="K34"/>
  <c r="I35"/>
  <c r="G36"/>
  <c r="J35"/>
  <c r="G35"/>
  <c r="H35"/>
  <c r="H38"/>
  <c r="F38"/>
  <c r="K38"/>
  <c r="I38"/>
  <c r="J38"/>
  <c r="G38"/>
  <c r="L38"/>
  <c r="B44"/>
  <c r="B45"/>
  <c r="B52"/>
  <c r="B53"/>
  <c r="B46"/>
  <c r="B54"/>
  <c r="B43"/>
  <c r="B51"/>
  <c r="X36"/>
  <c r="W34"/>
  <c r="S35"/>
  <c r="U34"/>
  <c r="U36"/>
  <c r="U35"/>
  <c r="O35"/>
  <c r="S34"/>
  <c r="V35"/>
  <c r="O36"/>
  <c r="S36"/>
  <c r="P34"/>
  <c r="X34"/>
  <c r="V34"/>
  <c r="R36"/>
  <c r="V36"/>
  <c r="P35"/>
  <c r="N35"/>
  <c r="O34"/>
  <c r="P36"/>
  <c r="R34"/>
  <c r="Q36"/>
  <c r="X35"/>
  <c r="N36"/>
  <c r="Q35"/>
  <c r="W36"/>
  <c r="Q34"/>
  <c r="R35"/>
  <c r="W35"/>
  <c r="N34"/>
  <c r="M33"/>
  <c r="Q28"/>
  <c r="Q33"/>
  <c r="Q38"/>
  <c r="S28"/>
  <c r="S33"/>
  <c r="S38"/>
  <c r="W33"/>
  <c r="W38"/>
  <c r="W28"/>
  <c r="U33"/>
  <c r="U38"/>
  <c r="U28"/>
  <c r="M35"/>
  <c r="T34"/>
  <c r="P33"/>
  <c r="P38"/>
  <c r="P28"/>
  <c r="M34"/>
  <c r="T36"/>
  <c r="R33"/>
  <c r="R38"/>
  <c r="R28"/>
  <c r="V33"/>
  <c r="V38"/>
  <c r="V28"/>
  <c r="M28"/>
  <c r="T35"/>
  <c r="N33"/>
  <c r="N38"/>
  <c r="N28"/>
  <c r="M36"/>
  <c r="O33"/>
  <c r="O38"/>
  <c r="O28"/>
  <c r="T33"/>
  <c r="T28"/>
  <c r="X28"/>
  <c r="X33"/>
  <c r="M38"/>
  <c r="T38"/>
  <c r="X38"/>
  <c r="AG28" i="2" l="1"/>
  <c r="AK38"/>
  <c r="AK35"/>
  <c r="AJ34"/>
  <c r="AG31"/>
  <c r="AK30"/>
  <c r="AL30" s="1"/>
  <c r="AM30" s="1"/>
  <c r="AK26"/>
  <c r="AJ24"/>
  <c r="AG19"/>
  <c r="AK20"/>
  <c r="AG12"/>
  <c r="AJ28"/>
  <c r="AJ27"/>
  <c r="AL37"/>
  <c r="AM37" s="1"/>
  <c r="AN37" s="1"/>
  <c r="AH10"/>
  <c r="AG33"/>
  <c r="AK32"/>
  <c r="AJ25"/>
  <c r="AL25" s="1"/>
  <c r="AM25" s="1"/>
  <c r="AJ21"/>
  <c r="AJ19"/>
  <c r="E156" i="22"/>
  <c r="AJ13" i="2"/>
  <c r="AH11"/>
  <c r="E241" i="22"/>
  <c r="D244"/>
  <c r="E245"/>
  <c r="F247"/>
  <c r="D242"/>
  <c r="D247"/>
  <c r="D246"/>
  <c r="F243"/>
  <c r="E244"/>
  <c r="E247"/>
  <c r="F248"/>
  <c r="F241"/>
  <c r="F242"/>
  <c r="F245"/>
  <c r="D245"/>
  <c r="F244"/>
  <c r="D243"/>
  <c r="E248"/>
  <c r="D248"/>
  <c r="E243"/>
  <c r="F246"/>
  <c r="E242"/>
  <c r="E246"/>
  <c r="AK29" i="2"/>
  <c r="AG30"/>
  <c r="AH26"/>
  <c r="AB39"/>
  <c r="AK36"/>
  <c r="AK33"/>
  <c r="AK25"/>
  <c r="AJ20"/>
  <c r="AL20" s="1"/>
  <c r="AM20" s="1"/>
  <c r="AB14"/>
  <c r="AG21"/>
  <c r="AB24"/>
  <c r="AH32"/>
  <c r="AK28"/>
  <c r="AL28" s="1"/>
  <c r="AM28" s="1"/>
  <c r="AN28" s="1"/>
  <c r="AK24"/>
  <c r="AL24" s="1"/>
  <c r="AM24" s="1"/>
  <c r="AN24" s="1"/>
  <c r="AJ16"/>
  <c r="AL38"/>
  <c r="AM38" s="1"/>
  <c r="AN38" s="1"/>
  <c r="AB18"/>
  <c r="Y34"/>
  <c r="AK34" s="1"/>
  <c r="AL34" s="1"/>
  <c r="AM34" s="1"/>
  <c r="AN34" s="1"/>
  <c r="AH22"/>
  <c r="AK14"/>
  <c r="AL14" s="1"/>
  <c r="AM14" s="1"/>
  <c r="AJ14"/>
  <c r="Y21"/>
  <c r="AK21" s="1"/>
  <c r="AB25"/>
  <c r="AB29"/>
  <c r="AJ38"/>
  <c r="AH38"/>
  <c r="AG20"/>
  <c r="AJ11"/>
  <c r="AB11"/>
  <c r="AJ33"/>
  <c r="AJ32"/>
  <c r="AL32" s="1"/>
  <c r="AM32" s="1"/>
  <c r="AN32" s="1"/>
  <c r="AV32" s="1"/>
  <c r="AH25"/>
  <c r="AK23"/>
  <c r="AG37"/>
  <c r="AJ36"/>
  <c r="AJ29"/>
  <c r="AJ23"/>
  <c r="AL23" s="1"/>
  <c r="AM23" s="1"/>
  <c r="AN23" s="1"/>
  <c r="AG16"/>
  <c r="AK16"/>
  <c r="AL16" s="1"/>
  <c r="AM16" s="1"/>
  <c r="Y10"/>
  <c r="AK10" s="1"/>
  <c r="AL10" s="1"/>
  <c r="AM10" s="1"/>
  <c r="AJ12"/>
  <c r="AB26"/>
  <c r="AJ35"/>
  <c r="AJ31"/>
  <c r="AL31" s="1"/>
  <c r="AM31" s="1"/>
  <c r="AN31" s="1"/>
  <c r="AJ26"/>
  <c r="AL26" s="1"/>
  <c r="AM26" s="1"/>
  <c r="A122" i="34"/>
  <c r="E163"/>
  <c r="AP32" i="2"/>
  <c r="R45" i="10"/>
  <c r="R60"/>
  <c r="O50"/>
  <c r="M13" i="16" s="1"/>
  <c r="O65" i="10"/>
  <c r="M28" i="16" s="1"/>
  <c r="I69" i="10"/>
  <c r="I54"/>
  <c r="N55"/>
  <c r="L18" i="16" s="1"/>
  <c r="N70" i="10"/>
  <c r="L33" i="16" s="1"/>
  <c r="O72" i="10"/>
  <c r="M35" i="16" s="1"/>
  <c r="O57" i="10"/>
  <c r="M20" i="16" s="1"/>
  <c r="H59" i="10"/>
  <c r="F22" i="16" s="1"/>
  <c r="H74" i="10"/>
  <c r="F37" i="16" s="1"/>
  <c r="H45" i="10"/>
  <c r="F8" i="16" s="1"/>
  <c r="H60" i="10"/>
  <c r="F23" i="16" s="1"/>
  <c r="M61" i="10"/>
  <c r="K24" i="16" s="1"/>
  <c r="M46" i="10"/>
  <c r="K9" i="16" s="1"/>
  <c r="I47" i="10"/>
  <c r="I62"/>
  <c r="H63"/>
  <c r="F26" i="16" s="1"/>
  <c r="H48" i="10"/>
  <c r="F11" i="16" s="1"/>
  <c r="I66" i="10"/>
  <c r="I51"/>
  <c r="P67"/>
  <c r="N30" i="16" s="1"/>
  <c r="P52" i="10"/>
  <c r="N15" i="16" s="1"/>
  <c r="H68" i="10"/>
  <c r="F31" i="16" s="1"/>
  <c r="H53" i="10"/>
  <c r="F16" i="16" s="1"/>
  <c r="Y18" i="2"/>
  <c r="AK18" s="1"/>
  <c r="AL18" s="1"/>
  <c r="AM18" s="1"/>
  <c r="J60" i="10"/>
  <c r="H23" i="16" s="1"/>
  <c r="J45" i="10"/>
  <c r="H8" i="16" s="1"/>
  <c r="R50" i="10"/>
  <c r="R65"/>
  <c r="M51"/>
  <c r="K14" i="16" s="1"/>
  <c r="M66" i="10"/>
  <c r="K29" i="16" s="1"/>
  <c r="M69" i="10"/>
  <c r="K32" i="16" s="1"/>
  <c r="M54" i="10"/>
  <c r="K17" i="16" s="1"/>
  <c r="M57" i="10"/>
  <c r="K20" i="16" s="1"/>
  <c r="M72" i="10"/>
  <c r="K35" i="16" s="1"/>
  <c r="J74" i="10"/>
  <c r="H37" i="16" s="1"/>
  <c r="J59" i="10"/>
  <c r="H22" i="16" s="1"/>
  <c r="N60" i="10"/>
  <c r="L23" i="16" s="1"/>
  <c r="N45" i="10"/>
  <c r="L8" i="16" s="1"/>
  <c r="C61" i="10"/>
  <c r="A24" i="16" s="1"/>
  <c r="C46" i="10"/>
  <c r="A9" i="16" s="1"/>
  <c r="J48" i="10"/>
  <c r="H11" i="16" s="1"/>
  <c r="J63" i="10"/>
  <c r="H26" i="16" s="1"/>
  <c r="O66" i="10"/>
  <c r="M29" i="16" s="1"/>
  <c r="O51" i="10"/>
  <c r="M14" i="16" s="1"/>
  <c r="J53" i="10"/>
  <c r="H16" i="16" s="1"/>
  <c r="J68" i="10"/>
  <c r="H31" i="16" s="1"/>
  <c r="D58" i="10"/>
  <c r="B21" i="16" s="1"/>
  <c r="D73" i="10"/>
  <c r="B36" i="16" s="1"/>
  <c r="R73" i="10"/>
  <c r="R58"/>
  <c r="R74"/>
  <c r="R59"/>
  <c r="BC231" i="34"/>
  <c r="AO231"/>
  <c r="AP231"/>
  <c r="BA231"/>
  <c r="AW231"/>
  <c r="AG231"/>
  <c r="AU231"/>
  <c r="AK231"/>
  <c r="AJ231"/>
  <c r="BB231"/>
  <c r="AV231"/>
  <c r="AY231"/>
  <c r="AX231"/>
  <c r="AL231"/>
  <c r="AS231"/>
  <c r="AZ231"/>
  <c r="AI231"/>
  <c r="AT231"/>
  <c r="AF231"/>
  <c r="F231"/>
  <c r="BD231"/>
  <c r="AM231"/>
  <c r="AN231"/>
  <c r="AZ242"/>
  <c r="F242"/>
  <c r="AI242"/>
  <c r="BC242"/>
  <c r="AN242"/>
  <c r="AX242"/>
  <c r="AG242"/>
  <c r="BD242"/>
  <c r="AS242"/>
  <c r="BB242"/>
  <c r="AK242"/>
  <c r="AH242"/>
  <c r="AQ242"/>
  <c r="AL242"/>
  <c r="AW242"/>
  <c r="AF242"/>
  <c r="AO242"/>
  <c r="AP242"/>
  <c r="AM242"/>
  <c r="AT242"/>
  <c r="AU242"/>
  <c r="AJ242"/>
  <c r="BA242"/>
  <c r="AV242"/>
  <c r="P68" i="10"/>
  <c r="N31" i="16" s="1"/>
  <c r="P53" i="10"/>
  <c r="N16" i="16" s="1"/>
  <c r="Y22" i="2"/>
  <c r="AK22" s="1"/>
  <c r="AL22" s="1"/>
  <c r="AM22" s="1"/>
  <c r="AH36"/>
  <c r="AH24"/>
  <c r="AB13"/>
  <c r="D55" i="10"/>
  <c r="B18" i="16" s="1"/>
  <c r="H65" i="10"/>
  <c r="F28" i="16" s="1"/>
  <c r="O55" i="10"/>
  <c r="M18" i="16" s="1"/>
  <c r="C50" i="10"/>
  <c r="A13" i="16" s="1"/>
  <c r="AH231" i="34"/>
  <c r="AQ231"/>
  <c r="G76" i="24"/>
  <c r="H76" s="1"/>
  <c r="I76"/>
  <c r="J76" s="1"/>
  <c r="J46" i="10"/>
  <c r="H9" i="16" s="1"/>
  <c r="J61" i="10"/>
  <c r="H24" i="16" s="1"/>
  <c r="O46" i="10"/>
  <c r="M9" i="16" s="1"/>
  <c r="O61" i="10"/>
  <c r="M24" i="16" s="1"/>
  <c r="R66" i="10"/>
  <c r="R51"/>
  <c r="J55"/>
  <c r="H18" i="16" s="1"/>
  <c r="J70" i="10"/>
  <c r="H33" i="16" s="1"/>
  <c r="AS215" i="34"/>
  <c r="F215"/>
  <c r="AX215"/>
  <c r="AJ215"/>
  <c r="BB215"/>
  <c r="BA215"/>
  <c r="AK215"/>
  <c r="BC215"/>
  <c r="AF215"/>
  <c r="AO215"/>
  <c r="BD215"/>
  <c r="AM215"/>
  <c r="AY215"/>
  <c r="AP215"/>
  <c r="AG215"/>
  <c r="AU215"/>
  <c r="AQ215"/>
  <c r="AT215"/>
  <c r="AL215"/>
  <c r="AV215"/>
  <c r="AN215"/>
  <c r="AI215"/>
  <c r="AH215"/>
  <c r="AZ215"/>
  <c r="AW215"/>
  <c r="M63" i="10"/>
  <c r="K26" i="16" s="1"/>
  <c r="M48" i="10"/>
  <c r="K11" i="16" s="1"/>
  <c r="P54" i="10"/>
  <c r="N17" i="16" s="1"/>
  <c r="P69" i="10"/>
  <c r="N32" i="16" s="1"/>
  <c r="D74" i="10"/>
  <c r="B37" i="16" s="1"/>
  <c r="D59" i="10"/>
  <c r="B22" i="16" s="1"/>
  <c r="AL39" i="2"/>
  <c r="AM39" s="1"/>
  <c r="X22"/>
  <c r="Y12"/>
  <c r="AK12" s="1"/>
  <c r="D47" i="10"/>
  <c r="B10" i="16" s="1"/>
  <c r="D54" i="10"/>
  <c r="B17" i="16" s="1"/>
  <c r="R57" i="10"/>
  <c r="D61"/>
  <c r="B24" i="16" s="1"/>
  <c r="AH35" i="2"/>
  <c r="AG29"/>
  <c r="AB30"/>
  <c r="M49" i="10"/>
  <c r="K12" i="16" s="1"/>
  <c r="N68" i="10"/>
  <c r="L31" i="16" s="1"/>
  <c r="R69" i="10"/>
  <c r="C68"/>
  <c r="A31" i="16" s="1"/>
  <c r="C19" i="10"/>
  <c r="C58"/>
  <c r="A21" i="16" s="1"/>
  <c r="AH27" i="2"/>
  <c r="AG27"/>
  <c r="B14" i="3"/>
  <c r="C13" i="10"/>
  <c r="H56"/>
  <c r="F19" i="16" s="1"/>
  <c r="H71" i="10"/>
  <c r="F34" i="16" s="1"/>
  <c r="R56" i="10"/>
  <c r="R71"/>
  <c r="BB189" i="34"/>
  <c r="AK189"/>
  <c r="AF189"/>
  <c r="AQ189"/>
  <c r="BD189"/>
  <c r="AV189"/>
  <c r="AN189"/>
  <c r="AM189"/>
  <c r="AW189"/>
  <c r="AJ189"/>
  <c r="AI189"/>
  <c r="AS189"/>
  <c r="AU189"/>
  <c r="BC189"/>
  <c r="F189"/>
  <c r="AG189"/>
  <c r="AP189"/>
  <c r="BA189"/>
  <c r="AZ189"/>
  <c r="AL189"/>
  <c r="AT189"/>
  <c r="AY189"/>
  <c r="AH189"/>
  <c r="BD201"/>
  <c r="AK201"/>
  <c r="BB201"/>
  <c r="AQ201"/>
  <c r="BC201"/>
  <c r="BA201"/>
  <c r="AI201"/>
  <c r="AM201"/>
  <c r="AT201"/>
  <c r="AX201"/>
  <c r="AH201"/>
  <c r="AY201"/>
  <c r="AV201"/>
  <c r="AN201"/>
  <c r="AS201"/>
  <c r="AU201"/>
  <c r="AW201"/>
  <c r="AO201"/>
  <c r="F201"/>
  <c r="AG201"/>
  <c r="AP201"/>
  <c r="AJ201"/>
  <c r="AZ201"/>
  <c r="AL201"/>
  <c r="AF201"/>
  <c r="G74" i="24"/>
  <c r="H74" s="1"/>
  <c r="I74"/>
  <c r="J74" s="1"/>
  <c r="I101"/>
  <c r="J101" s="1"/>
  <c r="K101"/>
  <c r="J65" i="10"/>
  <c r="H28" i="16" s="1"/>
  <c r="J50" i="10"/>
  <c r="H13" i="16" s="1"/>
  <c r="H72" i="10"/>
  <c r="F35" i="16" s="1"/>
  <c r="H57" i="10"/>
  <c r="F20" i="16" s="1"/>
  <c r="Y15" i="2"/>
  <c r="AK15" s="1"/>
  <c r="T15"/>
  <c r="AJ15" s="1"/>
  <c r="AH13"/>
  <c r="AG13"/>
  <c r="H46" i="10"/>
  <c r="F9" i="16" s="1"/>
  <c r="H61" i="10"/>
  <c r="F24" i="16" s="1"/>
  <c r="D48" i="10"/>
  <c r="B11" i="16" s="1"/>
  <c r="D63" i="10"/>
  <c r="B26" i="16" s="1"/>
  <c r="D53" i="10"/>
  <c r="B16" i="16" s="1"/>
  <c r="D68" i="10"/>
  <c r="B31" i="16" s="1"/>
  <c r="J57" i="10"/>
  <c r="H20" i="16" s="1"/>
  <c r="J72" i="10"/>
  <c r="H35" i="16" s="1"/>
  <c r="I79" i="24"/>
  <c r="J79" s="1"/>
  <c r="C74" i="10"/>
  <c r="A37" i="16" s="1"/>
  <c r="AH39" i="2"/>
  <c r="AH34"/>
  <c r="AL19"/>
  <c r="AM19" s="1"/>
  <c r="Y17"/>
  <c r="AK17" s="1"/>
  <c r="AL17" s="1"/>
  <c r="AM17" s="1"/>
  <c r="X11"/>
  <c r="Y11" s="1"/>
  <c r="AK11" s="1"/>
  <c r="K95" i="24"/>
  <c r="K76"/>
  <c r="AB34" i="2"/>
  <c r="P59" i="10"/>
  <c r="N22" i="16" s="1"/>
  <c r="M53" i="10"/>
  <c r="K16" i="16" s="1"/>
  <c r="N58" i="10"/>
  <c r="L21" i="16" s="1"/>
  <c r="M74" i="10"/>
  <c r="K37" i="16" s="1"/>
  <c r="I58" i="10"/>
  <c r="P58"/>
  <c r="N21" i="16" s="1"/>
  <c r="C63" i="10"/>
  <c r="A26" i="16" s="1"/>
  <c r="D12" i="10"/>
  <c r="C17"/>
  <c r="B15" i="3"/>
  <c r="AB32" i="2"/>
  <c r="AH23"/>
  <c r="AG17"/>
  <c r="X18"/>
  <c r="Y13"/>
  <c r="AK13" s="1"/>
  <c r="AB12"/>
  <c r="G84" i="24"/>
  <c r="H84" s="1"/>
  <c r="K94"/>
  <c r="K85"/>
  <c r="D51" i="10"/>
  <c r="B14" i="16" s="1"/>
  <c r="H66" i="10"/>
  <c r="F29" i="16" s="1"/>
  <c r="H67" i="10"/>
  <c r="F30" i="16" s="1"/>
  <c r="N63" i="10"/>
  <c r="L26" i="16" s="1"/>
  <c r="J56" i="10"/>
  <c r="H19" i="16" s="1"/>
  <c r="H49" i="10"/>
  <c r="F12" i="16" s="1"/>
  <c r="P61" i="10"/>
  <c r="N24" i="16" s="1"/>
  <c r="I55" i="10"/>
  <c r="R63"/>
  <c r="D64"/>
  <c r="B27" i="16" s="1"/>
  <c r="D67" i="10"/>
  <c r="B30" i="16" s="1"/>
  <c r="C69" i="10"/>
  <c r="A32" i="16" s="1"/>
  <c r="AX189" i="34"/>
  <c r="BA24"/>
  <c r="AT24"/>
  <c r="AQ24"/>
  <c r="F24"/>
  <c r="BB24"/>
  <c r="AI24"/>
  <c r="AZ24"/>
  <c r="AU24"/>
  <c r="AO24"/>
  <c r="AS24"/>
  <c r="F72"/>
  <c r="AI72"/>
  <c r="AN72"/>
  <c r="BB72"/>
  <c r="AT72"/>
  <c r="AG72"/>
  <c r="AJ72"/>
  <c r="AM72"/>
  <c r="AF72"/>
  <c r="AU72"/>
  <c r="AZ72"/>
  <c r="BC72"/>
  <c r="BA72"/>
  <c r="AW72"/>
  <c r="AP72"/>
  <c r="BD72"/>
  <c r="AV72"/>
  <c r="AQ72"/>
  <c r="AL72"/>
  <c r="BD100"/>
  <c r="BC100"/>
  <c r="AZ100"/>
  <c r="AF100"/>
  <c r="AJ100"/>
  <c r="AI100"/>
  <c r="AG100"/>
  <c r="AX100"/>
  <c r="AP100"/>
  <c r="AM100"/>
  <c r="AS100"/>
  <c r="AT100"/>
  <c r="AL100"/>
  <c r="F100"/>
  <c r="AW100"/>
  <c r="AO100"/>
  <c r="AH100"/>
  <c r="AY100"/>
  <c r="AN163"/>
  <c r="BA163"/>
  <c r="AQ163"/>
  <c r="AF163"/>
  <c r="BB163"/>
  <c r="AX163"/>
  <c r="AY163"/>
  <c r="AJ163"/>
  <c r="AU163"/>
  <c r="AM163"/>
  <c r="BD163"/>
  <c r="AW163"/>
  <c r="AS163"/>
  <c r="AV163"/>
  <c r="AG163"/>
  <c r="AI163"/>
  <c r="AP163"/>
  <c r="F163"/>
  <c r="AK163"/>
  <c r="BC163"/>
  <c r="AH163"/>
  <c r="AH173"/>
  <c r="AU173"/>
  <c r="BA173"/>
  <c r="AT173"/>
  <c r="AO173"/>
  <c r="AI173"/>
  <c r="AZ173"/>
  <c r="AP173"/>
  <c r="AL173"/>
  <c r="AM173"/>
  <c r="AF173"/>
  <c r="AG173"/>
  <c r="F173"/>
  <c r="BD173"/>
  <c r="BB173"/>
  <c r="BC173"/>
  <c r="AN173"/>
  <c r="AV173"/>
  <c r="AW173"/>
  <c r="AX173"/>
  <c r="AY173"/>
  <c r="BA32"/>
  <c r="AO32"/>
  <c r="F32"/>
  <c r="AG32"/>
  <c r="AX32"/>
  <c r="AQ32"/>
  <c r="AU32"/>
  <c r="AJ32"/>
  <c r="AM62"/>
  <c r="AV62"/>
  <c r="AW62"/>
  <c r="AF62"/>
  <c r="AO62"/>
  <c r="AL62"/>
  <c r="AI62"/>
  <c r="BA62"/>
  <c r="AJ62"/>
  <c r="AT62"/>
  <c r="BD62"/>
  <c r="AY62"/>
  <c r="AN62"/>
  <c r="AX62"/>
  <c r="AG62"/>
  <c r="BC62"/>
  <c r="AZ62"/>
  <c r="AP62"/>
  <c r="AV100"/>
  <c r="A39"/>
  <c r="AJ173"/>
  <c r="AO163"/>
  <c r="K88" i="24"/>
  <c r="I88"/>
  <c r="J88" s="1"/>
  <c r="I78"/>
  <c r="J78" s="1"/>
  <c r="K78"/>
  <c r="K80"/>
  <c r="G80"/>
  <c r="H80" s="1"/>
  <c r="BB5" i="34"/>
  <c r="AQ5"/>
  <c r="AW5"/>
  <c r="BD5"/>
  <c r="AS5"/>
  <c r="AP5"/>
  <c r="AT5"/>
  <c r="BC9"/>
  <c r="AZ9"/>
  <c r="AW9"/>
  <c r="AV9"/>
  <c r="AK9"/>
  <c r="BB9"/>
  <c r="AU9"/>
  <c r="BC13"/>
  <c r="F13"/>
  <c r="AM13"/>
  <c r="AV13"/>
  <c r="AS13"/>
  <c r="AQ13"/>
  <c r="AN13"/>
  <c r="AO13"/>
  <c r="AH13"/>
  <c r="AY13"/>
  <c r="BC17"/>
  <c r="F17"/>
  <c r="AJ17"/>
  <c r="AI17"/>
  <c r="AN17"/>
  <c r="AT17"/>
  <c r="AL17"/>
  <c r="AF40"/>
  <c r="AW40"/>
  <c r="AM40"/>
  <c r="BD40"/>
  <c r="AU40"/>
  <c r="AG40"/>
  <c r="AX40"/>
  <c r="BB40"/>
  <c r="F40"/>
  <c r="AN40"/>
  <c r="AV40"/>
  <c r="AL40"/>
  <c r="BC40"/>
  <c r="AO40"/>
  <c r="F45"/>
  <c r="AZ45"/>
  <c r="BA45"/>
  <c r="AM45"/>
  <c r="AI45"/>
  <c r="AG45"/>
  <c r="AK45"/>
  <c r="AL45"/>
  <c r="BC45"/>
  <c r="AS45"/>
  <c r="BD45"/>
  <c r="BB45"/>
  <c r="AU45"/>
  <c r="AJ45"/>
  <c r="Y27" i="2"/>
  <c r="AK27" s="1"/>
  <c r="AL27" s="1"/>
  <c r="AM27" s="1"/>
  <c r="AB36"/>
  <c r="B10" i="3"/>
  <c r="E19" i="30"/>
  <c r="A7" i="34"/>
  <c r="A11"/>
  <c r="A15"/>
  <c r="A19"/>
  <c r="BC75"/>
  <c r="AL75"/>
  <c r="AX75"/>
  <c r="BB77"/>
  <c r="AZ77"/>
  <c r="BB91"/>
  <c r="AS91"/>
  <c r="AX91"/>
  <c r="AV166"/>
  <c r="AN166"/>
  <c r="AO166"/>
  <c r="AQ166"/>
  <c r="AH166"/>
  <c r="AJ166"/>
  <c r="AL166"/>
  <c r="BB166"/>
  <c r="AG166"/>
  <c r="AH176"/>
  <c r="AM176"/>
  <c r="BD176"/>
  <c r="AS176"/>
  <c r="AL176"/>
  <c r="AG176"/>
  <c r="AP176"/>
  <c r="AI176"/>
  <c r="AZ176"/>
  <c r="AN176"/>
  <c r="BB192"/>
  <c r="AH192"/>
  <c r="AL192"/>
  <c r="AP192"/>
  <c r="AL206"/>
  <c r="AP206"/>
  <c r="AY206"/>
  <c r="AT206"/>
  <c r="AQ206"/>
  <c r="AG206"/>
  <c r="AS220"/>
  <c r="BA220"/>
  <c r="BC220"/>
  <c r="BB220"/>
  <c r="AK220"/>
  <c r="AV220"/>
  <c r="AX220"/>
  <c r="AO220"/>
  <c r="F220"/>
  <c r="AX236"/>
  <c r="F236"/>
  <c r="AI236"/>
  <c r="AQ236"/>
  <c r="AK236"/>
  <c r="BD236"/>
  <c r="AO236"/>
  <c r="A27"/>
  <c r="F31"/>
  <c r="A51"/>
  <c r="A55"/>
  <c r="A59"/>
  <c r="A207"/>
  <c r="A219"/>
  <c r="A223"/>
  <c r="A227"/>
  <c r="BB56"/>
  <c r="AK56"/>
  <c r="AS56"/>
  <c r="AM56"/>
  <c r="BC56"/>
  <c r="AS64"/>
  <c r="BA64"/>
  <c r="AX64"/>
  <c r="BC80"/>
  <c r="AJ80"/>
  <c r="AO80"/>
  <c r="BD80"/>
  <c r="AN147"/>
  <c r="BA147"/>
  <c r="AQ147"/>
  <c r="AF147"/>
  <c r="BB147"/>
  <c r="AX147"/>
  <c r="AY147"/>
  <c r="AJ147"/>
  <c r="AU147"/>
  <c r="AM147"/>
  <c r="BD147"/>
  <c r="AW147"/>
  <c r="AS147"/>
  <c r="AH157"/>
  <c r="AU157"/>
  <c r="BA157"/>
  <c r="AM157"/>
  <c r="BD157"/>
  <c r="AW157"/>
  <c r="AS157"/>
  <c r="AT157"/>
  <c r="AO157"/>
  <c r="AI157"/>
  <c r="AZ157"/>
  <c r="AP157"/>
  <c r="AL157"/>
  <c r="AG179"/>
  <c r="AX179"/>
  <c r="AP179"/>
  <c r="AO179"/>
  <c r="AL179"/>
  <c r="AU179"/>
  <c r="AM179"/>
  <c r="BD179"/>
  <c r="AS179"/>
  <c r="BB179"/>
  <c r="AQ195"/>
  <c r="AT195"/>
  <c r="AX195"/>
  <c r="BC195"/>
  <c r="AG195"/>
  <c r="AM195"/>
  <c r="F195"/>
  <c r="AV195"/>
  <c r="AP209"/>
  <c r="AY209"/>
  <c r="BD209"/>
  <c r="AF209"/>
  <c r="AL209"/>
  <c r="BA225"/>
  <c r="AJ225"/>
  <c r="BD225"/>
  <c r="AF225"/>
  <c r="AS225"/>
  <c r="A3"/>
  <c r="A23"/>
  <c r="A31"/>
  <c r="A147"/>
  <c r="A143"/>
  <c r="A139"/>
  <c r="AJ157"/>
  <c r="AO147"/>
  <c r="A183"/>
  <c r="BB44"/>
  <c r="F44"/>
  <c r="AO49"/>
  <c r="F49"/>
  <c r="AX60"/>
  <c r="BA60"/>
  <c r="AU67"/>
  <c r="AH67"/>
  <c r="AW69"/>
  <c r="F69"/>
  <c r="AZ83"/>
  <c r="AQ83"/>
  <c r="AO85"/>
  <c r="AZ85"/>
  <c r="BC97"/>
  <c r="AM97"/>
  <c r="AM109"/>
  <c r="AV109"/>
  <c r="AM140"/>
  <c r="BD140"/>
  <c r="AY140"/>
  <c r="BA140"/>
  <c r="BC140"/>
  <c r="AI140"/>
  <c r="AZ140"/>
  <c r="AT140"/>
  <c r="AU140"/>
  <c r="AK140"/>
  <c r="AL140"/>
  <c r="BB140"/>
  <c r="AI150"/>
  <c r="AZ150"/>
  <c r="AT150"/>
  <c r="AU150"/>
  <c r="AV150"/>
  <c r="AN150"/>
  <c r="AO150"/>
  <c r="AL150"/>
  <c r="AP150"/>
  <c r="AG150"/>
  <c r="AW160"/>
  <c r="AS160"/>
  <c r="AM160"/>
  <c r="BD160"/>
  <c r="AY160"/>
  <c r="BA160"/>
  <c r="AG160"/>
  <c r="BC160"/>
  <c r="AI160"/>
  <c r="AZ160"/>
  <c r="AT160"/>
  <c r="AU160"/>
  <c r="AP160"/>
  <c r="BC186"/>
  <c r="AS186"/>
  <c r="AW186"/>
  <c r="BC198"/>
  <c r="F198"/>
  <c r="AM198"/>
  <c r="AS198"/>
  <c r="AW198"/>
  <c r="AL198"/>
  <c r="AH198"/>
  <c r="AF198"/>
  <c r="AW212"/>
  <c r="AF212"/>
  <c r="BD212"/>
  <c r="AG212"/>
  <c r="AO212"/>
  <c r="BB212"/>
  <c r="BC212"/>
  <c r="AI212"/>
  <c r="F239"/>
  <c r="AT239"/>
  <c r="BD239"/>
  <c r="AM239"/>
  <c r="AS239"/>
  <c r="AX239"/>
  <c r="AU239"/>
  <c r="BA20"/>
  <c r="BA56"/>
  <c r="AM64"/>
  <c r="AV80"/>
  <c r="A66"/>
  <c r="A70"/>
  <c r="A74"/>
  <c r="A78"/>
  <c r="A82"/>
  <c r="AJ158"/>
  <c r="AN158"/>
  <c r="F35"/>
  <c r="A43"/>
  <c r="AQ99"/>
  <c r="A118"/>
  <c r="A167"/>
  <c r="A163"/>
  <c r="A159"/>
  <c r="A155"/>
  <c r="A151"/>
  <c r="BB182"/>
  <c r="AT182"/>
  <c r="AK182"/>
  <c r="AX181"/>
  <c r="AG181"/>
  <c r="AX180"/>
  <c r="AO180"/>
  <c r="AX177"/>
  <c r="AO175"/>
  <c r="AY171"/>
  <c r="AT169"/>
  <c r="AT165"/>
  <c r="AY159"/>
  <c r="AY155"/>
  <c r="AT153"/>
  <c r="AT149"/>
  <c r="AT145"/>
  <c r="AY143"/>
  <c r="AY139"/>
  <c r="BA185"/>
  <c r="A203"/>
  <c r="A239"/>
  <c r="A35"/>
  <c r="A47"/>
  <c r="A86"/>
  <c r="A90"/>
  <c r="A94"/>
  <c r="A98"/>
  <c r="A102"/>
  <c r="A106"/>
  <c r="A110"/>
  <c r="A114"/>
  <c r="A123"/>
  <c r="A135"/>
  <c r="A131"/>
  <c r="A127"/>
  <c r="A179"/>
  <c r="A175"/>
  <c r="A171"/>
  <c r="AY181"/>
  <c r="AH181"/>
  <c r="BA171"/>
  <c r="AU165"/>
  <c r="BA155"/>
  <c r="AU149"/>
  <c r="AU145"/>
  <c r="BA143"/>
  <c r="BA139"/>
  <c r="A199"/>
  <c r="A215"/>
  <c r="A235"/>
  <c r="AJ139"/>
  <c r="AO145"/>
  <c r="AO149"/>
  <c r="AJ155"/>
  <c r="AO165"/>
  <c r="AJ171"/>
  <c r="AL181"/>
  <c r="AX182"/>
  <c r="AO182"/>
  <c r="AX175"/>
  <c r="A187"/>
  <c r="A191"/>
  <c r="A195"/>
  <c r="A211"/>
  <c r="A231"/>
  <c r="E92"/>
  <c r="E94"/>
  <c r="P59" i="18"/>
  <c r="G59"/>
  <c r="U59" i="31"/>
  <c r="U32" i="17"/>
  <c r="G59" i="31"/>
  <c r="D68" i="18"/>
  <c r="W32" i="29"/>
  <c r="H32"/>
  <c r="G32"/>
  <c r="R59" i="18"/>
  <c r="P32" i="29"/>
  <c r="O32"/>
  <c r="E96" i="34"/>
  <c r="E69"/>
  <c r="I59" i="18"/>
  <c r="T59"/>
  <c r="N59"/>
  <c r="D59"/>
  <c r="C45"/>
  <c r="E59"/>
  <c r="F59"/>
  <c r="O59"/>
  <c r="E111" i="34"/>
  <c r="E39"/>
  <c r="E68"/>
  <c r="E113"/>
  <c r="E49"/>
  <c r="E86"/>
  <c r="E6"/>
  <c r="E16"/>
  <c r="E42"/>
  <c r="C46" i="18"/>
  <c r="V59"/>
  <c r="U59"/>
  <c r="L59"/>
  <c r="F32" i="29"/>
  <c r="V59" i="31"/>
  <c r="E95" i="34"/>
  <c r="E112"/>
  <c r="E48"/>
  <c r="E97"/>
  <c r="E118"/>
  <c r="E70"/>
  <c r="C43" i="18"/>
  <c r="W59"/>
  <c r="J59"/>
  <c r="S59"/>
  <c r="X59"/>
  <c r="L32" i="29"/>
  <c r="S32"/>
  <c r="A31"/>
  <c r="E32"/>
  <c r="V32"/>
  <c r="C46" i="31"/>
  <c r="W59"/>
  <c r="E107" i="34"/>
  <c r="E71"/>
  <c r="E116"/>
  <c r="E80"/>
  <c r="E141"/>
  <c r="E93"/>
  <c r="E158"/>
  <c r="E90"/>
  <c r="U32" i="29"/>
  <c r="E140" i="34"/>
  <c r="T32" i="29"/>
  <c r="K32"/>
  <c r="M32"/>
  <c r="E159" i="34"/>
  <c r="E144"/>
  <c r="I98" i="24"/>
  <c r="J98" s="1"/>
  <c r="I97"/>
  <c r="J97" s="1"/>
  <c r="I80"/>
  <c r="J80" s="1"/>
  <c r="Z33" i="2"/>
  <c r="Z15"/>
  <c r="G92" i="24"/>
  <c r="H92" s="1"/>
  <c r="K82"/>
  <c r="Z12" i="2"/>
  <c r="K99" i="24"/>
  <c r="I92"/>
  <c r="J92" s="1"/>
  <c r="G78"/>
  <c r="H78" s="1"/>
  <c r="G79"/>
  <c r="H79" s="1"/>
  <c r="Z38" i="2"/>
  <c r="Z36"/>
  <c r="Z28"/>
  <c r="Z26"/>
  <c r="Z18"/>
  <c r="Z16"/>
  <c r="Z14"/>
  <c r="I99" i="24"/>
  <c r="J99" s="1"/>
  <c r="G100"/>
  <c r="H100" s="1"/>
  <c r="I77"/>
  <c r="J77" s="1"/>
  <c r="I89"/>
  <c r="J89" s="1"/>
  <c r="I100"/>
  <c r="J100" s="1"/>
  <c r="K96"/>
  <c r="Z31" i="2"/>
  <c r="Z30"/>
  <c r="Z29"/>
  <c r="Z23"/>
  <c r="Z22"/>
  <c r="Z21"/>
  <c r="Z10"/>
  <c r="K77" i="24"/>
  <c r="K75"/>
  <c r="G94"/>
  <c r="H94" s="1"/>
  <c r="G98"/>
  <c r="H98" s="1"/>
  <c r="I96"/>
  <c r="J96" s="1"/>
  <c r="Z39" i="2"/>
  <c r="Z34"/>
  <c r="Z27"/>
  <c r="Z20"/>
  <c r="Z17"/>
  <c r="Z13"/>
  <c r="G101" i="24"/>
  <c r="H101" s="1"/>
  <c r="Z35" i="2"/>
  <c r="Z24"/>
  <c r="Z11"/>
  <c r="G95" i="24"/>
  <c r="H95" s="1"/>
  <c r="K74"/>
  <c r="G85"/>
  <c r="H85" s="1"/>
  <c r="G102"/>
  <c r="H102" s="1"/>
  <c r="I102"/>
  <c r="J102" s="1"/>
  <c r="I59" i="31"/>
  <c r="N59"/>
  <c r="L59"/>
  <c r="C43"/>
  <c r="F26" s="1"/>
  <c r="R59"/>
  <c r="O59"/>
  <c r="E227" i="34"/>
  <c r="S32" i="17"/>
  <c r="Q32"/>
  <c r="C44" i="18"/>
  <c r="K59"/>
  <c r="T32" i="17"/>
  <c r="Q59" i="18"/>
  <c r="P32" i="17"/>
  <c r="H59" i="18"/>
  <c r="M59"/>
  <c r="V32" i="17"/>
  <c r="A31"/>
  <c r="N32" i="29"/>
  <c r="C45" i="31"/>
  <c r="P59"/>
  <c r="D59"/>
  <c r="F59"/>
  <c r="D68"/>
  <c r="M59"/>
  <c r="K59"/>
  <c r="E240" i="34"/>
  <c r="E181"/>
  <c r="E61"/>
  <c r="E154"/>
  <c r="E38"/>
  <c r="C44" i="31"/>
  <c r="T59"/>
  <c r="Q59"/>
  <c r="X59"/>
  <c r="S59"/>
  <c r="E51" i="34"/>
  <c r="E28"/>
  <c r="E29"/>
  <c r="C52" i="18"/>
  <c r="C54" i="31"/>
  <c r="C52"/>
  <c r="C53"/>
  <c r="E223" i="34"/>
  <c r="E220"/>
  <c r="E189"/>
  <c r="E139"/>
  <c r="E180"/>
  <c r="E124"/>
  <c r="E161"/>
  <c r="E138"/>
  <c r="C53" i="18"/>
  <c r="C51"/>
  <c r="E123" i="34"/>
  <c r="E164"/>
  <c r="E145"/>
  <c r="X32" i="29"/>
  <c r="I32"/>
  <c r="Q32"/>
  <c r="J32"/>
  <c r="E91" i="34"/>
  <c r="E63"/>
  <c r="E100"/>
  <c r="E76"/>
  <c r="E101"/>
  <c r="E77"/>
  <c r="E106"/>
  <c r="E74"/>
  <c r="F32" i="17"/>
  <c r="E32"/>
  <c r="N32"/>
  <c r="O32"/>
  <c r="I32"/>
  <c r="L32"/>
  <c r="M32"/>
  <c r="G32"/>
  <c r="E19" i="34"/>
  <c r="E60"/>
  <c r="E17"/>
  <c r="X32" i="17"/>
  <c r="H32"/>
  <c r="K32"/>
  <c r="W32"/>
  <c r="J32"/>
  <c r="E198" i="34"/>
  <c r="E209"/>
  <c r="E204"/>
  <c r="E236"/>
  <c r="E211"/>
  <c r="E186"/>
  <c r="E230"/>
  <c r="E205"/>
  <c r="E241"/>
  <c r="E192"/>
  <c r="E224"/>
  <c r="E207"/>
  <c r="E179"/>
  <c r="E126"/>
  <c r="E150"/>
  <c r="E170"/>
  <c r="E133"/>
  <c r="E157"/>
  <c r="E177"/>
  <c r="E132"/>
  <c r="E156"/>
  <c r="E176"/>
  <c r="E131"/>
  <c r="E155"/>
  <c r="E175"/>
  <c r="E142"/>
  <c r="E166"/>
  <c r="E129"/>
  <c r="E149"/>
  <c r="E173"/>
  <c r="E128"/>
  <c r="E148"/>
  <c r="E172"/>
  <c r="E127"/>
  <c r="E147"/>
  <c r="E171"/>
  <c r="E191"/>
  <c r="E188"/>
  <c r="E221"/>
  <c r="E218"/>
  <c r="E7"/>
  <c r="E26"/>
  <c r="E58"/>
  <c r="E13"/>
  <c r="E45"/>
  <c r="E12"/>
  <c r="E44"/>
  <c r="E35"/>
  <c r="E59"/>
  <c r="E9"/>
  <c r="E22"/>
  <c r="E54"/>
  <c r="E33"/>
  <c r="E32"/>
  <c r="E23"/>
  <c r="E55"/>
  <c r="E195"/>
  <c r="E143"/>
  <c r="E208"/>
  <c r="E160"/>
  <c r="E237"/>
  <c r="E165"/>
  <c r="E125"/>
  <c r="E174"/>
  <c r="E134"/>
  <c r="E103"/>
  <c r="E79"/>
  <c r="E108"/>
  <c r="E84"/>
  <c r="E64"/>
  <c r="E109"/>
  <c r="E85"/>
  <c r="E65"/>
  <c r="E122"/>
  <c r="E102"/>
  <c r="E78"/>
  <c r="G24" i="31"/>
  <c r="G17" i="34"/>
  <c r="G88"/>
  <c r="G106"/>
  <c r="G176"/>
  <c r="G139"/>
  <c r="G132"/>
  <c r="G130"/>
  <c r="G3"/>
  <c r="G66"/>
  <c r="G73"/>
  <c r="G95"/>
  <c r="G97"/>
  <c r="G100"/>
  <c r="G102"/>
  <c r="G104"/>
  <c r="G178"/>
  <c r="G160"/>
  <c r="G125"/>
  <c r="G58"/>
  <c r="G20"/>
  <c r="G78"/>
  <c r="G79"/>
  <c r="G82"/>
  <c r="G150"/>
  <c r="G145"/>
  <c r="G141"/>
  <c r="G56"/>
  <c r="G24"/>
  <c r="G80"/>
  <c r="G107"/>
  <c r="G177"/>
  <c r="G175"/>
  <c r="G162"/>
  <c r="G151"/>
  <c r="G144"/>
  <c r="G142"/>
  <c r="G48"/>
  <c r="G65"/>
  <c r="G77"/>
  <c r="G84"/>
  <c r="G94"/>
  <c r="G96"/>
  <c r="G99"/>
  <c r="G101"/>
  <c r="G168"/>
  <c r="G161"/>
  <c r="G159"/>
  <c r="G157"/>
  <c r="G148"/>
  <c r="G146"/>
  <c r="G137"/>
  <c r="G126"/>
  <c r="G10"/>
  <c r="G87"/>
  <c r="G90"/>
  <c r="G47"/>
  <c r="G23"/>
  <c r="G113"/>
  <c r="G117"/>
  <c r="G61"/>
  <c r="G53"/>
  <c r="G29"/>
  <c r="G21"/>
  <c r="G110"/>
  <c r="G114"/>
  <c r="G118"/>
  <c r="G122"/>
  <c r="G123"/>
  <c r="G71"/>
  <c r="G55"/>
  <c r="G31"/>
  <c r="G68"/>
  <c r="G76"/>
  <c r="G109"/>
  <c r="G121"/>
  <c r="G64"/>
  <c r="G72"/>
  <c r="G59"/>
  <c r="G35"/>
  <c r="G19"/>
  <c r="G115"/>
  <c r="G51"/>
  <c r="G43"/>
  <c r="G27"/>
  <c r="G111"/>
  <c r="G119"/>
  <c r="G57"/>
  <c r="G49"/>
  <c r="G33"/>
  <c r="G25"/>
  <c r="G112"/>
  <c r="G116"/>
  <c r="G120"/>
  <c r="E194"/>
  <c r="E210"/>
  <c r="E226"/>
  <c r="E242"/>
  <c r="E185"/>
  <c r="E201"/>
  <c r="E217"/>
  <c r="E233"/>
  <c r="E184"/>
  <c r="E200"/>
  <c r="E216"/>
  <c r="E232"/>
  <c r="E187"/>
  <c r="E203"/>
  <c r="E219"/>
  <c r="E235"/>
  <c r="E190"/>
  <c r="E206"/>
  <c r="E222"/>
  <c r="E238"/>
  <c r="E197"/>
  <c r="E213"/>
  <c r="E229"/>
  <c r="E196"/>
  <c r="E212"/>
  <c r="E228"/>
  <c r="E183"/>
  <c r="E199"/>
  <c r="E215"/>
  <c r="E231"/>
  <c r="E3"/>
  <c r="E18"/>
  <c r="E34"/>
  <c r="E50"/>
  <c r="E25"/>
  <c r="E41"/>
  <c r="E57"/>
  <c r="E8"/>
  <c r="E24"/>
  <c r="E40"/>
  <c r="E56"/>
  <c r="E15"/>
  <c r="E31"/>
  <c r="E47"/>
  <c r="E5"/>
  <c r="E14"/>
  <c r="E30"/>
  <c r="E46"/>
  <c r="E62"/>
  <c r="E21"/>
  <c r="E37"/>
  <c r="E53"/>
  <c r="E4"/>
  <c r="E20"/>
  <c r="E36"/>
  <c r="E52"/>
  <c r="E11"/>
  <c r="E27"/>
  <c r="E43"/>
  <c r="E225"/>
  <c r="E193"/>
  <c r="E234"/>
  <c r="E202"/>
  <c r="E239"/>
  <c r="H26" i="31"/>
  <c r="E167" i="34"/>
  <c r="E151"/>
  <c r="E135"/>
  <c r="E115"/>
  <c r="E99"/>
  <c r="E83"/>
  <c r="E67"/>
  <c r="E168"/>
  <c r="E152"/>
  <c r="E136"/>
  <c r="E120"/>
  <c r="E104"/>
  <c r="E88"/>
  <c r="E72"/>
  <c r="E169"/>
  <c r="E153"/>
  <c r="E137"/>
  <c r="E121"/>
  <c r="E105"/>
  <c r="E89"/>
  <c r="E73"/>
  <c r="E178"/>
  <c r="E162"/>
  <c r="E146"/>
  <c r="E130"/>
  <c r="E114"/>
  <c r="E98"/>
  <c r="E82"/>
  <c r="E66"/>
  <c r="AP38" i="2" l="1"/>
  <c r="BF38" s="1"/>
  <c r="AP37"/>
  <c r="AL35"/>
  <c r="AM35" s="1"/>
  <c r="AL36"/>
  <c r="AM36" s="1"/>
  <c r="AN36" s="1"/>
  <c r="AV36" s="1"/>
  <c r="AL13"/>
  <c r="AM13" s="1"/>
  <c r="AP13" s="1"/>
  <c r="AL21"/>
  <c r="AM21" s="1"/>
  <c r="AN16"/>
  <c r="AP16"/>
  <c r="BF16" s="1"/>
  <c r="Q14" i="3" s="1"/>
  <c r="Q13" i="10" s="1"/>
  <c r="AN20" i="2"/>
  <c r="AV20" s="1"/>
  <c r="G18" i="3" s="1"/>
  <c r="G17" i="10" s="1"/>
  <c r="AP20" i="2"/>
  <c r="AL29"/>
  <c r="AM29" s="1"/>
  <c r="AV24"/>
  <c r="G22" i="3" s="1"/>
  <c r="G21" i="10" s="1"/>
  <c r="G59" s="1"/>
  <c r="E22" i="16" s="1"/>
  <c r="AL33" i="2"/>
  <c r="AM33" s="1"/>
  <c r="AV38"/>
  <c r="AL15"/>
  <c r="AM15" s="1"/>
  <c r="AN15" s="1"/>
  <c r="AV15" s="1"/>
  <c r="G13" i="3" s="1"/>
  <c r="G12" i="10" s="1"/>
  <c r="G50" s="1"/>
  <c r="E13" i="16" s="1"/>
  <c r="AP24" i="2"/>
  <c r="AV31"/>
  <c r="AV16"/>
  <c r="G14" i="3" s="1"/>
  <c r="G13" i="10" s="1"/>
  <c r="G51" s="1"/>
  <c r="E14" i="16" s="1"/>
  <c r="AP23" i="2"/>
  <c r="BF23" s="1"/>
  <c r="Q21" i="3" s="1"/>
  <c r="Q20" i="10" s="1"/>
  <c r="AP36" i="2"/>
  <c r="BF36" s="1"/>
  <c r="AP28"/>
  <c r="BF28" s="1"/>
  <c r="AP31"/>
  <c r="BF31" s="1"/>
  <c r="AP34"/>
  <c r="BF34" s="1"/>
  <c r="AV23"/>
  <c r="G21" i="3" s="1"/>
  <c r="G20" i="10" s="1"/>
  <c r="G73" s="1"/>
  <c r="E36" i="16" s="1"/>
  <c r="AV28" i="2"/>
  <c r="AL11"/>
  <c r="AM11" s="1"/>
  <c r="AN11" s="1"/>
  <c r="AV11" s="1"/>
  <c r="G9" i="3" s="1"/>
  <c r="G8" i="10" s="1"/>
  <c r="AL12" i="2"/>
  <c r="AM12" s="1"/>
  <c r="AP12" s="1"/>
  <c r="AN18"/>
  <c r="AP18"/>
  <c r="AP11"/>
  <c r="AN13"/>
  <c r="AU34"/>
  <c r="AZ34"/>
  <c r="AT34"/>
  <c r="BA34"/>
  <c r="BF37"/>
  <c r="BA37"/>
  <c r="AV37"/>
  <c r="AU37"/>
  <c r="AT37"/>
  <c r="AZ37"/>
  <c r="AN27"/>
  <c r="AP27"/>
  <c r="C72" i="10"/>
  <c r="A35" i="16" s="1"/>
  <c r="C57" i="10"/>
  <c r="A20" i="16" s="1"/>
  <c r="AN30" i="2"/>
  <c r="AV30" s="1"/>
  <c r="AP30"/>
  <c r="AT28"/>
  <c r="BA28"/>
  <c r="AZ28"/>
  <c r="AU28"/>
  <c r="AN35"/>
  <c r="AV35" s="1"/>
  <c r="AP35"/>
  <c r="BA31"/>
  <c r="AU31"/>
  <c r="AZ31"/>
  <c r="AT31"/>
  <c r="AT24"/>
  <c r="E22" i="3" s="1"/>
  <c r="E21" i="10" s="1"/>
  <c r="BA24" i="2"/>
  <c r="L22" i="3" s="1"/>
  <c r="L21" i="10" s="1"/>
  <c r="BF24" i="2"/>
  <c r="Q22" i="3" s="1"/>
  <c r="Q21" i="10" s="1"/>
  <c r="AU24" i="2"/>
  <c r="F22" i="3" s="1"/>
  <c r="F21" i="10" s="1"/>
  <c r="AZ24" i="2"/>
  <c r="K22" i="3" s="1"/>
  <c r="K21" i="10" s="1"/>
  <c r="AN17" i="2"/>
  <c r="AV17" s="1"/>
  <c r="G15" i="3" s="1"/>
  <c r="G14" i="10" s="1"/>
  <c r="G52" s="1"/>
  <c r="E15" i="16" s="1"/>
  <c r="AP17" i="2"/>
  <c r="AU32"/>
  <c r="AT32"/>
  <c r="BA32"/>
  <c r="AZ32"/>
  <c r="BF32"/>
  <c r="AP19"/>
  <c r="AN19"/>
  <c r="C51" i="10"/>
  <c r="A14" i="16" s="1"/>
  <c r="C66" i="10"/>
  <c r="A29" i="16" s="1"/>
  <c r="AP39" i="2"/>
  <c r="AN39"/>
  <c r="AZ16"/>
  <c r="K14" i="3" s="1"/>
  <c r="K13" i="10" s="1"/>
  <c r="AU16" i="2"/>
  <c r="F14" i="3" s="1"/>
  <c r="F13" i="10" s="1"/>
  <c r="BA16" i="2"/>
  <c r="L14" i="3" s="1"/>
  <c r="L13" i="10" s="1"/>
  <c r="AT16" i="2"/>
  <c r="E14" i="3" s="1"/>
  <c r="E13" i="10" s="1"/>
  <c r="AT23" i="2"/>
  <c r="E21" i="3" s="1"/>
  <c r="E20" i="10" s="1"/>
  <c r="BA23" i="2"/>
  <c r="L21" i="3" s="1"/>
  <c r="L20" i="10" s="1"/>
  <c r="AZ23" i="2"/>
  <c r="K21" i="3" s="1"/>
  <c r="K20" i="10" s="1"/>
  <c r="AU23" i="2"/>
  <c r="F21" i="3" s="1"/>
  <c r="F20" i="10" s="1"/>
  <c r="AN14" i="2"/>
  <c r="AV14" s="1"/>
  <c r="G12" i="3" s="1"/>
  <c r="G11" i="10" s="1"/>
  <c r="G64" s="1"/>
  <c r="E27" i="16" s="1"/>
  <c r="AP14" i="2"/>
  <c r="AV34"/>
  <c r="C55" i="10"/>
  <c r="A18" i="16" s="1"/>
  <c r="C70" i="10"/>
  <c r="A33" i="16" s="1"/>
  <c r="AP10" i="2"/>
  <c r="AN10"/>
  <c r="AP22"/>
  <c r="AN22"/>
  <c r="AV22" s="1"/>
  <c r="G20" i="3" s="1"/>
  <c r="G19" i="10" s="1"/>
  <c r="G57" s="1"/>
  <c r="E20" i="16" s="1"/>
  <c r="D65" i="10"/>
  <c r="B28" i="16" s="1"/>
  <c r="D50" i="10"/>
  <c r="B13" i="16" s="1"/>
  <c r="AN26" i="2"/>
  <c r="AV26" s="1"/>
  <c r="AP26"/>
  <c r="AN25"/>
  <c r="AP25"/>
  <c r="AZ36"/>
  <c r="AT36"/>
  <c r="AU36"/>
  <c r="BA36"/>
  <c r="AU38"/>
  <c r="BA38"/>
  <c r="AT38"/>
  <c r="AZ38"/>
  <c r="AN29"/>
  <c r="AV29" s="1"/>
  <c r="AP29"/>
  <c r="AV39"/>
  <c r="L25" i="31"/>
  <c r="E25"/>
  <c r="H24"/>
  <c r="I26"/>
  <c r="J24"/>
  <c r="I24"/>
  <c r="L23"/>
  <c r="K26"/>
  <c r="E24"/>
  <c r="E26"/>
  <c r="E36" s="1"/>
  <c r="J23"/>
  <c r="H25"/>
  <c r="E23"/>
  <c r="E33" s="1"/>
  <c r="J25"/>
  <c r="I25"/>
  <c r="H23"/>
  <c r="L24"/>
  <c r="L26"/>
  <c r="F23"/>
  <c r="K23"/>
  <c r="J26"/>
  <c r="I23"/>
  <c r="G26"/>
  <c r="F25"/>
  <c r="G23"/>
  <c r="K25"/>
  <c r="G74" i="10"/>
  <c r="E37" i="16" s="1"/>
  <c r="F24" i="31"/>
  <c r="K24"/>
  <c r="G25"/>
  <c r="AN12" i="2" l="1"/>
  <c r="AZ12" s="1"/>
  <c r="K10" i="3" s="1"/>
  <c r="K9" i="10" s="1"/>
  <c r="G66"/>
  <c r="E29" i="16" s="1"/>
  <c r="AU20" i="2"/>
  <c r="F18" i="3" s="1"/>
  <c r="F17" i="10" s="1"/>
  <c r="AP21" i="2"/>
  <c r="AN21"/>
  <c r="G58" i="10"/>
  <c r="E21" i="16" s="1"/>
  <c r="BF20" i="2"/>
  <c r="Q18" i="3" s="1"/>
  <c r="Q17" i="10" s="1"/>
  <c r="G55"/>
  <c r="E18" i="16" s="1"/>
  <c r="G70" i="10"/>
  <c r="E33" i="16" s="1"/>
  <c r="BA20" i="2"/>
  <c r="L18" i="3" s="1"/>
  <c r="L17" i="10" s="1"/>
  <c r="L55" s="1"/>
  <c r="J18" i="16" s="1"/>
  <c r="AN33" i="2"/>
  <c r="AP33"/>
  <c r="AP15"/>
  <c r="BF15" s="1"/>
  <c r="Q13" i="3" s="1"/>
  <c r="Q12" i="10" s="1"/>
  <c r="AT20" i="2"/>
  <c r="E18" i="3" s="1"/>
  <c r="E17" i="10" s="1"/>
  <c r="E70" s="1"/>
  <c r="C33" i="16" s="1"/>
  <c r="AZ20" i="2"/>
  <c r="K18" i="3" s="1"/>
  <c r="K17" i="10" s="1"/>
  <c r="G46"/>
  <c r="E9" i="16" s="1"/>
  <c r="G61" i="10"/>
  <c r="E24" i="16" s="1"/>
  <c r="G65" i="10"/>
  <c r="E28" i="16" s="1"/>
  <c r="G72" i="10"/>
  <c r="E35" i="16" s="1"/>
  <c r="BA12" i="2"/>
  <c r="L10" i="3" s="1"/>
  <c r="L9" i="10" s="1"/>
  <c r="AT12" i="2"/>
  <c r="E10" i="3" s="1"/>
  <c r="E9" i="10" s="1"/>
  <c r="BA10" i="2"/>
  <c r="L8" i="3" s="1"/>
  <c r="L7" i="10" s="1"/>
  <c r="BF10" i="2"/>
  <c r="Q8" i="3" s="1"/>
  <c r="Q7" i="10" s="1"/>
  <c r="AT10" i="2"/>
  <c r="E8" i="3" s="1"/>
  <c r="E7" i="10" s="1"/>
  <c r="AU10" i="2"/>
  <c r="F8" i="3" s="1"/>
  <c r="F7" i="10" s="1"/>
  <c r="AZ10" i="2"/>
  <c r="K8" i="3" s="1"/>
  <c r="K7" i="10" s="1"/>
  <c r="BF14" i="2"/>
  <c r="Q12" i="3" s="1"/>
  <c r="Q11" i="10" s="1"/>
  <c r="AU14" i="2"/>
  <c r="F12" i="3" s="1"/>
  <c r="F11" i="10" s="1"/>
  <c r="BA14" i="2"/>
  <c r="L12" i="3" s="1"/>
  <c r="L11" i="10" s="1"/>
  <c r="AT14" i="2"/>
  <c r="E12" i="3" s="1"/>
  <c r="E11" i="10" s="1"/>
  <c r="AZ14" i="2"/>
  <c r="K12" i="3" s="1"/>
  <c r="K11" i="10" s="1"/>
  <c r="L73"/>
  <c r="J36" i="16" s="1"/>
  <c r="L58" i="10"/>
  <c r="J21" i="16" s="1"/>
  <c r="L66" i="10"/>
  <c r="J29" i="16" s="1"/>
  <c r="L51" i="10"/>
  <c r="J14" i="16" s="1"/>
  <c r="K59" i="10"/>
  <c r="I22" i="16" s="1"/>
  <c r="K74" i="10"/>
  <c r="I37" i="16" s="1"/>
  <c r="E74" i="10"/>
  <c r="C37" i="16" s="1"/>
  <c r="E59" i="10"/>
  <c r="C22" i="16" s="1"/>
  <c r="L70" i="10"/>
  <c r="J33" i="16" s="1"/>
  <c r="AZ13" i="2"/>
  <c r="K11" i="3" s="1"/>
  <c r="K10" i="10" s="1"/>
  <c r="BF13" i="2"/>
  <c r="Q11" i="3" s="1"/>
  <c r="Q10" i="10" s="1"/>
  <c r="BA13" i="2"/>
  <c r="L11" i="3" s="1"/>
  <c r="L10" i="10" s="1"/>
  <c r="AT13" i="2"/>
  <c r="E11" i="3" s="1"/>
  <c r="E10" i="10" s="1"/>
  <c r="AU13" i="2"/>
  <c r="F11" i="3" s="1"/>
  <c r="F10" i="10" s="1"/>
  <c r="AZ18" i="2"/>
  <c r="K16" i="3" s="1"/>
  <c r="K15" i="10" s="1"/>
  <c r="BF18" i="2"/>
  <c r="Q16" i="3" s="1"/>
  <c r="Q15" i="10" s="1"/>
  <c r="AT18" i="2"/>
  <c r="E16" i="3" s="1"/>
  <c r="E15" i="10" s="1"/>
  <c r="AU18" i="2"/>
  <c r="F16" i="3" s="1"/>
  <c r="F15" i="10" s="1"/>
  <c r="BA18" i="2"/>
  <c r="L16" i="3" s="1"/>
  <c r="L15" i="10" s="1"/>
  <c r="AT26" i="2"/>
  <c r="BA26"/>
  <c r="AZ26"/>
  <c r="BF26"/>
  <c r="AU26"/>
  <c r="Q58" i="10"/>
  <c r="O21" i="16" s="1"/>
  <c r="Q73" i="10"/>
  <c r="O36" i="16" s="1"/>
  <c r="Q66" i="10"/>
  <c r="O29" i="16" s="1"/>
  <c r="Q51" i="10"/>
  <c r="O14" i="16" s="1"/>
  <c r="AZ39" i="2"/>
  <c r="BF39"/>
  <c r="AT39"/>
  <c r="AU39"/>
  <c r="BA39"/>
  <c r="AT19"/>
  <c r="E17" i="3" s="1"/>
  <c r="E16" i="10" s="1"/>
  <c r="BF19" i="2"/>
  <c r="Q17" i="3" s="1"/>
  <c r="Q16" i="10" s="1"/>
  <c r="BA19" i="2"/>
  <c r="L17" i="3" s="1"/>
  <c r="L16" i="10" s="1"/>
  <c r="AU19" i="2"/>
  <c r="F17" i="3" s="1"/>
  <c r="F16" i="10" s="1"/>
  <c r="AV19" i="2"/>
  <c r="G17" i="3" s="1"/>
  <c r="G16" i="10" s="1"/>
  <c r="AZ19" i="2"/>
  <c r="K17" i="3" s="1"/>
  <c r="K16" i="10" s="1"/>
  <c r="AZ17" i="2"/>
  <c r="K15" i="3" s="1"/>
  <c r="K14" i="10" s="1"/>
  <c r="AU17" i="2"/>
  <c r="F15" i="3" s="1"/>
  <c r="F14" i="10" s="1"/>
  <c r="BA17" i="2"/>
  <c r="L15" i="3" s="1"/>
  <c r="L14" i="10" s="1"/>
  <c r="BF17" i="2"/>
  <c r="Q15" i="3" s="1"/>
  <c r="Q14" i="10" s="1"/>
  <c r="AT17" i="2"/>
  <c r="E15" i="3" s="1"/>
  <c r="E14" i="10" s="1"/>
  <c r="L59"/>
  <c r="J22" i="16" s="1"/>
  <c r="L74" i="10"/>
  <c r="J37" i="16" s="1"/>
  <c r="BA35" i="2"/>
  <c r="BF35"/>
  <c r="AT35"/>
  <c r="AU35"/>
  <c r="AZ35"/>
  <c r="F55" i="10"/>
  <c r="D18" i="16" s="1"/>
  <c r="F70" i="10"/>
  <c r="D33" i="16" s="1"/>
  <c r="AZ30" i="2"/>
  <c r="BA30"/>
  <c r="AU30"/>
  <c r="AT30"/>
  <c r="BF30"/>
  <c r="AU27"/>
  <c r="AZ27"/>
  <c r="AT27"/>
  <c r="AV27"/>
  <c r="BF27"/>
  <c r="BA27"/>
  <c r="G49" i="10"/>
  <c r="E12" i="16" s="1"/>
  <c r="G67" i="10"/>
  <c r="E30" i="16" s="1"/>
  <c r="AV10" i="2"/>
  <c r="G8" i="3" s="1"/>
  <c r="G7" i="10" s="1"/>
  <c r="AU22" i="2"/>
  <c r="F20" i="3" s="1"/>
  <c r="F19" i="10" s="1"/>
  <c r="BA22" i="2"/>
  <c r="L20" i="3" s="1"/>
  <c r="L19" i="10" s="1"/>
  <c r="BF22" i="2"/>
  <c r="Q20" i="3" s="1"/>
  <c r="Q19" i="10" s="1"/>
  <c r="AT22" i="2"/>
  <c r="E20" i="3" s="1"/>
  <c r="E19" i="10" s="1"/>
  <c r="AZ22" i="2"/>
  <c r="K20" i="3" s="1"/>
  <c r="K19" i="10" s="1"/>
  <c r="AZ15" i="2"/>
  <c r="K13" i="3" s="1"/>
  <c r="K12" i="10" s="1"/>
  <c r="AU15" i="2"/>
  <c r="F13" i="3" s="1"/>
  <c r="F12" i="10" s="1"/>
  <c r="AT15" i="2"/>
  <c r="E13" i="3" s="1"/>
  <c r="E12" i="10" s="1"/>
  <c r="BA15" i="2"/>
  <c r="L13" i="3" s="1"/>
  <c r="L12" i="10" s="1"/>
  <c r="K58"/>
  <c r="I21" i="16" s="1"/>
  <c r="K73" i="10"/>
  <c r="I36" i="16" s="1"/>
  <c r="E66" i="10"/>
  <c r="C29" i="16" s="1"/>
  <c r="E51" i="10"/>
  <c r="C14" i="16" s="1"/>
  <c r="K66" i="10"/>
  <c r="I29" i="16" s="1"/>
  <c r="K51" i="10"/>
  <c r="I14" i="16" s="1"/>
  <c r="Q59" i="10"/>
  <c r="O22" i="16" s="1"/>
  <c r="Q74" i="10"/>
  <c r="O37" i="16" s="1"/>
  <c r="Q70" i="10"/>
  <c r="O33" i="16" s="1"/>
  <c r="Q55" i="10"/>
  <c r="O18" i="16" s="1"/>
  <c r="AU29" i="2"/>
  <c r="AT29"/>
  <c r="AZ29"/>
  <c r="BF29"/>
  <c r="BA29"/>
  <c r="AU25"/>
  <c r="AT25"/>
  <c r="BF25"/>
  <c r="BA25"/>
  <c r="AZ25"/>
  <c r="AV25"/>
  <c r="F58" i="10"/>
  <c r="D21" i="16" s="1"/>
  <c r="F73" i="10"/>
  <c r="D36" i="16" s="1"/>
  <c r="E58" i="10"/>
  <c r="C21" i="16" s="1"/>
  <c r="E73" i="10"/>
  <c r="C36" i="16" s="1"/>
  <c r="F66" i="10"/>
  <c r="D29" i="16" s="1"/>
  <c r="F51" i="10"/>
  <c r="D14" i="16" s="1"/>
  <c r="F59" i="10"/>
  <c r="D22" i="16" s="1"/>
  <c r="F74" i="10"/>
  <c r="D37" i="16" s="1"/>
  <c r="K70" i="10"/>
  <c r="I33" i="16" s="1"/>
  <c r="K55" i="10"/>
  <c r="I18" i="16" s="1"/>
  <c r="BF11" i="2"/>
  <c r="Q9" i="3" s="1"/>
  <c r="Q8" i="10" s="1"/>
  <c r="BA11" i="2"/>
  <c r="L9" i="3" s="1"/>
  <c r="L8" i="10" s="1"/>
  <c r="AU11" i="2"/>
  <c r="F9" i="3" s="1"/>
  <c r="F8" i="10" s="1"/>
  <c r="AZ11" i="2"/>
  <c r="K9" i="3" s="1"/>
  <c r="K8" i="10" s="1"/>
  <c r="AT11" i="2"/>
  <c r="E9" i="3" s="1"/>
  <c r="E8" i="10" s="1"/>
  <c r="AV13" i="2"/>
  <c r="G11" i="3" s="1"/>
  <c r="G10" i="10" s="1"/>
  <c r="AV18" i="2"/>
  <c r="G16" i="3" s="1"/>
  <c r="G15" i="10" s="1"/>
  <c r="E34" i="31"/>
  <c r="J28"/>
  <c r="E35"/>
  <c r="H28"/>
  <c r="L28"/>
  <c r="E28"/>
  <c r="F28"/>
  <c r="K28"/>
  <c r="G28"/>
  <c r="I28"/>
  <c r="E38" l="1"/>
  <c r="AT21" i="2"/>
  <c r="E19" i="3" s="1"/>
  <c r="E18" i="10" s="1"/>
  <c r="AV21" i="2"/>
  <c r="G19" i="3" s="1"/>
  <c r="G18" i="10" s="1"/>
  <c r="BA21" i="2"/>
  <c r="L19" i="3" s="1"/>
  <c r="L18" i="10" s="1"/>
  <c r="BF21" i="2"/>
  <c r="Q19" i="3" s="1"/>
  <c r="Q18" i="10" s="1"/>
  <c r="AU21" i="2"/>
  <c r="F19" i="3" s="1"/>
  <c r="F18" i="10" s="1"/>
  <c r="AZ21" i="2"/>
  <c r="K19" i="3" s="1"/>
  <c r="K18" i="10" s="1"/>
  <c r="BF12" i="2"/>
  <c r="Q10" i="3" s="1"/>
  <c r="Q9" i="10" s="1"/>
  <c r="AV12" i="2"/>
  <c r="G10" i="3" s="1"/>
  <c r="G9" i="10" s="1"/>
  <c r="AU12" i="2"/>
  <c r="F10" i="3" s="1"/>
  <c r="F9" i="10" s="1"/>
  <c r="F62" s="1"/>
  <c r="D25" i="16" s="1"/>
  <c r="E55" i="10"/>
  <c r="C18" i="16" s="1"/>
  <c r="BA33" i="2"/>
  <c r="AU33"/>
  <c r="AV33"/>
  <c r="BF33"/>
  <c r="AT33"/>
  <c r="AZ33"/>
  <c r="K72" i="10"/>
  <c r="I35" i="16" s="1"/>
  <c r="K57" i="10"/>
  <c r="I20" i="16" s="1"/>
  <c r="F67" i="10"/>
  <c r="D30" i="16" s="1"/>
  <c r="F52" i="10"/>
  <c r="D15" i="16" s="1"/>
  <c r="K68" i="10"/>
  <c r="I31" i="16" s="1"/>
  <c r="K53" i="10"/>
  <c r="I16" i="16" s="1"/>
  <c r="Q63" i="10"/>
  <c r="O26" i="16" s="1"/>
  <c r="Q48" i="10"/>
  <c r="O11" i="16" s="1"/>
  <c r="K64" i="10"/>
  <c r="I27" i="16" s="1"/>
  <c r="K49" i="10"/>
  <c r="I12" i="16" s="1"/>
  <c r="L62" i="10"/>
  <c r="J25" i="16" s="1"/>
  <c r="L47" i="10"/>
  <c r="J10" i="16" s="1"/>
  <c r="E46" i="10"/>
  <c r="C9" i="16" s="1"/>
  <c r="E61" i="10"/>
  <c r="C24" i="16" s="1"/>
  <c r="Q46" i="10"/>
  <c r="O9" i="16" s="1"/>
  <c r="Q61" i="10"/>
  <c r="O24" i="16" s="1"/>
  <c r="L65" i="10"/>
  <c r="J28" i="16" s="1"/>
  <c r="L50" i="10"/>
  <c r="J13" i="16" s="1"/>
  <c r="K50" i="10"/>
  <c r="I13" i="16" s="1"/>
  <c r="K65" i="10"/>
  <c r="I28" i="16" s="1"/>
  <c r="L57" i="10"/>
  <c r="J20" i="16" s="1"/>
  <c r="L72" i="10"/>
  <c r="J35" i="16" s="1"/>
  <c r="L52" i="10"/>
  <c r="J15" i="16" s="1"/>
  <c r="L67" i="10"/>
  <c r="J30" i="16" s="1"/>
  <c r="G54" i="10"/>
  <c r="E17" i="16" s="1"/>
  <c r="G69" i="10"/>
  <c r="E32" i="16" s="1"/>
  <c r="E54" i="10"/>
  <c r="C17" i="16" s="1"/>
  <c r="E69" i="10"/>
  <c r="C32" i="16" s="1"/>
  <c r="Q53" i="10"/>
  <c r="O16" i="16" s="1"/>
  <c r="Q68" i="10"/>
  <c r="O31" i="16" s="1"/>
  <c r="L48" i="10"/>
  <c r="J11" i="16" s="1"/>
  <c r="L63" i="10"/>
  <c r="J26" i="16" s="1"/>
  <c r="F64" i="10"/>
  <c r="D27" i="16" s="1"/>
  <c r="F49" i="10"/>
  <c r="D12" i="16" s="1"/>
  <c r="K45" i="10"/>
  <c r="I8" i="16" s="1"/>
  <c r="K60" i="10"/>
  <c r="I23" i="16" s="1"/>
  <c r="L45" i="10"/>
  <c r="J8" i="16" s="1"/>
  <c r="L60" i="10"/>
  <c r="J23" i="16" s="1"/>
  <c r="Q47" i="10"/>
  <c r="O10" i="16" s="1"/>
  <c r="Q62" i="10"/>
  <c r="O25" i="16" s="1"/>
  <c r="E65" i="10"/>
  <c r="C28" i="16" s="1"/>
  <c r="E50" i="10"/>
  <c r="C13" i="16" s="1"/>
  <c r="F72" i="10"/>
  <c r="D35" i="16" s="1"/>
  <c r="F57" i="10"/>
  <c r="D20" i="16" s="1"/>
  <c r="F54" i="10"/>
  <c r="D17" i="16" s="1"/>
  <c r="F69" i="10"/>
  <c r="D32" i="16" s="1"/>
  <c r="L53" i="10"/>
  <c r="J16" i="16" s="1"/>
  <c r="L68" i="10"/>
  <c r="J31" i="16" s="1"/>
  <c r="Q49" i="10"/>
  <c r="O12" i="16" s="1"/>
  <c r="Q64" i="10"/>
  <c r="O27" i="16" s="1"/>
  <c r="F60" i="10"/>
  <c r="D23" i="16" s="1"/>
  <c r="F45" i="10"/>
  <c r="D8" i="16" s="1"/>
  <c r="G48" i="10"/>
  <c r="E11" i="16" s="1"/>
  <c r="G63" i="10"/>
  <c r="E26" i="16" s="1"/>
  <c r="L61" i="10"/>
  <c r="J24" i="16" s="1"/>
  <c r="L46" i="10"/>
  <c r="J9" i="16" s="1"/>
  <c r="F50" i="10"/>
  <c r="D13" i="16" s="1"/>
  <c r="F65" i="10"/>
  <c r="D28" i="16" s="1"/>
  <c r="Q72" i="10"/>
  <c r="O35" i="16" s="1"/>
  <c r="Q57" i="10"/>
  <c r="O20" i="16" s="1"/>
  <c r="G60" i="10"/>
  <c r="E23" i="16" s="1"/>
  <c r="G45" i="10"/>
  <c r="E8" i="16" s="1"/>
  <c r="Q52" i="10"/>
  <c r="O15" i="16" s="1"/>
  <c r="Q67" i="10"/>
  <c r="O30" i="16" s="1"/>
  <c r="K69" i="10"/>
  <c r="I32" i="16" s="1"/>
  <c r="K54" i="10"/>
  <c r="I17" i="16" s="1"/>
  <c r="Q54" i="10"/>
  <c r="O17" i="16" s="1"/>
  <c r="Q69" i="10"/>
  <c r="O32" i="16" s="1"/>
  <c r="E53" i="10"/>
  <c r="C16" i="16" s="1"/>
  <c r="E68" i="10"/>
  <c r="C31" i="16" s="1"/>
  <c r="E63" i="10"/>
  <c r="C26" i="16" s="1"/>
  <c r="E48" i="10"/>
  <c r="C11" i="16" s="1"/>
  <c r="L64" i="10"/>
  <c r="J27" i="16" s="1"/>
  <c r="L49" i="10"/>
  <c r="J12" i="16" s="1"/>
  <c r="Q45" i="10"/>
  <c r="O8" i="16" s="1"/>
  <c r="Q60" i="10"/>
  <c r="O23" i="16" s="1"/>
  <c r="F47" i="10"/>
  <c r="D10" i="16" s="1"/>
  <c r="K61" i="10"/>
  <c r="I24" i="16" s="1"/>
  <c r="K46" i="10"/>
  <c r="I9" i="16" s="1"/>
  <c r="E47" i="10"/>
  <c r="C10" i="16" s="1"/>
  <c r="E62" i="10"/>
  <c r="C25" i="16" s="1"/>
  <c r="G68" i="10"/>
  <c r="E31" i="16" s="1"/>
  <c r="G53" i="10"/>
  <c r="E16" i="16" s="1"/>
  <c r="F46" i="10"/>
  <c r="D9" i="16" s="1"/>
  <c r="F61" i="10"/>
  <c r="D24" i="16" s="1"/>
  <c r="Q65" i="10"/>
  <c r="O28" i="16" s="1"/>
  <c r="Q50" i="10"/>
  <c r="O13" i="16" s="1"/>
  <c r="E72" i="10"/>
  <c r="C35" i="16" s="1"/>
  <c r="E57" i="10"/>
  <c r="C20" i="16" s="1"/>
  <c r="G47" i="10"/>
  <c r="E10" i="16" s="1"/>
  <c r="G62" i="10"/>
  <c r="E25" i="16" s="1"/>
  <c r="E52" i="10"/>
  <c r="C15" i="16" s="1"/>
  <c r="E67" i="10"/>
  <c r="C30" i="16" s="1"/>
  <c r="K52" i="10"/>
  <c r="I15" i="16" s="1"/>
  <c r="K67" i="10"/>
  <c r="I30" i="16" s="1"/>
  <c r="L69" i="10"/>
  <c r="J32" i="16" s="1"/>
  <c r="L54" i="10"/>
  <c r="J17" i="16" s="1"/>
  <c r="F53" i="10"/>
  <c r="D16" i="16" s="1"/>
  <c r="F68" i="10"/>
  <c r="D31" i="16" s="1"/>
  <c r="F63" i="10"/>
  <c r="D26" i="16" s="1"/>
  <c r="F48" i="10"/>
  <c r="D11" i="16" s="1"/>
  <c r="K48" i="10"/>
  <c r="I11" i="16" s="1"/>
  <c r="K63" i="10"/>
  <c r="I26" i="16" s="1"/>
  <c r="E49" i="10"/>
  <c r="C12" i="16" s="1"/>
  <c r="E64" i="10"/>
  <c r="C27" i="16" s="1"/>
  <c r="E45" i="10"/>
  <c r="C8" i="16" s="1"/>
  <c r="E60" i="10"/>
  <c r="C23" i="16" s="1"/>
  <c r="K47" i="10"/>
  <c r="I10" i="16" s="1"/>
  <c r="K62" i="10"/>
  <c r="I25" i="16" s="1"/>
  <c r="E71" i="10" l="1"/>
  <c r="C34" i="16" s="1"/>
  <c r="E56" i="10"/>
  <c r="C19" i="16" s="1"/>
  <c r="K71" i="10"/>
  <c r="I34" i="16" s="1"/>
  <c r="K56" i="10"/>
  <c r="I19" i="16" s="1"/>
  <c r="L56" i="10"/>
  <c r="J19" i="16" s="1"/>
  <c r="L71" i="10"/>
  <c r="J34" i="16" s="1"/>
  <c r="F71" i="10"/>
  <c r="D34" i="16" s="1"/>
  <c r="F56" i="10"/>
  <c r="D19" i="16" s="1"/>
  <c r="G71" i="10"/>
  <c r="E34" i="16" s="1"/>
  <c r="G56" i="10"/>
  <c r="E19" i="16" s="1"/>
  <c r="Q56" i="10"/>
  <c r="O19" i="16" s="1"/>
  <c r="Q71" i="10"/>
  <c r="O34" i="16" s="1"/>
  <c r="E15" i="18" l="1"/>
  <c r="E14"/>
  <c r="E13"/>
  <c r="E16"/>
  <c r="I14" i="29"/>
  <c r="P16"/>
  <c r="L13"/>
  <c r="R16"/>
  <c r="J16"/>
  <c r="K16"/>
  <c r="G16"/>
  <c r="O13"/>
  <c r="T13"/>
  <c r="N16"/>
  <c r="L16"/>
  <c r="W13"/>
  <c r="J13"/>
  <c r="X13"/>
  <c r="I16"/>
  <c r="K13"/>
  <c r="G13"/>
  <c r="R13"/>
  <c r="X16"/>
  <c r="F16"/>
  <c r="O16"/>
  <c r="Q16"/>
  <c r="M13"/>
  <c r="X14"/>
  <c r="V14"/>
  <c r="U14"/>
  <c r="M16"/>
  <c r="V13"/>
  <c r="F13"/>
  <c r="W16"/>
  <c r="U13"/>
  <c r="V16"/>
  <c r="H16"/>
  <c r="F14"/>
  <c r="H13"/>
  <c r="R15"/>
  <c r="V15"/>
  <c r="Q14"/>
  <c r="J15"/>
  <c r="J14"/>
  <c r="I15"/>
  <c r="L15"/>
  <c r="Q15"/>
  <c r="P13"/>
  <c r="T16"/>
  <c r="N13"/>
  <c r="T15"/>
  <c r="P14"/>
  <c r="O15"/>
  <c r="O14"/>
  <c r="L14"/>
  <c r="S14"/>
  <c r="T14"/>
  <c r="H15"/>
  <c r="U16"/>
  <c r="S16"/>
  <c r="N14"/>
  <c r="Q13"/>
  <c r="W14"/>
  <c r="S13"/>
  <c r="G14"/>
  <c r="W15"/>
  <c r="I13"/>
  <c r="U15"/>
  <c r="M15"/>
  <c r="M14"/>
  <c r="H14"/>
  <c r="P15"/>
  <c r="K14"/>
  <c r="K15"/>
  <c r="R14"/>
  <c r="F15"/>
  <c r="S15"/>
  <c r="N15"/>
  <c r="X15"/>
  <c r="G15"/>
  <c r="E14" i="17"/>
  <c r="E16"/>
  <c r="E13"/>
  <c r="E15"/>
  <c r="O14" i="31"/>
  <c r="G15"/>
  <c r="X16"/>
  <c r="H15"/>
  <c r="S16"/>
  <c r="X14"/>
  <c r="R16"/>
  <c r="L16"/>
  <c r="V14"/>
  <c r="F15"/>
  <c r="Q15"/>
  <c r="X15"/>
  <c r="N15"/>
  <c r="W16"/>
  <c r="M13"/>
  <c r="N14"/>
  <c r="R13"/>
  <c r="T16"/>
  <c r="U15"/>
  <c r="M15"/>
  <c r="I15"/>
  <c r="P14"/>
  <c r="N13"/>
  <c r="I16"/>
  <c r="R14"/>
  <c r="G13"/>
  <c r="F14"/>
  <c r="U13"/>
  <c r="H16"/>
  <c r="P13"/>
  <c r="V13"/>
  <c r="Q16"/>
  <c r="V16"/>
  <c r="O15"/>
  <c r="H14"/>
  <c r="K16"/>
  <c r="H13"/>
  <c r="J16"/>
  <c r="M16"/>
  <c r="L15"/>
  <c r="V15"/>
  <c r="M14"/>
  <c r="T14"/>
  <c r="X13"/>
  <c r="L14"/>
  <c r="U16"/>
  <c r="S15"/>
  <c r="P16"/>
  <c r="U14"/>
  <c r="K15"/>
  <c r="J15"/>
  <c r="G16"/>
  <c r="Q13"/>
  <c r="S13"/>
  <c r="G14"/>
  <c r="O16"/>
  <c r="I13"/>
  <c r="R15"/>
  <c r="Q14"/>
  <c r="F16"/>
  <c r="J13"/>
  <c r="T15"/>
  <c r="F13"/>
  <c r="S14"/>
  <c r="J14"/>
  <c r="N16"/>
  <c r="K14"/>
  <c r="W15"/>
  <c r="K13"/>
  <c r="P15"/>
  <c r="W14"/>
  <c r="I14"/>
  <c r="O13"/>
  <c r="L13"/>
  <c r="T13"/>
  <c r="W13"/>
  <c r="E35" i="18" l="1"/>
  <c r="E34"/>
  <c r="E33"/>
  <c r="E18"/>
  <c r="E36"/>
  <c r="F18" i="29"/>
  <c r="AA13"/>
  <c r="J18"/>
  <c r="Q18"/>
  <c r="AA14"/>
  <c r="R18"/>
  <c r="X18"/>
  <c r="I18"/>
  <c r="H18"/>
  <c r="U18"/>
  <c r="M18"/>
  <c r="L18"/>
  <c r="G18"/>
  <c r="T18"/>
  <c r="N18"/>
  <c r="AA15"/>
  <c r="S18"/>
  <c r="P18"/>
  <c r="V18"/>
  <c r="AA16"/>
  <c r="K18"/>
  <c r="W18"/>
  <c r="O18"/>
  <c r="AA14" i="17"/>
  <c r="AA16"/>
  <c r="AA13"/>
  <c r="E18"/>
  <c r="AA18" s="1"/>
  <c r="AA15"/>
  <c r="O18" i="31"/>
  <c r="J34"/>
  <c r="I18"/>
  <c r="I33"/>
  <c r="R18"/>
  <c r="L18"/>
  <c r="L33"/>
  <c r="K35"/>
  <c r="J36"/>
  <c r="P18"/>
  <c r="G35"/>
  <c r="T18"/>
  <c r="K34"/>
  <c r="G34"/>
  <c r="J35"/>
  <c r="H34"/>
  <c r="V18"/>
  <c r="F34"/>
  <c r="N18"/>
  <c r="M18"/>
  <c r="K18"/>
  <c r="K33"/>
  <c r="J18"/>
  <c r="J33"/>
  <c r="Q18"/>
  <c r="L34"/>
  <c r="H18"/>
  <c r="H33"/>
  <c r="H36"/>
  <c r="I35"/>
  <c r="S18"/>
  <c r="G18"/>
  <c r="G33"/>
  <c r="F35"/>
  <c r="W18"/>
  <c r="I34"/>
  <c r="F36"/>
  <c r="G36"/>
  <c r="X18"/>
  <c r="L35"/>
  <c r="K36"/>
  <c r="U18"/>
  <c r="I36"/>
  <c r="L36"/>
  <c r="H35"/>
  <c r="F18"/>
  <c r="F33"/>
  <c r="E38" i="18" l="1"/>
  <c r="AA18" i="29"/>
  <c r="G38" i="31"/>
  <c r="H38"/>
  <c r="J38"/>
  <c r="L38"/>
  <c r="F38"/>
  <c r="K38"/>
  <c r="I38"/>
  <c r="A26" i="29" l="1"/>
  <c r="A54" i="18"/>
  <c r="A26" i="17"/>
  <c r="A54" i="31"/>
  <c r="A46" i="18"/>
  <c r="A46" i="31"/>
  <c r="A45" i="18"/>
  <c r="A45" i="31"/>
  <c r="A25" i="17"/>
  <c r="A25" i="29"/>
  <c r="A53" i="31"/>
  <c r="A53" i="18"/>
  <c r="A52" i="31"/>
  <c r="A24" i="29"/>
  <c r="A24" i="17"/>
  <c r="A52" i="18"/>
  <c r="A44"/>
  <c r="A44" i="31"/>
  <c r="A43"/>
  <c r="A43" i="18"/>
  <c r="A51" i="31"/>
  <c r="A51" i="18"/>
  <c r="A23" i="17"/>
  <c r="A23" i="29"/>
  <c r="W54" i="18" l="1"/>
  <c r="N54"/>
  <c r="P54"/>
  <c r="Z54"/>
  <c r="V54"/>
  <c r="F54"/>
  <c r="S54"/>
  <c r="H54"/>
  <c r="I54"/>
  <c r="E54"/>
  <c r="R54"/>
  <c r="K54"/>
  <c r="O54"/>
  <c r="G54"/>
  <c r="T54"/>
  <c r="J54"/>
  <c r="L54"/>
  <c r="Q54"/>
  <c r="U54"/>
  <c r="M54"/>
  <c r="X54"/>
  <c r="V26" i="17"/>
  <c r="V36" s="1"/>
  <c r="T26"/>
  <c r="T36" s="1"/>
  <c r="M26"/>
  <c r="M36" s="1"/>
  <c r="P26"/>
  <c r="P36" s="1"/>
  <c r="U26"/>
  <c r="U36" s="1"/>
  <c r="S26"/>
  <c r="S36" s="1"/>
  <c r="R26"/>
  <c r="R36" s="1"/>
  <c r="F26"/>
  <c r="F36" s="1"/>
  <c r="Q26"/>
  <c r="Q36" s="1"/>
  <c r="K26"/>
  <c r="K36" s="1"/>
  <c r="H26"/>
  <c r="H36" s="1"/>
  <c r="W26"/>
  <c r="W36" s="1"/>
  <c r="N26"/>
  <c r="N36" s="1"/>
  <c r="G26"/>
  <c r="G36" s="1"/>
  <c r="L26"/>
  <c r="L36" s="1"/>
  <c r="X26"/>
  <c r="X36" s="1"/>
  <c r="I26"/>
  <c r="I36" s="1"/>
  <c r="O26"/>
  <c r="O36" s="1"/>
  <c r="J26"/>
  <c r="J36" s="1"/>
  <c r="E26"/>
  <c r="E26" i="29"/>
  <c r="T26"/>
  <c r="T36" s="1"/>
  <c r="W26"/>
  <c r="W36" s="1"/>
  <c r="N26"/>
  <c r="N36" s="1"/>
  <c r="U26"/>
  <c r="U36" s="1"/>
  <c r="X26"/>
  <c r="X36" s="1"/>
  <c r="H26"/>
  <c r="H36" s="1"/>
  <c r="V26"/>
  <c r="V36" s="1"/>
  <c r="P26"/>
  <c r="P36" s="1"/>
  <c r="G26"/>
  <c r="G36" s="1"/>
  <c r="S26"/>
  <c r="S36" s="1"/>
  <c r="F26"/>
  <c r="F36" s="1"/>
  <c r="M26"/>
  <c r="M36" s="1"/>
  <c r="Q26"/>
  <c r="Q36" s="1"/>
  <c r="K26"/>
  <c r="K36" s="1"/>
  <c r="O26"/>
  <c r="O36" s="1"/>
  <c r="R26"/>
  <c r="R36" s="1"/>
  <c r="L26"/>
  <c r="L36" s="1"/>
  <c r="J26"/>
  <c r="J36" s="1"/>
  <c r="I26"/>
  <c r="I36" s="1"/>
  <c r="F54" i="31"/>
  <c r="H54"/>
  <c r="K54"/>
  <c r="L54"/>
  <c r="G54"/>
  <c r="E54"/>
  <c r="J54"/>
  <c r="I54"/>
  <c r="G46" i="18"/>
  <c r="G63" s="1"/>
  <c r="I46"/>
  <c r="I63" s="1"/>
  <c r="U46"/>
  <c r="U63" s="1"/>
  <c r="S46"/>
  <c r="S63" s="1"/>
  <c r="J46"/>
  <c r="R46"/>
  <c r="R63" s="1"/>
  <c r="Q46"/>
  <c r="Q63" s="1"/>
  <c r="L46"/>
  <c r="M46"/>
  <c r="O46"/>
  <c r="O63" s="1"/>
  <c r="T46"/>
  <c r="T63" s="1"/>
  <c r="X46"/>
  <c r="V46"/>
  <c r="K46"/>
  <c r="K63" s="1"/>
  <c r="F46"/>
  <c r="F63" s="1"/>
  <c r="N46"/>
  <c r="N63" s="1"/>
  <c r="W46"/>
  <c r="P46"/>
  <c r="P63" s="1"/>
  <c r="H46"/>
  <c r="Z46"/>
  <c r="E46"/>
  <c r="E63" s="1"/>
  <c r="Z36"/>
  <c r="E46" i="31"/>
  <c r="E63" s="1"/>
  <c r="W46"/>
  <c r="R46"/>
  <c r="V46"/>
  <c r="N46"/>
  <c r="H46"/>
  <c r="H63" s="1"/>
  <c r="T46"/>
  <c r="I46"/>
  <c r="I63" s="1"/>
  <c r="M46"/>
  <c r="X46"/>
  <c r="S46"/>
  <c r="G46"/>
  <c r="G63" s="1"/>
  <c r="J46"/>
  <c r="Z46"/>
  <c r="O46"/>
  <c r="Q46"/>
  <c r="L46"/>
  <c r="L63" s="1"/>
  <c r="U46"/>
  <c r="P46"/>
  <c r="F46"/>
  <c r="F63" s="1"/>
  <c r="K46"/>
  <c r="G45" i="18"/>
  <c r="P45"/>
  <c r="N45"/>
  <c r="L45"/>
  <c r="T45"/>
  <c r="I45"/>
  <c r="H45"/>
  <c r="R45"/>
  <c r="K45"/>
  <c r="J45"/>
  <c r="Q45"/>
  <c r="U45"/>
  <c r="V45"/>
  <c r="X45"/>
  <c r="F45"/>
  <c r="S45"/>
  <c r="W45"/>
  <c r="O45"/>
  <c r="M45"/>
  <c r="Z45"/>
  <c r="E45"/>
  <c r="Z35"/>
  <c r="E45" i="31"/>
  <c r="V45"/>
  <c r="S45"/>
  <c r="Q45"/>
  <c r="N45"/>
  <c r="X45"/>
  <c r="H45"/>
  <c r="O45"/>
  <c r="K45"/>
  <c r="J45"/>
  <c r="T45"/>
  <c r="L45"/>
  <c r="Z45"/>
  <c r="R45"/>
  <c r="U45"/>
  <c r="I45"/>
  <c r="P45"/>
  <c r="F45"/>
  <c r="W45"/>
  <c r="M45"/>
  <c r="G45"/>
  <c r="I53"/>
  <c r="I62" s="1"/>
  <c r="L53"/>
  <c r="K53"/>
  <c r="E53"/>
  <c r="H53"/>
  <c r="G53"/>
  <c r="G62" s="1"/>
  <c r="F53"/>
  <c r="F62" s="1"/>
  <c r="J53"/>
  <c r="F25" i="17"/>
  <c r="F35" s="1"/>
  <c r="S25"/>
  <c r="S35" s="1"/>
  <c r="K25"/>
  <c r="K35" s="1"/>
  <c r="O25"/>
  <c r="O35" s="1"/>
  <c r="W25"/>
  <c r="W35" s="1"/>
  <c r="J25"/>
  <c r="J35" s="1"/>
  <c r="H25"/>
  <c r="H35" s="1"/>
  <c r="V25"/>
  <c r="V35" s="1"/>
  <c r="X25"/>
  <c r="X35" s="1"/>
  <c r="G25"/>
  <c r="G35" s="1"/>
  <c r="R25"/>
  <c r="R35" s="1"/>
  <c r="L25"/>
  <c r="L35" s="1"/>
  <c r="T25"/>
  <c r="T35" s="1"/>
  <c r="P25"/>
  <c r="P35" s="1"/>
  <c r="N25"/>
  <c r="N35" s="1"/>
  <c r="Q25"/>
  <c r="Q35" s="1"/>
  <c r="I25"/>
  <c r="I35" s="1"/>
  <c r="U25"/>
  <c r="U35" s="1"/>
  <c r="M25"/>
  <c r="M35" s="1"/>
  <c r="E25"/>
  <c r="E25" i="29"/>
  <c r="V25"/>
  <c r="V35" s="1"/>
  <c r="L25"/>
  <c r="L35" s="1"/>
  <c r="T25"/>
  <c r="T35" s="1"/>
  <c r="P25"/>
  <c r="P35" s="1"/>
  <c r="M25"/>
  <c r="M35" s="1"/>
  <c r="H25"/>
  <c r="H35" s="1"/>
  <c r="F25"/>
  <c r="F35" s="1"/>
  <c r="N25"/>
  <c r="N35" s="1"/>
  <c r="W25"/>
  <c r="W35" s="1"/>
  <c r="O25"/>
  <c r="O35" s="1"/>
  <c r="X25"/>
  <c r="X35" s="1"/>
  <c r="Q25"/>
  <c r="Q35" s="1"/>
  <c r="I25"/>
  <c r="I35" s="1"/>
  <c r="K25"/>
  <c r="K35" s="1"/>
  <c r="G25"/>
  <c r="G35" s="1"/>
  <c r="R25"/>
  <c r="R35" s="1"/>
  <c r="J25"/>
  <c r="J35" s="1"/>
  <c r="S25"/>
  <c r="S35" s="1"/>
  <c r="U25"/>
  <c r="U35" s="1"/>
  <c r="F53" i="18"/>
  <c r="N53"/>
  <c r="N62" s="1"/>
  <c r="J53"/>
  <c r="V53"/>
  <c r="V62" s="1"/>
  <c r="M53"/>
  <c r="W53"/>
  <c r="U53"/>
  <c r="U62" s="1"/>
  <c r="Q53"/>
  <c r="X53"/>
  <c r="X62" s="1"/>
  <c r="Z53"/>
  <c r="G53"/>
  <c r="T53"/>
  <c r="T62" s="1"/>
  <c r="O53"/>
  <c r="O62" s="1"/>
  <c r="S53"/>
  <c r="H53"/>
  <c r="L53"/>
  <c r="I53"/>
  <c r="I62" s="1"/>
  <c r="R53"/>
  <c r="P53"/>
  <c r="K53"/>
  <c r="K62" s="1"/>
  <c r="E53"/>
  <c r="G52" i="31"/>
  <c r="J52"/>
  <c r="L52"/>
  <c r="I52"/>
  <c r="E52"/>
  <c r="F52"/>
  <c r="H52"/>
  <c r="K52"/>
  <c r="E24" i="29"/>
  <c r="M24"/>
  <c r="M34" s="1"/>
  <c r="N24"/>
  <c r="N34" s="1"/>
  <c r="V24"/>
  <c r="V34" s="1"/>
  <c r="Q24"/>
  <c r="Q34" s="1"/>
  <c r="J24"/>
  <c r="J34" s="1"/>
  <c r="X24"/>
  <c r="X34" s="1"/>
  <c r="O24"/>
  <c r="O34" s="1"/>
  <c r="P24"/>
  <c r="P34" s="1"/>
  <c r="F24"/>
  <c r="F34" s="1"/>
  <c r="K24"/>
  <c r="K34" s="1"/>
  <c r="T24"/>
  <c r="T34" s="1"/>
  <c r="H24"/>
  <c r="H34" s="1"/>
  <c r="L24"/>
  <c r="L34" s="1"/>
  <c r="I24"/>
  <c r="I34" s="1"/>
  <c r="R24"/>
  <c r="R34" s="1"/>
  <c r="G24"/>
  <c r="G34" s="1"/>
  <c r="W24"/>
  <c r="W34" s="1"/>
  <c r="U24"/>
  <c r="U34" s="1"/>
  <c r="S24"/>
  <c r="S34" s="1"/>
  <c r="L24" i="17"/>
  <c r="L34" s="1"/>
  <c r="P24"/>
  <c r="P34" s="1"/>
  <c r="X24"/>
  <c r="X34" s="1"/>
  <c r="S24"/>
  <c r="S34" s="1"/>
  <c r="R24"/>
  <c r="R34" s="1"/>
  <c r="T24"/>
  <c r="T34" s="1"/>
  <c r="J24"/>
  <c r="J34" s="1"/>
  <c r="K24"/>
  <c r="K34" s="1"/>
  <c r="I24"/>
  <c r="I34" s="1"/>
  <c r="N24"/>
  <c r="N34" s="1"/>
  <c r="V24"/>
  <c r="V34" s="1"/>
  <c r="Q24"/>
  <c r="Q34" s="1"/>
  <c r="W24"/>
  <c r="W34" s="1"/>
  <c r="O24"/>
  <c r="O34" s="1"/>
  <c r="H24"/>
  <c r="H34" s="1"/>
  <c r="M24"/>
  <c r="M34" s="1"/>
  <c r="U24"/>
  <c r="U34" s="1"/>
  <c r="G24"/>
  <c r="G34" s="1"/>
  <c r="F24"/>
  <c r="F34" s="1"/>
  <c r="E24"/>
  <c r="N52" i="18"/>
  <c r="T52"/>
  <c r="V52"/>
  <c r="X52"/>
  <c r="H52"/>
  <c r="Z52"/>
  <c r="Q52"/>
  <c r="L52"/>
  <c r="K52"/>
  <c r="I52"/>
  <c r="M52"/>
  <c r="W52"/>
  <c r="O52"/>
  <c r="U52"/>
  <c r="J52"/>
  <c r="S52"/>
  <c r="E52"/>
  <c r="P52"/>
  <c r="G52"/>
  <c r="F52"/>
  <c r="R52"/>
  <c r="V44"/>
  <c r="F44"/>
  <c r="P44"/>
  <c r="R44"/>
  <c r="M44"/>
  <c r="O44"/>
  <c r="H44"/>
  <c r="L44"/>
  <c r="G44"/>
  <c r="K44"/>
  <c r="U44"/>
  <c r="I44"/>
  <c r="X44"/>
  <c r="J44"/>
  <c r="W44"/>
  <c r="S44"/>
  <c r="T44"/>
  <c r="Q44"/>
  <c r="N44"/>
  <c r="Z44"/>
  <c r="E44"/>
  <c r="Z34"/>
  <c r="E44" i="31"/>
  <c r="O44"/>
  <c r="I44"/>
  <c r="V44"/>
  <c r="M44"/>
  <c r="P44"/>
  <c r="K44"/>
  <c r="N44"/>
  <c r="J44"/>
  <c r="U44"/>
  <c r="X44"/>
  <c r="W44"/>
  <c r="G44"/>
  <c r="L44"/>
  <c r="S44"/>
  <c r="R44"/>
  <c r="Z44"/>
  <c r="Q44"/>
  <c r="H44"/>
  <c r="H61" s="1"/>
  <c r="F44"/>
  <c r="T44"/>
  <c r="E43"/>
  <c r="P43"/>
  <c r="T43"/>
  <c r="K43"/>
  <c r="J43"/>
  <c r="X43"/>
  <c r="I43"/>
  <c r="R43"/>
  <c r="L43"/>
  <c r="N43"/>
  <c r="Q43"/>
  <c r="S43"/>
  <c r="O43"/>
  <c r="V43"/>
  <c r="H43"/>
  <c r="W43"/>
  <c r="Z43"/>
  <c r="U43"/>
  <c r="F43"/>
  <c r="M43"/>
  <c r="G43"/>
  <c r="V43" i="18"/>
  <c r="K43"/>
  <c r="N43"/>
  <c r="U43"/>
  <c r="Q43"/>
  <c r="M43"/>
  <c r="F43"/>
  <c r="O43"/>
  <c r="X43"/>
  <c r="J43"/>
  <c r="I43"/>
  <c r="L43"/>
  <c r="S43"/>
  <c r="G43"/>
  <c r="H43"/>
  <c r="P43"/>
  <c r="R43"/>
  <c r="W43"/>
  <c r="T43"/>
  <c r="E43"/>
  <c r="Z43"/>
  <c r="Z33"/>
  <c r="I51" i="31"/>
  <c r="F51"/>
  <c r="G51"/>
  <c r="E51"/>
  <c r="K51"/>
  <c r="L51"/>
  <c r="J51"/>
  <c r="H51"/>
  <c r="U23" i="17"/>
  <c r="X23"/>
  <c r="G23"/>
  <c r="F23"/>
  <c r="M23"/>
  <c r="S23"/>
  <c r="P23"/>
  <c r="N23"/>
  <c r="R23"/>
  <c r="J23"/>
  <c r="I23"/>
  <c r="T23"/>
  <c r="L23"/>
  <c r="Q23"/>
  <c r="O23"/>
  <c r="W23"/>
  <c r="H23"/>
  <c r="K23"/>
  <c r="V23"/>
  <c r="E23"/>
  <c r="R51" i="18"/>
  <c r="P51"/>
  <c r="Q51"/>
  <c r="U51"/>
  <c r="X51"/>
  <c r="O51"/>
  <c r="L51"/>
  <c r="F51"/>
  <c r="M51"/>
  <c r="N51"/>
  <c r="V51"/>
  <c r="S51"/>
  <c r="K51"/>
  <c r="E51"/>
  <c r="Z51"/>
  <c r="J51"/>
  <c r="W51"/>
  <c r="H51"/>
  <c r="T51"/>
  <c r="G51"/>
  <c r="I51"/>
  <c r="E23" i="29"/>
  <c r="H23"/>
  <c r="T23"/>
  <c r="S23"/>
  <c r="K23"/>
  <c r="O23"/>
  <c r="J23"/>
  <c r="V23"/>
  <c r="F23"/>
  <c r="Q23"/>
  <c r="R23"/>
  <c r="U23"/>
  <c r="L23"/>
  <c r="G23"/>
  <c r="N23"/>
  <c r="X23"/>
  <c r="I23"/>
  <c r="M23"/>
  <c r="P23"/>
  <c r="W23"/>
  <c r="J195" l="1"/>
  <c r="R26" i="31" s="1"/>
  <c r="J93" i="29"/>
  <c r="P112" i="34" s="1"/>
  <c r="J92" i="29"/>
  <c r="P111" i="34" s="1"/>
  <c r="J96" i="29"/>
  <c r="P115" i="34" s="1"/>
  <c r="J99" i="29"/>
  <c r="P118" i="34" s="1"/>
  <c r="J100" i="29"/>
  <c r="P119" i="34" s="1"/>
  <c r="J101" i="29"/>
  <c r="P120" i="34" s="1"/>
  <c r="J90" i="29"/>
  <c r="P109" i="34" s="1"/>
  <c r="J95" i="29"/>
  <c r="P114" i="34" s="1"/>
  <c r="J102" i="29"/>
  <c r="P121" i="34" s="1"/>
  <c r="J91" i="29"/>
  <c r="P110" i="34" s="1"/>
  <c r="J94" i="29"/>
  <c r="P113" i="34" s="1"/>
  <c r="J103" i="29"/>
  <c r="P122" i="34" s="1"/>
  <c r="J97" i="29"/>
  <c r="P116" i="34" s="1"/>
  <c r="J89" i="29"/>
  <c r="P108" i="34" s="1"/>
  <c r="J98" i="29"/>
  <c r="P117" i="34" s="1"/>
  <c r="S195" i="29"/>
  <c r="S98"/>
  <c r="Y117" i="34" s="1"/>
  <c r="S101" i="29"/>
  <c r="Y120" i="34" s="1"/>
  <c r="S90" i="29"/>
  <c r="Y109" i="34" s="1"/>
  <c r="S97" i="29"/>
  <c r="Y116" i="34" s="1"/>
  <c r="S102" i="29"/>
  <c r="Y121" i="34" s="1"/>
  <c r="S89" i="29"/>
  <c r="Y108" i="34" s="1"/>
  <c r="S94" i="29"/>
  <c r="Y113" i="34" s="1"/>
  <c r="S93" i="29"/>
  <c r="Y112" i="34" s="1"/>
  <c r="S96" i="29"/>
  <c r="Y115" i="34" s="1"/>
  <c r="S103" i="29"/>
  <c r="Y122" i="34" s="1"/>
  <c r="S91" i="29"/>
  <c r="Y110" i="34" s="1"/>
  <c r="S99" i="29"/>
  <c r="Y118" i="34" s="1"/>
  <c r="S92" i="29"/>
  <c r="Y111" i="34" s="1"/>
  <c r="S95" i="29"/>
  <c r="Y114" i="34" s="1"/>
  <c r="S100" i="29"/>
  <c r="Y119" i="34" s="1"/>
  <c r="W89" i="29"/>
  <c r="AC108" i="34" s="1"/>
  <c r="W100" i="29"/>
  <c r="AC119" i="34" s="1"/>
  <c r="W101" i="29"/>
  <c r="AC120" i="34" s="1"/>
  <c r="W97" i="29"/>
  <c r="AC116" i="34" s="1"/>
  <c r="W92" i="29"/>
  <c r="AC111" i="34" s="1"/>
  <c r="W95" i="29"/>
  <c r="AC114" i="34" s="1"/>
  <c r="W103" i="29"/>
  <c r="AC122" i="34" s="1"/>
  <c r="W93" i="29"/>
  <c r="AC112" i="34" s="1"/>
  <c r="W99" i="29"/>
  <c r="AC118" i="34" s="1"/>
  <c r="W91" i="29"/>
  <c r="AC110" i="34" s="1"/>
  <c r="W98" i="29"/>
  <c r="AC117" i="34" s="1"/>
  <c r="W90" i="29"/>
  <c r="AC109" i="34" s="1"/>
  <c r="W102" i="29"/>
  <c r="AC121" i="34" s="1"/>
  <c r="W195" i="29"/>
  <c r="W94"/>
  <c r="AC113" i="34" s="1"/>
  <c r="W96" i="29"/>
  <c r="AC115" i="34" s="1"/>
  <c r="L95" i="17"/>
  <c r="R54" i="34" s="1"/>
  <c r="L98" i="17"/>
  <c r="R57" i="34" s="1"/>
  <c r="L93" i="17"/>
  <c r="R52" i="34" s="1"/>
  <c r="L101" i="17"/>
  <c r="R60" i="34" s="1"/>
  <c r="L94" i="17"/>
  <c r="R53" i="34" s="1"/>
  <c r="L97" i="17"/>
  <c r="R56" i="34" s="1"/>
  <c r="L91" i="17"/>
  <c r="R50" i="34" s="1"/>
  <c r="L92" i="17"/>
  <c r="R51" i="34" s="1"/>
  <c r="L100" i="17"/>
  <c r="R59" i="34" s="1"/>
  <c r="L90" i="17"/>
  <c r="R49" i="34" s="1"/>
  <c r="L96" i="17"/>
  <c r="R55" i="34" s="1"/>
  <c r="L195" i="17"/>
  <c r="L89"/>
  <c r="R48" i="34" s="1"/>
  <c r="L99" i="17"/>
  <c r="R58" i="34" s="1"/>
  <c r="L102" i="17"/>
  <c r="R61" i="34" s="1"/>
  <c r="L103" i="17"/>
  <c r="R62" i="34" s="1"/>
  <c r="R95" i="17"/>
  <c r="X54" i="34" s="1"/>
  <c r="R90" i="17"/>
  <c r="X49" i="34" s="1"/>
  <c r="R97" i="17"/>
  <c r="X56" i="34" s="1"/>
  <c r="R101" i="17"/>
  <c r="X60" i="34" s="1"/>
  <c r="R89" i="17"/>
  <c r="X48" i="34" s="1"/>
  <c r="R195" i="17"/>
  <c r="R94"/>
  <c r="X53" i="34" s="1"/>
  <c r="R93" i="17"/>
  <c r="X52" i="34" s="1"/>
  <c r="R103" i="17"/>
  <c r="X62" i="34" s="1"/>
  <c r="R99" i="17"/>
  <c r="X58" i="34" s="1"/>
  <c r="R102" i="17"/>
  <c r="X61" i="34" s="1"/>
  <c r="R100" i="17"/>
  <c r="X59" i="34" s="1"/>
  <c r="R98" i="17"/>
  <c r="X57" i="34" s="1"/>
  <c r="R91" i="17"/>
  <c r="X50" i="34" s="1"/>
  <c r="R92" i="17"/>
  <c r="X51" i="34" s="1"/>
  <c r="R96" i="17"/>
  <c r="X55" i="34" s="1"/>
  <c r="O195" i="29"/>
  <c r="W26" i="31" s="1"/>
  <c r="O94" i="29"/>
  <c r="U113" i="34" s="1"/>
  <c r="O89" i="29"/>
  <c r="U108" i="34" s="1"/>
  <c r="O101" i="29"/>
  <c r="U120" i="34" s="1"/>
  <c r="O99" i="29"/>
  <c r="U118" i="34" s="1"/>
  <c r="O91" i="29"/>
  <c r="U110" i="34" s="1"/>
  <c r="O95" i="29"/>
  <c r="U114" i="34" s="1"/>
  <c r="O100" i="29"/>
  <c r="U119" i="34" s="1"/>
  <c r="O90" i="29"/>
  <c r="U109" i="34" s="1"/>
  <c r="O92" i="29"/>
  <c r="U111" i="34" s="1"/>
  <c r="O97" i="29"/>
  <c r="U116" i="34" s="1"/>
  <c r="O103" i="29"/>
  <c r="U122" i="34" s="1"/>
  <c r="O98" i="29"/>
  <c r="U117" i="34" s="1"/>
  <c r="O96" i="29"/>
  <c r="U115" i="34" s="1"/>
  <c r="O93" i="29"/>
  <c r="U112" i="34" s="1"/>
  <c r="O102" i="29"/>
  <c r="U121" i="34" s="1"/>
  <c r="V195" i="29"/>
  <c r="V91"/>
  <c r="AB110" i="34" s="1"/>
  <c r="V96" i="29"/>
  <c r="AB115" i="34" s="1"/>
  <c r="V102" i="29"/>
  <c r="AB121" i="34" s="1"/>
  <c r="V97" i="29"/>
  <c r="AB116" i="34" s="1"/>
  <c r="V98" i="29"/>
  <c r="AB117" i="34" s="1"/>
  <c r="V100" i="29"/>
  <c r="AB119" i="34" s="1"/>
  <c r="V89" i="29"/>
  <c r="AB108" i="34" s="1"/>
  <c r="V99" i="29"/>
  <c r="AB118" i="34" s="1"/>
  <c r="V93" i="29"/>
  <c r="AB112" i="34" s="1"/>
  <c r="V94" i="29"/>
  <c r="AB113" i="34" s="1"/>
  <c r="V103" i="29"/>
  <c r="AB122" i="34" s="1"/>
  <c r="V90" i="29"/>
  <c r="AB109" i="34" s="1"/>
  <c r="V92" i="29"/>
  <c r="AB111" i="34" s="1"/>
  <c r="V95" i="29"/>
  <c r="AB114" i="34" s="1"/>
  <c r="V101" i="29"/>
  <c r="AB120" i="34" s="1"/>
  <c r="E36" i="17"/>
  <c r="AA26"/>
  <c r="F100"/>
  <c r="L59" i="34" s="1"/>
  <c r="F89" i="17"/>
  <c r="L48" i="34" s="1"/>
  <c r="F90" i="17"/>
  <c r="L49" i="34" s="1"/>
  <c r="F195" i="17"/>
  <c r="F99"/>
  <c r="L58" i="34" s="1"/>
  <c r="F103" i="17"/>
  <c r="L62" i="34" s="1"/>
  <c r="F91" i="17"/>
  <c r="L50" i="34" s="1"/>
  <c r="F92" i="17"/>
  <c r="L51" i="34" s="1"/>
  <c r="F96" i="17"/>
  <c r="L55" i="34" s="1"/>
  <c r="F102" i="17"/>
  <c r="L61" i="34" s="1"/>
  <c r="F97" i="17"/>
  <c r="L56" i="34" s="1"/>
  <c r="F93" i="17"/>
  <c r="L52" i="34" s="1"/>
  <c r="F95" i="17"/>
  <c r="L54" i="34" s="1"/>
  <c r="F98" i="17"/>
  <c r="L57" i="34" s="1"/>
  <c r="F94" i="17"/>
  <c r="L53" i="34" s="1"/>
  <c r="F101" i="17"/>
  <c r="L60" i="34" s="1"/>
  <c r="R195" i="29"/>
  <c r="R89"/>
  <c r="X108" i="34" s="1"/>
  <c r="R99" i="29"/>
  <c r="X118" i="34" s="1"/>
  <c r="R90" i="29"/>
  <c r="X109" i="34" s="1"/>
  <c r="R97" i="29"/>
  <c r="X116" i="34" s="1"/>
  <c r="R93" i="29"/>
  <c r="X112" i="34" s="1"/>
  <c r="R91" i="29"/>
  <c r="X110" i="34" s="1"/>
  <c r="R92" i="29"/>
  <c r="X111" i="34" s="1"/>
  <c r="R102" i="29"/>
  <c r="X121" i="34" s="1"/>
  <c r="R98" i="29"/>
  <c r="X117" i="34" s="1"/>
  <c r="R94" i="29"/>
  <c r="X113" i="34" s="1"/>
  <c r="R103" i="29"/>
  <c r="X122" i="34" s="1"/>
  <c r="R100" i="29"/>
  <c r="X119" i="34" s="1"/>
  <c r="R95" i="29"/>
  <c r="X114" i="34" s="1"/>
  <c r="R101" i="29"/>
  <c r="X120" i="34" s="1"/>
  <c r="R96" i="29"/>
  <c r="X115" i="34" s="1"/>
  <c r="M90" i="29"/>
  <c r="S109" i="34" s="1"/>
  <c r="M92" i="29"/>
  <c r="S111" i="34" s="1"/>
  <c r="M102" i="29"/>
  <c r="S121" i="34" s="1"/>
  <c r="M101" i="29"/>
  <c r="S120" i="34" s="1"/>
  <c r="M100" i="29"/>
  <c r="S119" i="34" s="1"/>
  <c r="M93" i="29"/>
  <c r="S112" i="34" s="1"/>
  <c r="M94" i="29"/>
  <c r="S113" i="34" s="1"/>
  <c r="M98" i="29"/>
  <c r="S117" i="34" s="1"/>
  <c r="M195" i="29"/>
  <c r="U26" i="31" s="1"/>
  <c r="M97" i="29"/>
  <c r="S116" i="34" s="1"/>
  <c r="M91" i="29"/>
  <c r="S110" i="34" s="1"/>
  <c r="M103" i="29"/>
  <c r="S122" i="34" s="1"/>
  <c r="M96" i="29"/>
  <c r="S115" i="34" s="1"/>
  <c r="M89" i="29"/>
  <c r="S108" i="34" s="1"/>
  <c r="M99" i="29"/>
  <c r="S118" i="34" s="1"/>
  <c r="M95" i="29"/>
  <c r="S114" i="34" s="1"/>
  <c r="P195" i="29"/>
  <c r="X26" i="31" s="1"/>
  <c r="P92" i="29"/>
  <c r="V111" i="34" s="1"/>
  <c r="P95" i="29"/>
  <c r="V114" i="34" s="1"/>
  <c r="P101" i="29"/>
  <c r="V120" i="34" s="1"/>
  <c r="P93" i="29"/>
  <c r="V112" i="34" s="1"/>
  <c r="P103" i="29"/>
  <c r="V122" i="34" s="1"/>
  <c r="P99" i="29"/>
  <c r="V118" i="34" s="1"/>
  <c r="P102" i="29"/>
  <c r="V121" i="34" s="1"/>
  <c r="P90" i="29"/>
  <c r="V109" i="34" s="1"/>
  <c r="P100" i="29"/>
  <c r="V119" i="34" s="1"/>
  <c r="P96" i="29"/>
  <c r="V115" i="34" s="1"/>
  <c r="P91" i="29"/>
  <c r="V110" i="34" s="1"/>
  <c r="P98" i="29"/>
  <c r="V117" i="34" s="1"/>
  <c r="P94" i="29"/>
  <c r="V113" i="34" s="1"/>
  <c r="P97" i="29"/>
  <c r="V116" i="34" s="1"/>
  <c r="P89" i="29"/>
  <c r="V108" i="34" s="1"/>
  <c r="U195" i="29"/>
  <c r="U100"/>
  <c r="AA119" i="34" s="1"/>
  <c r="U94" i="29"/>
  <c r="AA113" i="34" s="1"/>
  <c r="U90" i="29"/>
  <c r="AA109" i="34" s="1"/>
  <c r="U97" i="29"/>
  <c r="AA116" i="34" s="1"/>
  <c r="U99" i="29"/>
  <c r="AA118" i="34" s="1"/>
  <c r="U98" i="29"/>
  <c r="AA117" i="34" s="1"/>
  <c r="U92" i="29"/>
  <c r="AA111" i="34" s="1"/>
  <c r="U96" i="29"/>
  <c r="AA115" i="34" s="1"/>
  <c r="U101" i="29"/>
  <c r="AA120" i="34" s="1"/>
  <c r="U89" i="29"/>
  <c r="AA108" i="34" s="1"/>
  <c r="U93" i="29"/>
  <c r="AA112" i="34" s="1"/>
  <c r="U103" i="29"/>
  <c r="AA122" i="34" s="1"/>
  <c r="U102" i="29"/>
  <c r="AA121" i="34" s="1"/>
  <c r="U91" i="29"/>
  <c r="AA110" i="34" s="1"/>
  <c r="U95" i="29"/>
  <c r="AA114" i="34" s="1"/>
  <c r="E36" i="29"/>
  <c r="AA26"/>
  <c r="I97" i="17"/>
  <c r="O56" i="34" s="1"/>
  <c r="I103" i="17"/>
  <c r="O62" i="34" s="1"/>
  <c r="I94" i="17"/>
  <c r="O53" i="34" s="1"/>
  <c r="I98" i="17"/>
  <c r="O57" i="34" s="1"/>
  <c r="I91" i="17"/>
  <c r="O50" i="34" s="1"/>
  <c r="I92" i="17"/>
  <c r="O51" i="34" s="1"/>
  <c r="I95" i="17"/>
  <c r="O54" i="34" s="1"/>
  <c r="I195" i="17"/>
  <c r="I96"/>
  <c r="O55" i="34" s="1"/>
  <c r="I100" i="17"/>
  <c r="O59" i="34" s="1"/>
  <c r="I90" i="17"/>
  <c r="O49" i="34" s="1"/>
  <c r="I93" i="17"/>
  <c r="O52" i="34" s="1"/>
  <c r="I102" i="17"/>
  <c r="O61" i="34" s="1"/>
  <c r="I89" i="17"/>
  <c r="O48" i="34" s="1"/>
  <c r="I101" i="17"/>
  <c r="O60" i="34" s="1"/>
  <c r="I99" i="17"/>
  <c r="O58" i="34" s="1"/>
  <c r="N103" i="17"/>
  <c r="T62" i="34" s="1"/>
  <c r="N91" i="17"/>
  <c r="T50" i="34" s="1"/>
  <c r="N97" i="17"/>
  <c r="T56" i="34" s="1"/>
  <c r="N90" i="17"/>
  <c r="T49" i="34" s="1"/>
  <c r="N93" i="17"/>
  <c r="T52" i="34" s="1"/>
  <c r="N89" i="17"/>
  <c r="T48" i="34" s="1"/>
  <c r="N195" i="17"/>
  <c r="N100"/>
  <c r="T59" i="34" s="1"/>
  <c r="N94" i="17"/>
  <c r="T53" i="34" s="1"/>
  <c r="N98" i="17"/>
  <c r="T57" i="34" s="1"/>
  <c r="N101" i="17"/>
  <c r="T60" i="34" s="1"/>
  <c r="N102" i="17"/>
  <c r="T61" i="34" s="1"/>
  <c r="N99" i="17"/>
  <c r="T58" i="34" s="1"/>
  <c r="N95" i="17"/>
  <c r="T54" i="34" s="1"/>
  <c r="N92" i="17"/>
  <c r="T51" i="34" s="1"/>
  <c r="N96" i="17"/>
  <c r="T55" i="34" s="1"/>
  <c r="Q92" i="17"/>
  <c r="W51" i="34" s="1"/>
  <c r="Q100" i="17"/>
  <c r="W59" i="34" s="1"/>
  <c r="Q101" i="17"/>
  <c r="W60" i="34" s="1"/>
  <c r="Q94" i="17"/>
  <c r="W53" i="34" s="1"/>
  <c r="Q99" i="17"/>
  <c r="W58" i="34" s="1"/>
  <c r="Q195" i="17"/>
  <c r="Q97"/>
  <c r="W56" i="34" s="1"/>
  <c r="Q96" i="17"/>
  <c r="W55" i="34" s="1"/>
  <c r="Q89" i="17"/>
  <c r="W48" i="34" s="1"/>
  <c r="Q102" i="17"/>
  <c r="W61" i="34" s="1"/>
  <c r="Q91" i="17"/>
  <c r="W50" i="34" s="1"/>
  <c r="Q95" i="17"/>
  <c r="W54" i="34" s="1"/>
  <c r="Q98" i="17"/>
  <c r="W57" i="34" s="1"/>
  <c r="Q93" i="17"/>
  <c r="W52" i="34" s="1"/>
  <c r="Q103" i="17"/>
  <c r="W62" i="34" s="1"/>
  <c r="Q90" i="17"/>
  <c r="W49" i="34" s="1"/>
  <c r="U95" i="17"/>
  <c r="AA54" i="34" s="1"/>
  <c r="U89" i="17"/>
  <c r="AA48" i="34" s="1"/>
  <c r="U103" i="17"/>
  <c r="AA62" i="34" s="1"/>
  <c r="U100" i="17"/>
  <c r="AA59" i="34" s="1"/>
  <c r="U98" i="17"/>
  <c r="AA57" i="34" s="1"/>
  <c r="U94" i="17"/>
  <c r="AA53" i="34" s="1"/>
  <c r="U97" i="17"/>
  <c r="AA56" i="34" s="1"/>
  <c r="U92" i="17"/>
  <c r="AA51" i="34" s="1"/>
  <c r="U96" i="17"/>
  <c r="AA55" i="34" s="1"/>
  <c r="U99" i="17"/>
  <c r="AA58" i="34" s="1"/>
  <c r="U101" i="17"/>
  <c r="AA60" i="34" s="1"/>
  <c r="U91" i="17"/>
  <c r="AA50" i="34" s="1"/>
  <c r="U195" i="17"/>
  <c r="U93"/>
  <c r="AA52" i="34" s="1"/>
  <c r="U90" i="17"/>
  <c r="AA49" i="34" s="1"/>
  <c r="U102" i="17"/>
  <c r="AA61" i="34" s="1"/>
  <c r="V100" i="17"/>
  <c r="AB59" i="34" s="1"/>
  <c r="V92" i="17"/>
  <c r="AB51" i="34" s="1"/>
  <c r="V101" i="17"/>
  <c r="AB60" i="34" s="1"/>
  <c r="V95" i="17"/>
  <c r="AB54" i="34" s="1"/>
  <c r="V91" i="17"/>
  <c r="AB50" i="34" s="1"/>
  <c r="V103" i="17"/>
  <c r="AB62" i="34" s="1"/>
  <c r="V98" i="17"/>
  <c r="AB57" i="34" s="1"/>
  <c r="V97" i="17"/>
  <c r="AB56" i="34" s="1"/>
  <c r="V195" i="17"/>
  <c r="V99"/>
  <c r="AB58" i="34" s="1"/>
  <c r="V96" i="17"/>
  <c r="AB55" i="34" s="1"/>
  <c r="V89" i="17"/>
  <c r="AB48" i="34" s="1"/>
  <c r="V90" i="17"/>
  <c r="AB49" i="34" s="1"/>
  <c r="V102" i="17"/>
  <c r="AB61" i="34" s="1"/>
  <c r="V93" i="17"/>
  <c r="AB52" i="34" s="1"/>
  <c r="V94" i="17"/>
  <c r="AB53" i="34" s="1"/>
  <c r="K63" i="31"/>
  <c r="K132" s="1"/>
  <c r="Q234" i="34" s="1"/>
  <c r="J63" i="31"/>
  <c r="J138" s="1"/>
  <c r="P240" i="34" s="1"/>
  <c r="H63" i="18"/>
  <c r="X63"/>
  <c r="X126" s="1"/>
  <c r="AD168" i="34" s="1"/>
  <c r="L63" i="18"/>
  <c r="K89" i="29"/>
  <c r="Q108" i="34" s="1"/>
  <c r="K96" i="29"/>
  <c r="Q115" i="34" s="1"/>
  <c r="K101" i="29"/>
  <c r="Q120" i="34" s="1"/>
  <c r="K103" i="29"/>
  <c r="Q122" i="34" s="1"/>
  <c r="K100" i="29"/>
  <c r="Q119" i="34" s="1"/>
  <c r="K102" i="29"/>
  <c r="Q121" i="34" s="1"/>
  <c r="K98" i="29"/>
  <c r="Q117" i="34" s="1"/>
  <c r="K195" i="29"/>
  <c r="S26" i="31" s="1"/>
  <c r="K94" i="29"/>
  <c r="Q113" i="34" s="1"/>
  <c r="K99" i="29"/>
  <c r="Q118" i="34" s="1"/>
  <c r="K90" i="29"/>
  <c r="Q109" i="34" s="1"/>
  <c r="K93" i="29"/>
  <c r="Q112" i="34" s="1"/>
  <c r="K95" i="29"/>
  <c r="Q114" i="34" s="1"/>
  <c r="K91" i="29"/>
  <c r="Q110" i="34" s="1"/>
  <c r="K92" i="29"/>
  <c r="Q111" i="34" s="1"/>
  <c r="K97" i="29"/>
  <c r="Q116" i="34" s="1"/>
  <c r="H94" i="29"/>
  <c r="N113" i="34" s="1"/>
  <c r="H93" i="29"/>
  <c r="N112" i="34" s="1"/>
  <c r="H98" i="29"/>
  <c r="N117" i="34" s="1"/>
  <c r="H100" i="29"/>
  <c r="N119" i="34" s="1"/>
  <c r="H195" i="29"/>
  <c r="P26" i="31" s="1"/>
  <c r="H97" i="29"/>
  <c r="N116" i="34" s="1"/>
  <c r="H89" i="29"/>
  <c r="N108" i="34" s="1"/>
  <c r="H91" i="29"/>
  <c r="N110" i="34" s="1"/>
  <c r="H102" i="29"/>
  <c r="N121" i="34" s="1"/>
  <c r="H90" i="29"/>
  <c r="N109" i="34" s="1"/>
  <c r="H99" i="29"/>
  <c r="N118" i="34" s="1"/>
  <c r="H92" i="29"/>
  <c r="N111" i="34" s="1"/>
  <c r="H101" i="29"/>
  <c r="N120" i="34" s="1"/>
  <c r="H103" i="29"/>
  <c r="N122" i="34" s="1"/>
  <c r="H96" i="29"/>
  <c r="N115" i="34" s="1"/>
  <c r="H95" i="29"/>
  <c r="N114" i="34" s="1"/>
  <c r="J91" i="17"/>
  <c r="P50" i="34" s="1"/>
  <c r="J92" i="17"/>
  <c r="P51" i="34" s="1"/>
  <c r="J101" i="17"/>
  <c r="P60" i="34" s="1"/>
  <c r="J89" i="17"/>
  <c r="P48" i="34" s="1"/>
  <c r="J103" i="17"/>
  <c r="P62" i="34" s="1"/>
  <c r="J95" i="17"/>
  <c r="P54" i="34" s="1"/>
  <c r="J90" i="17"/>
  <c r="P49" i="34" s="1"/>
  <c r="J98" i="17"/>
  <c r="P57" i="34" s="1"/>
  <c r="J195" i="17"/>
  <c r="J93"/>
  <c r="P52" i="34" s="1"/>
  <c r="J100" i="17"/>
  <c r="P59" i="34" s="1"/>
  <c r="J102" i="17"/>
  <c r="P61" i="34" s="1"/>
  <c r="J96" i="17"/>
  <c r="P55" i="34" s="1"/>
  <c r="J94" i="17"/>
  <c r="P53" i="34" s="1"/>
  <c r="J97" i="17"/>
  <c r="P56" i="34" s="1"/>
  <c r="J99" i="17"/>
  <c r="P58" i="34" s="1"/>
  <c r="H101" i="17"/>
  <c r="N60" i="34" s="1"/>
  <c r="H90" i="17"/>
  <c r="N49" i="34" s="1"/>
  <c r="H89" i="17"/>
  <c r="N48" i="34" s="1"/>
  <c r="H93" i="17"/>
  <c r="N52" i="34" s="1"/>
  <c r="H91" i="17"/>
  <c r="N50" i="34" s="1"/>
  <c r="H95" i="17"/>
  <c r="N54" i="34" s="1"/>
  <c r="H99" i="17"/>
  <c r="N58" i="34" s="1"/>
  <c r="H98" i="17"/>
  <c r="N57" i="34" s="1"/>
  <c r="H94" i="17"/>
  <c r="N53" i="34" s="1"/>
  <c r="H92" i="17"/>
  <c r="N51" i="34" s="1"/>
  <c r="H97" i="17"/>
  <c r="N56" i="34" s="1"/>
  <c r="H100" i="17"/>
  <c r="N59" i="34" s="1"/>
  <c r="H96" i="17"/>
  <c r="N55" i="34" s="1"/>
  <c r="H103" i="17"/>
  <c r="N62" i="34" s="1"/>
  <c r="H195" i="17"/>
  <c r="H102"/>
  <c r="N61" i="34" s="1"/>
  <c r="M90" i="17"/>
  <c r="S49" i="34" s="1"/>
  <c r="M102" i="17"/>
  <c r="S61" i="34" s="1"/>
  <c r="M195" i="17"/>
  <c r="M91"/>
  <c r="S50" i="34" s="1"/>
  <c r="M100" i="17"/>
  <c r="S59" i="34" s="1"/>
  <c r="M103" i="17"/>
  <c r="S62" i="34" s="1"/>
  <c r="M92" i="17"/>
  <c r="S51" i="34" s="1"/>
  <c r="M99" i="17"/>
  <c r="S58" i="34" s="1"/>
  <c r="M98" i="17"/>
  <c r="S57" i="34" s="1"/>
  <c r="M97" i="17"/>
  <c r="S56" i="34" s="1"/>
  <c r="M94" i="17"/>
  <c r="S53" i="34" s="1"/>
  <c r="M95" i="17"/>
  <c r="S54" i="34" s="1"/>
  <c r="M101" i="17"/>
  <c r="S60" i="34" s="1"/>
  <c r="M89" i="17"/>
  <c r="S48" i="34" s="1"/>
  <c r="M93" i="17"/>
  <c r="S52" i="34" s="1"/>
  <c r="M96" i="17"/>
  <c r="S55" i="34" s="1"/>
  <c r="I101" i="29"/>
  <c r="O120" i="34" s="1"/>
  <c r="I96" i="29"/>
  <c r="O115" i="34" s="1"/>
  <c r="I91" i="29"/>
  <c r="O110" i="34" s="1"/>
  <c r="I98" i="29"/>
  <c r="O117" i="34" s="1"/>
  <c r="I103" i="29"/>
  <c r="O122" i="34" s="1"/>
  <c r="I102" i="29"/>
  <c r="O121" i="34" s="1"/>
  <c r="I97" i="29"/>
  <c r="O116" i="34" s="1"/>
  <c r="I93" i="29"/>
  <c r="O112" i="34" s="1"/>
  <c r="I99" i="29"/>
  <c r="O118" i="34" s="1"/>
  <c r="I94" i="29"/>
  <c r="O113" i="34" s="1"/>
  <c r="I92" i="29"/>
  <c r="O111" i="34" s="1"/>
  <c r="I89" i="29"/>
  <c r="O108" i="34" s="1"/>
  <c r="I95" i="29"/>
  <c r="O114" i="34" s="1"/>
  <c r="I90" i="29"/>
  <c r="O109" i="34" s="1"/>
  <c r="I100" i="29"/>
  <c r="O119" i="34" s="1"/>
  <c r="I195" i="29"/>
  <c r="Q26" i="31" s="1"/>
  <c r="F98" i="29"/>
  <c r="L117" i="34" s="1"/>
  <c r="F101" i="29"/>
  <c r="L120" i="34" s="1"/>
  <c r="F93" i="29"/>
  <c r="L112" i="34" s="1"/>
  <c r="F92" i="29"/>
  <c r="L111" i="34" s="1"/>
  <c r="F90" i="29"/>
  <c r="L109" i="34" s="1"/>
  <c r="F102" i="29"/>
  <c r="L121" i="34" s="1"/>
  <c r="F100" i="29"/>
  <c r="L119" i="34" s="1"/>
  <c r="F94" i="29"/>
  <c r="L113" i="34" s="1"/>
  <c r="F99" i="29"/>
  <c r="L118" i="34" s="1"/>
  <c r="F97" i="29"/>
  <c r="L116" i="34" s="1"/>
  <c r="F91" i="29"/>
  <c r="L110" i="34" s="1"/>
  <c r="F103" i="29"/>
  <c r="L122" i="34" s="1"/>
  <c r="F96" i="29"/>
  <c r="L115" i="34" s="1"/>
  <c r="F89" i="29"/>
  <c r="L108" i="34" s="1"/>
  <c r="F95" i="29"/>
  <c r="L114" i="34" s="1"/>
  <c r="F195" i="29"/>
  <c r="N26" i="31" s="1"/>
  <c r="N195" i="29"/>
  <c r="V26" i="31" s="1"/>
  <c r="N89" i="29"/>
  <c r="T108" i="34" s="1"/>
  <c r="N102" i="29"/>
  <c r="T121" i="34" s="1"/>
  <c r="N101" i="29"/>
  <c r="T120" i="34" s="1"/>
  <c r="N95" i="29"/>
  <c r="T114" i="34" s="1"/>
  <c r="N93" i="29"/>
  <c r="T112" i="34" s="1"/>
  <c r="N91" i="29"/>
  <c r="T110" i="34" s="1"/>
  <c r="N100" i="29"/>
  <c r="T119" i="34" s="1"/>
  <c r="N94" i="29"/>
  <c r="T113" i="34" s="1"/>
  <c r="N99" i="29"/>
  <c r="T118" i="34" s="1"/>
  <c r="N96" i="29"/>
  <c r="T115" i="34" s="1"/>
  <c r="N97" i="29"/>
  <c r="T116" i="34" s="1"/>
  <c r="N92" i="29"/>
  <c r="T111" i="34" s="1"/>
  <c r="N90" i="29"/>
  <c r="T109" i="34" s="1"/>
  <c r="N98" i="29"/>
  <c r="T117" i="34" s="1"/>
  <c r="N103" i="29"/>
  <c r="T122" i="34" s="1"/>
  <c r="X98" i="17"/>
  <c r="AD57" i="34" s="1"/>
  <c r="X103" i="17"/>
  <c r="AD62" i="34" s="1"/>
  <c r="X95" i="17"/>
  <c r="AD54" i="34" s="1"/>
  <c r="X90" i="17"/>
  <c r="AD49" i="34" s="1"/>
  <c r="X91" i="17"/>
  <c r="AD50" i="34" s="1"/>
  <c r="X100" i="17"/>
  <c r="AD59" i="34" s="1"/>
  <c r="X96" i="17"/>
  <c r="AD55" i="34" s="1"/>
  <c r="X93" i="17"/>
  <c r="AD52" i="34" s="1"/>
  <c r="X94" i="17"/>
  <c r="AD53" i="34" s="1"/>
  <c r="X101" i="17"/>
  <c r="AD60" i="34" s="1"/>
  <c r="X89" i="17"/>
  <c r="AD48" i="34" s="1"/>
  <c r="X99" i="17"/>
  <c r="AD58" i="34" s="1"/>
  <c r="X195" i="17"/>
  <c r="X97"/>
  <c r="AD56" i="34" s="1"/>
  <c r="X102" i="17"/>
  <c r="AD61" i="34" s="1"/>
  <c r="X92" i="17"/>
  <c r="AD51" i="34" s="1"/>
  <c r="W96" i="17"/>
  <c r="AC55" i="34" s="1"/>
  <c r="W99" i="17"/>
  <c r="AC58" i="34" s="1"/>
  <c r="W92" i="17"/>
  <c r="AC51" i="34" s="1"/>
  <c r="W89" i="17"/>
  <c r="AC48" i="34" s="1"/>
  <c r="W94" i="17"/>
  <c r="AC53" i="34" s="1"/>
  <c r="W91" i="17"/>
  <c r="AC50" i="34" s="1"/>
  <c r="W98" i="17"/>
  <c r="AC57" i="34" s="1"/>
  <c r="W93" i="17"/>
  <c r="AC52" i="34" s="1"/>
  <c r="W95" i="17"/>
  <c r="AC54" i="34" s="1"/>
  <c r="W103" i="17"/>
  <c r="AC62" i="34" s="1"/>
  <c r="W195" i="17"/>
  <c r="W90"/>
  <c r="AC49" i="34" s="1"/>
  <c r="W102" i="17"/>
  <c r="AC61" i="34" s="1"/>
  <c r="W101" i="17"/>
  <c r="AC60" i="34" s="1"/>
  <c r="W100" i="17"/>
  <c r="AC59" i="34" s="1"/>
  <c r="W97" i="17"/>
  <c r="AC56" i="34" s="1"/>
  <c r="P99" i="17"/>
  <c r="V58" i="34" s="1"/>
  <c r="P100" i="17"/>
  <c r="V59" i="34" s="1"/>
  <c r="P93" i="17"/>
  <c r="V52" i="34" s="1"/>
  <c r="P92" i="17"/>
  <c r="V51" i="34" s="1"/>
  <c r="P96" i="17"/>
  <c r="V55" i="34" s="1"/>
  <c r="P94" i="17"/>
  <c r="V53" i="34" s="1"/>
  <c r="P97" i="17"/>
  <c r="V56" i="34" s="1"/>
  <c r="P102" i="17"/>
  <c r="V61" i="34" s="1"/>
  <c r="P195" i="17"/>
  <c r="P101"/>
  <c r="V60" i="34" s="1"/>
  <c r="P89" i="17"/>
  <c r="V48" i="34" s="1"/>
  <c r="P91" i="17"/>
  <c r="V50" i="34" s="1"/>
  <c r="P95" i="17"/>
  <c r="V54" i="34" s="1"/>
  <c r="P103" i="17"/>
  <c r="V62" i="34" s="1"/>
  <c r="P90" i="17"/>
  <c r="V49" i="34" s="1"/>
  <c r="P98" i="17"/>
  <c r="V57" i="34" s="1"/>
  <c r="L101" i="29"/>
  <c r="R120" i="34" s="1"/>
  <c r="L97" i="29"/>
  <c r="R116" i="34" s="1"/>
  <c r="L89" i="29"/>
  <c r="R108" i="34" s="1"/>
  <c r="L91" i="29"/>
  <c r="R110" i="34" s="1"/>
  <c r="L93" i="29"/>
  <c r="R112" i="34" s="1"/>
  <c r="L99" i="29"/>
  <c r="R118" i="34" s="1"/>
  <c r="L100" i="29"/>
  <c r="R119" i="34" s="1"/>
  <c r="L90" i="29"/>
  <c r="R109" i="34" s="1"/>
  <c r="L102" i="29"/>
  <c r="R121" i="34" s="1"/>
  <c r="L94" i="29"/>
  <c r="R113" i="34" s="1"/>
  <c r="L92" i="29"/>
  <c r="R111" i="34" s="1"/>
  <c r="L195" i="29"/>
  <c r="T26" i="31" s="1"/>
  <c r="L96" i="29"/>
  <c r="R115" i="34" s="1"/>
  <c r="L95" i="29"/>
  <c r="R114" i="34" s="1"/>
  <c r="L98" i="29"/>
  <c r="R117" i="34" s="1"/>
  <c r="L103" i="29"/>
  <c r="R122" i="34" s="1"/>
  <c r="Q195" i="29"/>
  <c r="Q95"/>
  <c r="W114" i="34" s="1"/>
  <c r="Q100" i="29"/>
  <c r="W119" i="34" s="1"/>
  <c r="Q102" i="29"/>
  <c r="W121" i="34" s="1"/>
  <c r="Q93" i="29"/>
  <c r="W112" i="34" s="1"/>
  <c r="Q92" i="29"/>
  <c r="W111" i="34" s="1"/>
  <c r="Q99" i="29"/>
  <c r="W118" i="34" s="1"/>
  <c r="Q103" i="29"/>
  <c r="W122" i="34" s="1"/>
  <c r="Q101" i="29"/>
  <c r="W120" i="34" s="1"/>
  <c r="Q89" i="29"/>
  <c r="W108" i="34" s="1"/>
  <c r="Q97" i="29"/>
  <c r="W116" i="34" s="1"/>
  <c r="Q94" i="29"/>
  <c r="W113" i="34" s="1"/>
  <c r="Q98" i="29"/>
  <c r="W117" i="34" s="1"/>
  <c r="Q90" i="29"/>
  <c r="W109" i="34" s="1"/>
  <c r="Q96" i="29"/>
  <c r="W115" i="34" s="1"/>
  <c r="Q91" i="29"/>
  <c r="W110" i="34" s="1"/>
  <c r="G195" i="29"/>
  <c r="O26" i="31" s="1"/>
  <c r="G94" i="29"/>
  <c r="M113" i="34" s="1"/>
  <c r="G96" i="29"/>
  <c r="M115" i="34" s="1"/>
  <c r="G93" i="29"/>
  <c r="M112" i="34" s="1"/>
  <c r="G98" i="29"/>
  <c r="M117" i="34" s="1"/>
  <c r="G97" i="29"/>
  <c r="M116" i="34" s="1"/>
  <c r="G95" i="29"/>
  <c r="M114" i="34" s="1"/>
  <c r="G100" i="29"/>
  <c r="M119" i="34" s="1"/>
  <c r="G101" i="29"/>
  <c r="M120" i="34" s="1"/>
  <c r="G99" i="29"/>
  <c r="M118" i="34" s="1"/>
  <c r="G102" i="29"/>
  <c r="M121" i="34" s="1"/>
  <c r="G90" i="29"/>
  <c r="M109" i="34" s="1"/>
  <c r="G89" i="29"/>
  <c r="M108" i="34" s="1"/>
  <c r="G91" i="29"/>
  <c r="M110" i="34" s="1"/>
  <c r="G103" i="29"/>
  <c r="M122" i="34" s="1"/>
  <c r="G92" i="29"/>
  <c r="M111" i="34" s="1"/>
  <c r="X195" i="29"/>
  <c r="X92"/>
  <c r="AD111" i="34" s="1"/>
  <c r="X89" i="29"/>
  <c r="AD108" i="34" s="1"/>
  <c r="X101" i="29"/>
  <c r="AD120" i="34" s="1"/>
  <c r="X95" i="29"/>
  <c r="AD114" i="34" s="1"/>
  <c r="X90" i="29"/>
  <c r="AD109" i="34" s="1"/>
  <c r="X94" i="29"/>
  <c r="AD113" i="34" s="1"/>
  <c r="X103" i="29"/>
  <c r="AD122" i="34" s="1"/>
  <c r="X100" i="29"/>
  <c r="AD119" i="34" s="1"/>
  <c r="X97" i="29"/>
  <c r="AD116" i="34" s="1"/>
  <c r="X91" i="29"/>
  <c r="AD110" i="34" s="1"/>
  <c r="X98" i="29"/>
  <c r="AD117" i="34" s="1"/>
  <c r="X93" i="29"/>
  <c r="AD112" i="34" s="1"/>
  <c r="X96" i="29"/>
  <c r="AD115" i="34" s="1"/>
  <c r="X99" i="29"/>
  <c r="AD118" i="34" s="1"/>
  <c r="X102" i="29"/>
  <c r="AD121" i="34" s="1"/>
  <c r="T195" i="29"/>
  <c r="T95"/>
  <c r="Z114" i="34" s="1"/>
  <c r="T96" i="29"/>
  <c r="Z115" i="34" s="1"/>
  <c r="T93" i="29"/>
  <c r="Z112" i="34" s="1"/>
  <c r="T92" i="29"/>
  <c r="Z111" i="34" s="1"/>
  <c r="T89" i="29"/>
  <c r="Z108" i="34" s="1"/>
  <c r="T90" i="29"/>
  <c r="Z109" i="34" s="1"/>
  <c r="T102" i="29"/>
  <c r="Z121" i="34" s="1"/>
  <c r="T97" i="29"/>
  <c r="Z116" i="34" s="1"/>
  <c r="T99" i="29"/>
  <c r="Z118" i="34" s="1"/>
  <c r="T101" i="29"/>
  <c r="Z120" i="34" s="1"/>
  <c r="T91" i="29"/>
  <c r="Z110" i="34" s="1"/>
  <c r="T94" i="29"/>
  <c r="Z113" i="34" s="1"/>
  <c r="T100" i="29"/>
  <c r="Z119" i="34" s="1"/>
  <c r="T103" i="29"/>
  <c r="Z122" i="34" s="1"/>
  <c r="T98" i="29"/>
  <c r="Z117" i="34" s="1"/>
  <c r="O90" i="17"/>
  <c r="U49" i="34" s="1"/>
  <c r="O96" i="17"/>
  <c r="U55" i="34" s="1"/>
  <c r="O98" i="17"/>
  <c r="U57" i="34" s="1"/>
  <c r="O103" i="17"/>
  <c r="U62" i="34" s="1"/>
  <c r="O92" i="17"/>
  <c r="U51" i="34" s="1"/>
  <c r="O100" i="17"/>
  <c r="U59" i="34" s="1"/>
  <c r="O89" i="17"/>
  <c r="U48" i="34" s="1"/>
  <c r="O93" i="17"/>
  <c r="U52" i="34" s="1"/>
  <c r="O195" i="17"/>
  <c r="O91"/>
  <c r="U50" i="34" s="1"/>
  <c r="O97" i="17"/>
  <c r="U56" i="34" s="1"/>
  <c r="O95" i="17"/>
  <c r="U54" i="34" s="1"/>
  <c r="O102" i="17"/>
  <c r="U61" i="34" s="1"/>
  <c r="O94" i="17"/>
  <c r="U53" i="34" s="1"/>
  <c r="O99" i="17"/>
  <c r="U58" i="34" s="1"/>
  <c r="O101" i="17"/>
  <c r="U60" i="34" s="1"/>
  <c r="G95" i="17"/>
  <c r="M54" i="34" s="1"/>
  <c r="G94" i="17"/>
  <c r="M53" i="34" s="1"/>
  <c r="G91" i="17"/>
  <c r="M50" i="34" s="1"/>
  <c r="G96" i="17"/>
  <c r="M55" i="34" s="1"/>
  <c r="G89" i="17"/>
  <c r="M48" i="34" s="1"/>
  <c r="G93" i="17"/>
  <c r="M52" i="34" s="1"/>
  <c r="G99" i="17"/>
  <c r="M58" i="34" s="1"/>
  <c r="G98" i="17"/>
  <c r="M57" i="34" s="1"/>
  <c r="G195" i="17"/>
  <c r="G103"/>
  <c r="M62" i="34" s="1"/>
  <c r="G101" i="17"/>
  <c r="M60" i="34" s="1"/>
  <c r="G102" i="17"/>
  <c r="M61" i="34" s="1"/>
  <c r="G100" i="17"/>
  <c r="M59" i="34" s="1"/>
  <c r="G90" i="17"/>
  <c r="M49" i="34" s="1"/>
  <c r="G92" i="17"/>
  <c r="M51" i="34" s="1"/>
  <c r="G97" i="17"/>
  <c r="M56" i="34" s="1"/>
  <c r="K89" i="17"/>
  <c r="Q48" i="34" s="1"/>
  <c r="K93" i="17"/>
  <c r="Q52" i="34" s="1"/>
  <c r="K98" i="17"/>
  <c r="Q57" i="34" s="1"/>
  <c r="K103" i="17"/>
  <c r="Q62" i="34" s="1"/>
  <c r="K100" i="17"/>
  <c r="Q59" i="34" s="1"/>
  <c r="K97" i="17"/>
  <c r="Q56" i="34" s="1"/>
  <c r="K195" i="17"/>
  <c r="K91"/>
  <c r="Q50" i="34" s="1"/>
  <c r="K92" i="17"/>
  <c r="Q51" i="34" s="1"/>
  <c r="K96" i="17"/>
  <c r="Q55" i="34" s="1"/>
  <c r="K102" i="17"/>
  <c r="Q61" i="34" s="1"/>
  <c r="K90" i="17"/>
  <c r="Q49" i="34" s="1"/>
  <c r="K94" i="17"/>
  <c r="Q53" i="34" s="1"/>
  <c r="K99" i="17"/>
  <c r="Q58" i="34" s="1"/>
  <c r="K101" i="17"/>
  <c r="Q60" i="34" s="1"/>
  <c r="K95" i="17"/>
  <c r="Q54" i="34" s="1"/>
  <c r="S103" i="17"/>
  <c r="Y62" i="34" s="1"/>
  <c r="S100" i="17"/>
  <c r="Y59" i="34" s="1"/>
  <c r="S99" i="17"/>
  <c r="Y58" i="34" s="1"/>
  <c r="S91" i="17"/>
  <c r="Y50" i="34" s="1"/>
  <c r="S95" i="17"/>
  <c r="Y54" i="34" s="1"/>
  <c r="S101" i="17"/>
  <c r="Y60" i="34" s="1"/>
  <c r="S96" i="17"/>
  <c r="Y55" i="34" s="1"/>
  <c r="S98" i="17"/>
  <c r="Y57" i="34" s="1"/>
  <c r="S94" i="17"/>
  <c r="Y53" i="34" s="1"/>
  <c r="S90" i="17"/>
  <c r="Y49" i="34" s="1"/>
  <c r="S89" i="17"/>
  <c r="Y48" i="34" s="1"/>
  <c r="S93" i="17"/>
  <c r="Y52" i="34" s="1"/>
  <c r="S92" i="17"/>
  <c r="Y51" i="34" s="1"/>
  <c r="S195" i="17"/>
  <c r="S102"/>
  <c r="Y61" i="34" s="1"/>
  <c r="S97" i="17"/>
  <c r="Y56" i="34" s="1"/>
  <c r="T103" i="17"/>
  <c r="Z62" i="34" s="1"/>
  <c r="T101" i="17"/>
  <c r="Z60" i="34" s="1"/>
  <c r="T89" i="17"/>
  <c r="Z48" i="34" s="1"/>
  <c r="T96" i="17"/>
  <c r="Z55" i="34" s="1"/>
  <c r="T95" i="17"/>
  <c r="Z54" i="34" s="1"/>
  <c r="T102" i="17"/>
  <c r="Z61" i="34" s="1"/>
  <c r="T100" i="17"/>
  <c r="Z59" i="34" s="1"/>
  <c r="T98" i="17"/>
  <c r="Z57" i="34" s="1"/>
  <c r="T99" i="17"/>
  <c r="Z58" i="34" s="1"/>
  <c r="T97" i="17"/>
  <c r="Z56" i="34" s="1"/>
  <c r="T91" i="17"/>
  <c r="Z50" i="34" s="1"/>
  <c r="T93" i="17"/>
  <c r="Z52" i="34" s="1"/>
  <c r="T195" i="17"/>
  <c r="T92"/>
  <c r="Z51" i="34" s="1"/>
  <c r="T94" i="17"/>
  <c r="Z53" i="34" s="1"/>
  <c r="T90" i="17"/>
  <c r="Z49" i="34" s="1"/>
  <c r="W63" i="18"/>
  <c r="V63"/>
  <c r="M63"/>
  <c r="M136" s="1"/>
  <c r="S178" i="34" s="1"/>
  <c r="J63" i="18"/>
  <c r="J126" s="1"/>
  <c r="P168" i="34" s="1"/>
  <c r="V126" i="18"/>
  <c r="AB168" i="34" s="1"/>
  <c r="V138" i="18"/>
  <c r="AB180" i="34" s="1"/>
  <c r="V128" i="18"/>
  <c r="AB170" i="34" s="1"/>
  <c r="V132" i="18"/>
  <c r="AB174" i="34" s="1"/>
  <c r="V134" i="18"/>
  <c r="AB176" i="34" s="1"/>
  <c r="V140" i="18"/>
  <c r="AB182" i="34" s="1"/>
  <c r="V137" i="18"/>
  <c r="AB179" i="34" s="1"/>
  <c r="V129" i="18"/>
  <c r="AB171" i="34" s="1"/>
  <c r="V135" i="18"/>
  <c r="AB177" i="34" s="1"/>
  <c r="V139" i="18"/>
  <c r="AB181" i="34" s="1"/>
  <c r="V136" i="18"/>
  <c r="AB178" i="34" s="1"/>
  <c r="V130" i="18"/>
  <c r="AB172" i="34" s="1"/>
  <c r="V127" i="18"/>
  <c r="AB169" i="34" s="1"/>
  <c r="V133" i="18"/>
  <c r="AB175" i="34" s="1"/>
  <c r="V131" i="18"/>
  <c r="AB173" i="34" s="1"/>
  <c r="J130" i="18"/>
  <c r="P172" i="34" s="1"/>
  <c r="J132" i="18"/>
  <c r="P174" i="34" s="1"/>
  <c r="J140" i="18"/>
  <c r="P182" i="34" s="1"/>
  <c r="J128" i="18"/>
  <c r="P170" i="34" s="1"/>
  <c r="J134" i="18"/>
  <c r="P176" i="34" s="1"/>
  <c r="J138" i="18"/>
  <c r="P180" i="34" s="1"/>
  <c r="J129" i="18"/>
  <c r="P171" i="34" s="1"/>
  <c r="F133" i="31"/>
  <c r="L235" i="34" s="1"/>
  <c r="F138" i="31"/>
  <c r="L240" i="34" s="1"/>
  <c r="F140" i="31"/>
  <c r="L242" i="34" s="1"/>
  <c r="F126" i="31"/>
  <c r="L228" i="34" s="1"/>
  <c r="F139" i="31"/>
  <c r="L241" i="34" s="1"/>
  <c r="F128" i="31"/>
  <c r="L230" i="34" s="1"/>
  <c r="F134" i="31"/>
  <c r="L236" i="34" s="1"/>
  <c r="F127" i="31"/>
  <c r="L229" i="34" s="1"/>
  <c r="F131" i="31"/>
  <c r="L233" i="34" s="1"/>
  <c r="F130" i="31"/>
  <c r="L232" i="34" s="1"/>
  <c r="F136" i="31"/>
  <c r="L238" i="34" s="1"/>
  <c r="F132" i="31"/>
  <c r="L234" i="34" s="1"/>
  <c r="F129" i="31"/>
  <c r="L231" i="34" s="1"/>
  <c r="F135" i="31"/>
  <c r="L237" i="34" s="1"/>
  <c r="F137" i="31"/>
  <c r="L239" i="34" s="1"/>
  <c r="G127" i="31"/>
  <c r="M229" i="34" s="1"/>
  <c r="G132" i="31"/>
  <c r="M234" i="34" s="1"/>
  <c r="G138" i="31"/>
  <c r="M240" i="34" s="1"/>
  <c r="G137" i="31"/>
  <c r="M239" i="34" s="1"/>
  <c r="G130" i="31"/>
  <c r="M232" i="34" s="1"/>
  <c r="G134" i="31"/>
  <c r="M236" i="34" s="1"/>
  <c r="G139" i="31"/>
  <c r="M241" i="34" s="1"/>
  <c r="G128" i="31"/>
  <c r="M230" i="34" s="1"/>
  <c r="G136" i="31"/>
  <c r="M238" i="34" s="1"/>
  <c r="G131" i="31"/>
  <c r="M233" i="34" s="1"/>
  <c r="G126" i="31"/>
  <c r="M228" i="34" s="1"/>
  <c r="G135" i="31"/>
  <c r="M237" i="34" s="1"/>
  <c r="G129" i="31"/>
  <c r="M231" i="34" s="1"/>
  <c r="G140" i="31"/>
  <c r="M242" i="34" s="1"/>
  <c r="G133" i="31"/>
  <c r="M235" i="34" s="1"/>
  <c r="I129" i="31"/>
  <c r="O231" i="34" s="1"/>
  <c r="I132" i="31"/>
  <c r="O234" i="34" s="1"/>
  <c r="I127" i="31"/>
  <c r="O229" i="34" s="1"/>
  <c r="I140" i="31"/>
  <c r="O242" i="34" s="1"/>
  <c r="I138" i="31"/>
  <c r="O240" i="34" s="1"/>
  <c r="I126" i="31"/>
  <c r="O228" i="34" s="1"/>
  <c r="I131" i="31"/>
  <c r="O233" i="34" s="1"/>
  <c r="I139" i="31"/>
  <c r="O241" i="34" s="1"/>
  <c r="I134" i="31"/>
  <c r="O236" i="34" s="1"/>
  <c r="I130" i="31"/>
  <c r="O232" i="34" s="1"/>
  <c r="I136" i="31"/>
  <c r="O238" i="34" s="1"/>
  <c r="I137" i="31"/>
  <c r="O239" i="34" s="1"/>
  <c r="I135" i="31"/>
  <c r="O237" i="34" s="1"/>
  <c r="I133" i="31"/>
  <c r="O235" i="34" s="1"/>
  <c r="I128" i="31"/>
  <c r="O230" i="34" s="1"/>
  <c r="P137" i="18"/>
  <c r="V179" i="34" s="1"/>
  <c r="P138" i="18"/>
  <c r="V180" i="34" s="1"/>
  <c r="P132" i="18"/>
  <c r="V174" i="34" s="1"/>
  <c r="P131" i="18"/>
  <c r="V173" i="34" s="1"/>
  <c r="P129" i="18"/>
  <c r="V171" i="34" s="1"/>
  <c r="P133" i="18"/>
  <c r="V175" i="34" s="1"/>
  <c r="P126" i="18"/>
  <c r="V168" i="34" s="1"/>
  <c r="P135" i="18"/>
  <c r="V177" i="34" s="1"/>
  <c r="P127" i="18"/>
  <c r="V169" i="34" s="1"/>
  <c r="P139" i="18"/>
  <c r="V181" i="34" s="1"/>
  <c r="P134" i="18"/>
  <c r="V176" i="34" s="1"/>
  <c r="P136" i="18"/>
  <c r="V178" i="34" s="1"/>
  <c r="P130" i="18"/>
  <c r="V172" i="34" s="1"/>
  <c r="P128" i="18"/>
  <c r="V170" i="34" s="1"/>
  <c r="P140" i="18"/>
  <c r="V182" i="34" s="1"/>
  <c r="K138" i="18"/>
  <c r="Q180" i="34" s="1"/>
  <c r="K129" i="18"/>
  <c r="Q171" i="34" s="1"/>
  <c r="K133" i="18"/>
  <c r="Q175" i="34" s="1"/>
  <c r="K127" i="18"/>
  <c r="Q169" i="34" s="1"/>
  <c r="K139" i="18"/>
  <c r="Q181" i="34" s="1"/>
  <c r="K136" i="18"/>
  <c r="Q178" i="34" s="1"/>
  <c r="K126" i="18"/>
  <c r="Q168" i="34" s="1"/>
  <c r="K137" i="18"/>
  <c r="Q179" i="34" s="1"/>
  <c r="K131" i="18"/>
  <c r="Q173" i="34" s="1"/>
  <c r="K130" i="18"/>
  <c r="Q172" i="34" s="1"/>
  <c r="K134" i="18"/>
  <c r="Q176" i="34" s="1"/>
  <c r="K128" i="18"/>
  <c r="Q170" i="34" s="1"/>
  <c r="K132" i="18"/>
  <c r="Q174" i="34" s="1"/>
  <c r="K140" i="18"/>
  <c r="Q182" i="34" s="1"/>
  <c r="K135" i="18"/>
  <c r="Q177" i="34" s="1"/>
  <c r="O128" i="18"/>
  <c r="U170" i="34" s="1"/>
  <c r="O138" i="18"/>
  <c r="U180" i="34" s="1"/>
  <c r="O140" i="18"/>
  <c r="U182" i="34" s="1"/>
  <c r="O139" i="18"/>
  <c r="U181" i="34" s="1"/>
  <c r="O130" i="18"/>
  <c r="U172" i="34" s="1"/>
  <c r="O136" i="18"/>
  <c r="U178" i="34" s="1"/>
  <c r="O132" i="18"/>
  <c r="U174" i="34" s="1"/>
  <c r="O127" i="18"/>
  <c r="U169" i="34" s="1"/>
  <c r="O129" i="18"/>
  <c r="U171" i="34" s="1"/>
  <c r="O135" i="18"/>
  <c r="U177" i="34" s="1"/>
  <c r="O131" i="18"/>
  <c r="U173" i="34" s="1"/>
  <c r="O126" i="18"/>
  <c r="U168" i="34" s="1"/>
  <c r="O137" i="18"/>
  <c r="U179" i="34" s="1"/>
  <c r="O133" i="18"/>
  <c r="U175" i="34" s="1"/>
  <c r="O134" i="18"/>
  <c r="U176" i="34" s="1"/>
  <c r="R137" i="18"/>
  <c r="X179" i="34" s="1"/>
  <c r="R133" i="18"/>
  <c r="X175" i="34" s="1"/>
  <c r="R127" i="18"/>
  <c r="X169" i="34" s="1"/>
  <c r="R139" i="18"/>
  <c r="X181" i="34" s="1"/>
  <c r="R140" i="18"/>
  <c r="X182" i="34" s="1"/>
  <c r="R131" i="18"/>
  <c r="X173" i="34" s="1"/>
  <c r="R136" i="18"/>
  <c r="X178" i="34" s="1"/>
  <c r="R128" i="18"/>
  <c r="X170" i="34" s="1"/>
  <c r="R126" i="18"/>
  <c r="X168" i="34" s="1"/>
  <c r="R134" i="18"/>
  <c r="X176" i="34" s="1"/>
  <c r="R129" i="18"/>
  <c r="X171" i="34" s="1"/>
  <c r="R135" i="18"/>
  <c r="X177" i="34" s="1"/>
  <c r="R138" i="18"/>
  <c r="X180" i="34" s="1"/>
  <c r="R130" i="18"/>
  <c r="X172" i="34" s="1"/>
  <c r="R132" i="18"/>
  <c r="X174" i="34" s="1"/>
  <c r="I132" i="18"/>
  <c r="O174" i="34" s="1"/>
  <c r="I131" i="18"/>
  <c r="O173" i="34" s="1"/>
  <c r="I129" i="18"/>
  <c r="O171" i="34" s="1"/>
  <c r="I138" i="18"/>
  <c r="O180" i="34" s="1"/>
  <c r="I128" i="18"/>
  <c r="O170" i="34" s="1"/>
  <c r="I139" i="18"/>
  <c r="O181" i="34" s="1"/>
  <c r="I134" i="18"/>
  <c r="O176" i="34" s="1"/>
  <c r="I133" i="18"/>
  <c r="O175" i="34" s="1"/>
  <c r="I127" i="18"/>
  <c r="O169" i="34" s="1"/>
  <c r="I135" i="18"/>
  <c r="O177" i="34" s="1"/>
  <c r="I137" i="18"/>
  <c r="O179" i="34" s="1"/>
  <c r="I130" i="18"/>
  <c r="O172" i="34" s="1"/>
  <c r="I126" i="18"/>
  <c r="O168" i="34" s="1"/>
  <c r="I136" i="18"/>
  <c r="O178" i="34" s="1"/>
  <c r="I140" i="18"/>
  <c r="O182" i="34" s="1"/>
  <c r="K136" i="31"/>
  <c r="Q238" i="34" s="1"/>
  <c r="K137" i="31"/>
  <c r="Q239" i="34" s="1"/>
  <c r="K134" i="31"/>
  <c r="Q236" i="34" s="1"/>
  <c r="K128" i="31"/>
  <c r="Q230" i="34" s="1"/>
  <c r="L130" i="31"/>
  <c r="R232" i="34" s="1"/>
  <c r="L131" i="31"/>
  <c r="R233" i="34" s="1"/>
  <c r="L140" i="31"/>
  <c r="R242" i="34" s="1"/>
  <c r="L132" i="31"/>
  <c r="R234" i="34" s="1"/>
  <c r="L136" i="31"/>
  <c r="R238" i="34" s="1"/>
  <c r="L133" i="31"/>
  <c r="R235" i="34" s="1"/>
  <c r="L134" i="31"/>
  <c r="R236" i="34" s="1"/>
  <c r="L138" i="31"/>
  <c r="R240" i="34" s="1"/>
  <c r="L137" i="31"/>
  <c r="R239" i="34" s="1"/>
  <c r="L128" i="31"/>
  <c r="R230" i="34" s="1"/>
  <c r="L126" i="31"/>
  <c r="R228" i="34" s="1"/>
  <c r="L127" i="31"/>
  <c r="R229" i="34" s="1"/>
  <c r="L139" i="31"/>
  <c r="R241" i="34" s="1"/>
  <c r="L129" i="31"/>
  <c r="R231" i="34" s="1"/>
  <c r="L135" i="31"/>
  <c r="R237" i="34" s="1"/>
  <c r="J133" i="31"/>
  <c r="P235" i="34" s="1"/>
  <c r="J136" i="31"/>
  <c r="P238" i="34" s="1"/>
  <c r="J134" i="31"/>
  <c r="P236" i="34" s="1"/>
  <c r="J129" i="31"/>
  <c r="P231" i="34" s="1"/>
  <c r="J130" i="31"/>
  <c r="P232" i="34" s="1"/>
  <c r="J131" i="31"/>
  <c r="P233" i="34" s="1"/>
  <c r="J135" i="31"/>
  <c r="P237" i="34" s="1"/>
  <c r="J139" i="31"/>
  <c r="P241" i="34" s="1"/>
  <c r="E126" i="31"/>
  <c r="E137"/>
  <c r="E72"/>
  <c r="F72" s="1"/>
  <c r="G72" s="1"/>
  <c r="H72" s="1"/>
  <c r="I72" s="1"/>
  <c r="E130"/>
  <c r="E139"/>
  <c r="E128"/>
  <c r="E134"/>
  <c r="E140"/>
  <c r="E129"/>
  <c r="E133"/>
  <c r="E138"/>
  <c r="E135"/>
  <c r="E132"/>
  <c r="E127"/>
  <c r="E131"/>
  <c r="E136"/>
  <c r="H138" i="18"/>
  <c r="N180" i="34" s="1"/>
  <c r="H133" i="18"/>
  <c r="N175" i="34" s="1"/>
  <c r="H136" i="18"/>
  <c r="N178" i="34" s="1"/>
  <c r="H126" i="18"/>
  <c r="N168" i="34" s="1"/>
  <c r="H131" i="18"/>
  <c r="N173" i="34" s="1"/>
  <c r="H135" i="18"/>
  <c r="N177" i="34" s="1"/>
  <c r="H130" i="18"/>
  <c r="N172" i="34" s="1"/>
  <c r="H140" i="18"/>
  <c r="N182" i="34" s="1"/>
  <c r="H128" i="18"/>
  <c r="N170" i="34" s="1"/>
  <c r="H137" i="18"/>
  <c r="N179" i="34" s="1"/>
  <c r="H139" i="18"/>
  <c r="N181" i="34" s="1"/>
  <c r="H129" i="18"/>
  <c r="N171" i="34" s="1"/>
  <c r="H127" i="18"/>
  <c r="N169" i="34" s="1"/>
  <c r="H134" i="18"/>
  <c r="N176" i="34" s="1"/>
  <c r="H132" i="18"/>
  <c r="N174" i="34" s="1"/>
  <c r="F139" i="18"/>
  <c r="L181" i="34" s="1"/>
  <c r="F127" i="18"/>
  <c r="L169" i="34" s="1"/>
  <c r="F134" i="18"/>
  <c r="L176" i="34" s="1"/>
  <c r="F129" i="18"/>
  <c r="L171" i="34" s="1"/>
  <c r="F135" i="18"/>
  <c r="L177" i="34" s="1"/>
  <c r="F130" i="18"/>
  <c r="L172" i="34" s="1"/>
  <c r="F137" i="18"/>
  <c r="L179" i="34" s="1"/>
  <c r="F133" i="18"/>
  <c r="L175" i="34" s="1"/>
  <c r="F131" i="18"/>
  <c r="L173" i="34" s="1"/>
  <c r="F138" i="18"/>
  <c r="L180" i="34" s="1"/>
  <c r="F126" i="18"/>
  <c r="L168" i="34" s="1"/>
  <c r="F128" i="18"/>
  <c r="L170" i="34" s="1"/>
  <c r="F136" i="18"/>
  <c r="L178" i="34" s="1"/>
  <c r="F132" i="18"/>
  <c r="L174" i="34" s="1"/>
  <c r="F140" i="18"/>
  <c r="L182" i="34" s="1"/>
  <c r="T140" i="18"/>
  <c r="Z182" i="34" s="1"/>
  <c r="T137" i="18"/>
  <c r="Z179" i="34" s="1"/>
  <c r="T136" i="18"/>
  <c r="Z178" i="34" s="1"/>
  <c r="T138" i="18"/>
  <c r="Z180" i="34" s="1"/>
  <c r="T132" i="18"/>
  <c r="Z174" i="34" s="1"/>
  <c r="T127" i="18"/>
  <c r="Z169" i="34" s="1"/>
  <c r="T135" i="18"/>
  <c r="Z177" i="34" s="1"/>
  <c r="T130" i="18"/>
  <c r="Z172" i="34" s="1"/>
  <c r="T128" i="18"/>
  <c r="Z170" i="34" s="1"/>
  <c r="T133" i="18"/>
  <c r="Z175" i="34" s="1"/>
  <c r="T134" i="18"/>
  <c r="Z176" i="34" s="1"/>
  <c r="T129" i="18"/>
  <c r="Z171" i="34" s="1"/>
  <c r="T126" i="18"/>
  <c r="Z168" i="34" s="1"/>
  <c r="T139" i="18"/>
  <c r="Z181" i="34" s="1"/>
  <c r="T131" i="18"/>
  <c r="Z173" i="34" s="1"/>
  <c r="Q135" i="18"/>
  <c r="W177" i="34" s="1"/>
  <c r="Q131" i="18"/>
  <c r="W173" i="34" s="1"/>
  <c r="Q126" i="18"/>
  <c r="W168" i="34" s="1"/>
  <c r="Q140" i="18"/>
  <c r="W182" i="34" s="1"/>
  <c r="Q132" i="18"/>
  <c r="W174" i="34" s="1"/>
  <c r="Q136" i="18"/>
  <c r="W178" i="34" s="1"/>
  <c r="Q127" i="18"/>
  <c r="W169" i="34" s="1"/>
  <c r="Q129" i="18"/>
  <c r="W171" i="34" s="1"/>
  <c r="Q130" i="18"/>
  <c r="W172" i="34" s="1"/>
  <c r="Q137" i="18"/>
  <c r="W179" i="34" s="1"/>
  <c r="Q128" i="18"/>
  <c r="W170" i="34" s="1"/>
  <c r="Q134" i="18"/>
  <c r="W176" i="34" s="1"/>
  <c r="Q139" i="18"/>
  <c r="W181" i="34" s="1"/>
  <c r="Q138" i="18"/>
  <c r="W180" i="34" s="1"/>
  <c r="Q133" i="18"/>
  <c r="W175" i="34" s="1"/>
  <c r="U135" i="18"/>
  <c r="AA177" i="34" s="1"/>
  <c r="U137" i="18"/>
  <c r="AA179" i="34" s="1"/>
  <c r="U136" i="18"/>
  <c r="AA178" i="34" s="1"/>
  <c r="U132" i="18"/>
  <c r="AA174" i="34" s="1"/>
  <c r="U138" i="18"/>
  <c r="AA180" i="34" s="1"/>
  <c r="U134" i="18"/>
  <c r="AA176" i="34" s="1"/>
  <c r="U133" i="18"/>
  <c r="AA175" i="34" s="1"/>
  <c r="U127" i="18"/>
  <c r="AA169" i="34" s="1"/>
  <c r="U126" i="18"/>
  <c r="AA168" i="34" s="1"/>
  <c r="U139" i="18"/>
  <c r="AA181" i="34" s="1"/>
  <c r="U131" i="18"/>
  <c r="AA173" i="34" s="1"/>
  <c r="U129" i="18"/>
  <c r="AA171" i="34" s="1"/>
  <c r="U130" i="18"/>
  <c r="AA172" i="34" s="1"/>
  <c r="U128" i="18"/>
  <c r="AA170" i="34" s="1"/>
  <c r="U140" i="18"/>
  <c r="AA182" i="34" s="1"/>
  <c r="I48" i="18"/>
  <c r="K61" i="31"/>
  <c r="K100" s="1"/>
  <c r="Q202" i="34" s="1"/>
  <c r="I61" i="31"/>
  <c r="E135" i="18"/>
  <c r="E126"/>
  <c r="E129"/>
  <c r="E137"/>
  <c r="E138"/>
  <c r="E128"/>
  <c r="E139"/>
  <c r="E131"/>
  <c r="E127"/>
  <c r="E136"/>
  <c r="E140"/>
  <c r="E134"/>
  <c r="E133"/>
  <c r="E130"/>
  <c r="E72"/>
  <c r="F72" s="1"/>
  <c r="G72" s="1"/>
  <c r="H72" s="1"/>
  <c r="I72" s="1"/>
  <c r="J72" s="1"/>
  <c r="K72" s="1"/>
  <c r="L72" s="1"/>
  <c r="M72" s="1"/>
  <c r="N72" s="1"/>
  <c r="O72" s="1"/>
  <c r="P72" s="1"/>
  <c r="Q72" s="1"/>
  <c r="R72" s="1"/>
  <c r="S72" s="1"/>
  <c r="T72" s="1"/>
  <c r="U72" s="1"/>
  <c r="V72" s="1"/>
  <c r="W72" s="1"/>
  <c r="X72" s="1"/>
  <c r="E132"/>
  <c r="W131"/>
  <c r="AC173" i="34" s="1"/>
  <c r="W132" i="18"/>
  <c r="AC174" i="34" s="1"/>
  <c r="W127" i="18"/>
  <c r="AC169" i="34" s="1"/>
  <c r="W130" i="18"/>
  <c r="AC172" i="34" s="1"/>
  <c r="W129" i="18"/>
  <c r="AC171" i="34" s="1"/>
  <c r="W136" i="18"/>
  <c r="AC178" i="34" s="1"/>
  <c r="W140" i="18"/>
  <c r="AC182" i="34" s="1"/>
  <c r="W139" i="18"/>
  <c r="AC181" i="34" s="1"/>
  <c r="W134" i="18"/>
  <c r="AC176" i="34" s="1"/>
  <c r="W126" i="18"/>
  <c r="AC168" i="34" s="1"/>
  <c r="W133" i="18"/>
  <c r="AC175" i="34" s="1"/>
  <c r="W138" i="18"/>
  <c r="AC180" i="34" s="1"/>
  <c r="W135" i="18"/>
  <c r="AC177" i="34" s="1"/>
  <c r="W137" i="18"/>
  <c r="AC179" i="34" s="1"/>
  <c r="W128" i="18"/>
  <c r="AC170" i="34" s="1"/>
  <c r="M126" i="18"/>
  <c r="S168" i="34" s="1"/>
  <c r="M140" i="18"/>
  <c r="S182" i="34" s="1"/>
  <c r="M139" i="18"/>
  <c r="S181" i="34" s="1"/>
  <c r="G136" i="18"/>
  <c r="M178" i="34" s="1"/>
  <c r="G129" i="18"/>
  <c r="M171" i="34" s="1"/>
  <c r="G137" i="18"/>
  <c r="M179" i="34" s="1"/>
  <c r="G130" i="18"/>
  <c r="M172" i="34" s="1"/>
  <c r="G133" i="18"/>
  <c r="M175" i="34" s="1"/>
  <c r="G138" i="18"/>
  <c r="M180" i="34" s="1"/>
  <c r="G131" i="18"/>
  <c r="M173" i="34" s="1"/>
  <c r="G139" i="18"/>
  <c r="M181" i="34" s="1"/>
  <c r="G128" i="18"/>
  <c r="M170" i="34" s="1"/>
  <c r="G135" i="18"/>
  <c r="M177" i="34" s="1"/>
  <c r="G132" i="18"/>
  <c r="M174" i="34" s="1"/>
  <c r="G134" i="18"/>
  <c r="M176" i="34" s="1"/>
  <c r="G140" i="18"/>
  <c r="M182" i="34" s="1"/>
  <c r="G127" i="18"/>
  <c r="M169" i="34" s="1"/>
  <c r="G126" i="18"/>
  <c r="M168" i="34" s="1"/>
  <c r="H140" i="31"/>
  <c r="N242" i="34" s="1"/>
  <c r="H128" i="31"/>
  <c r="N230" i="34" s="1"/>
  <c r="H136" i="31"/>
  <c r="N238" i="34" s="1"/>
  <c r="H129" i="31"/>
  <c r="N231" i="34" s="1"/>
  <c r="H137" i="31"/>
  <c r="N239" i="34" s="1"/>
  <c r="H139" i="31"/>
  <c r="N241" i="34" s="1"/>
  <c r="H134" i="31"/>
  <c r="N236" i="34" s="1"/>
  <c r="H131" i="31"/>
  <c r="N233" i="34" s="1"/>
  <c r="H126" i="31"/>
  <c r="N228" i="34" s="1"/>
  <c r="H130" i="31"/>
  <c r="N232" i="34" s="1"/>
  <c r="H133" i="31"/>
  <c r="N235" i="34" s="1"/>
  <c r="H127" i="31"/>
  <c r="N229" i="34" s="1"/>
  <c r="H138" i="31"/>
  <c r="N240" i="34" s="1"/>
  <c r="H132" i="31"/>
  <c r="N234" i="34" s="1"/>
  <c r="H135" i="31"/>
  <c r="N237" i="34" s="1"/>
  <c r="Y130" i="18"/>
  <c r="AE172" i="34" s="1"/>
  <c r="Y135" i="18"/>
  <c r="AE177" i="34" s="1"/>
  <c r="Y131" i="18"/>
  <c r="AE173" i="34" s="1"/>
  <c r="Y136" i="18"/>
  <c r="AE178" i="34" s="1"/>
  <c r="Y129" i="18"/>
  <c r="AE171" i="34" s="1"/>
  <c r="Y126" i="18"/>
  <c r="AE168" i="34" s="1"/>
  <c r="Y133" i="18"/>
  <c r="AE175" i="34" s="1"/>
  <c r="Y137" i="18"/>
  <c r="AE179" i="34" s="1"/>
  <c r="Y132" i="18"/>
  <c r="AE174" i="34" s="1"/>
  <c r="Y128" i="18"/>
  <c r="AE170" i="34" s="1"/>
  <c r="Y140" i="18"/>
  <c r="AE182" i="34" s="1"/>
  <c r="Y134" i="18"/>
  <c r="AE176" i="34" s="1"/>
  <c r="Y139" i="18"/>
  <c r="AE181" i="34" s="1"/>
  <c r="Y127" i="18"/>
  <c r="AE169" i="34" s="1"/>
  <c r="Y138" i="18"/>
  <c r="AE180" i="34" s="1"/>
  <c r="N139" i="18"/>
  <c r="T181" i="34" s="1"/>
  <c r="N138" i="18"/>
  <c r="T180" i="34" s="1"/>
  <c r="N129" i="18"/>
  <c r="T171" i="34" s="1"/>
  <c r="N140" i="18"/>
  <c r="T182" i="34" s="1"/>
  <c r="N131" i="18"/>
  <c r="T173" i="34" s="1"/>
  <c r="N130" i="18"/>
  <c r="T172" i="34" s="1"/>
  <c r="N135" i="18"/>
  <c r="T177" i="34" s="1"/>
  <c r="N133" i="18"/>
  <c r="T175" i="34" s="1"/>
  <c r="N137" i="18"/>
  <c r="T179" i="34" s="1"/>
  <c r="N132" i="18"/>
  <c r="T174" i="34" s="1"/>
  <c r="N126" i="18"/>
  <c r="T168" i="34" s="1"/>
  <c r="N128" i="18"/>
  <c r="T170" i="34" s="1"/>
  <c r="N136" i="18"/>
  <c r="T178" i="34" s="1"/>
  <c r="N134" i="18"/>
  <c r="T176" i="34" s="1"/>
  <c r="N127" i="18"/>
  <c r="T169" i="34" s="1"/>
  <c r="X136" i="18"/>
  <c r="AD178" i="34" s="1"/>
  <c r="X139" i="18"/>
  <c r="AD181" i="34" s="1"/>
  <c r="X132" i="18"/>
  <c r="AD174" i="34" s="1"/>
  <c r="X127" i="18"/>
  <c r="AD169" i="34" s="1"/>
  <c r="X134" i="18"/>
  <c r="AD176" i="34" s="1"/>
  <c r="X130" i="18"/>
  <c r="AD172" i="34" s="1"/>
  <c r="X140" i="18"/>
  <c r="AD182" i="34" s="1"/>
  <c r="X131" i="18"/>
  <c r="AD173" i="34" s="1"/>
  <c r="L137" i="18"/>
  <c r="R179" i="34" s="1"/>
  <c r="L140" i="18"/>
  <c r="R182" i="34" s="1"/>
  <c r="L134" i="18"/>
  <c r="R176" i="34" s="1"/>
  <c r="L130" i="18"/>
  <c r="R172" i="34" s="1"/>
  <c r="L129" i="18"/>
  <c r="R171" i="34" s="1"/>
  <c r="L135" i="18"/>
  <c r="R177" i="34" s="1"/>
  <c r="L126" i="18"/>
  <c r="R168" i="34" s="1"/>
  <c r="L128" i="18"/>
  <c r="R170" i="34" s="1"/>
  <c r="L138" i="18"/>
  <c r="R180" i="34" s="1"/>
  <c r="L132" i="18"/>
  <c r="R174" i="34" s="1"/>
  <c r="L133" i="18"/>
  <c r="R175" i="34" s="1"/>
  <c r="L131" i="18"/>
  <c r="R173" i="34" s="1"/>
  <c r="L139" i="18"/>
  <c r="R181" i="34" s="1"/>
  <c r="L136" i="18"/>
  <c r="R178" i="34" s="1"/>
  <c r="L127" i="18"/>
  <c r="R169" i="34" s="1"/>
  <c r="S139" i="18"/>
  <c r="Y181" i="34" s="1"/>
  <c r="S129" i="18"/>
  <c r="Y171" i="34" s="1"/>
  <c r="S127" i="18"/>
  <c r="Y169" i="34" s="1"/>
  <c r="S135" i="18"/>
  <c r="Y177" i="34" s="1"/>
  <c r="S138" i="18"/>
  <c r="Y180" i="34" s="1"/>
  <c r="S126" i="18"/>
  <c r="Y168" i="34" s="1"/>
  <c r="S133" i="18"/>
  <c r="Y175" i="34" s="1"/>
  <c r="S136" i="18"/>
  <c r="Y178" i="34" s="1"/>
  <c r="S134" i="18"/>
  <c r="Y176" i="34" s="1"/>
  <c r="S140" i="18"/>
  <c r="Y182" i="34" s="1"/>
  <c r="S137" i="18"/>
  <c r="Y179" i="34" s="1"/>
  <c r="S130" i="18"/>
  <c r="Y172" i="34" s="1"/>
  <c r="S132" i="18"/>
  <c r="Y174" i="34" s="1"/>
  <c r="S131" i="18"/>
  <c r="Y173" i="34" s="1"/>
  <c r="S128" i="18"/>
  <c r="Y170" i="34" s="1"/>
  <c r="M48" i="31"/>
  <c r="F61" i="18"/>
  <c r="F110" s="1"/>
  <c r="L152" i="34" s="1"/>
  <c r="S61" i="18"/>
  <c r="S98" s="1"/>
  <c r="Y140" i="34" s="1"/>
  <c r="L61" i="18"/>
  <c r="L103" s="1"/>
  <c r="R145" i="34" s="1"/>
  <c r="Q62" i="18"/>
  <c r="Q112" s="1"/>
  <c r="W154" i="34" s="1"/>
  <c r="E62" i="31"/>
  <c r="E113" s="1"/>
  <c r="W61" i="18"/>
  <c r="W97" s="1"/>
  <c r="AC139" i="34" s="1"/>
  <c r="H62" i="18"/>
  <c r="H114" s="1"/>
  <c r="N156" i="34" s="1"/>
  <c r="K62" i="31"/>
  <c r="K124" s="1"/>
  <c r="Q226" i="34" s="1"/>
  <c r="G48" i="31"/>
  <c r="E48"/>
  <c r="E61" i="18"/>
  <c r="E108" s="1"/>
  <c r="X61"/>
  <c r="X104" s="1"/>
  <c r="AD146" i="34" s="1"/>
  <c r="M62" i="18"/>
  <c r="M111" s="1"/>
  <c r="S153" i="34" s="1"/>
  <c r="F62" i="18"/>
  <c r="F117" s="1"/>
  <c r="L159" i="34" s="1"/>
  <c r="K61" i="18"/>
  <c r="K97" s="1"/>
  <c r="Q139" i="34" s="1"/>
  <c r="O61" i="18"/>
  <c r="O101" s="1"/>
  <c r="U143" i="34" s="1"/>
  <c r="J62" i="31"/>
  <c r="J114" s="1"/>
  <c r="P216" i="34" s="1"/>
  <c r="F61" i="31"/>
  <c r="F106" s="1"/>
  <c r="L208" i="34" s="1"/>
  <c r="N61" i="18"/>
  <c r="N107" s="1"/>
  <c r="T149" i="34" s="1"/>
  <c r="H61" i="18"/>
  <c r="H110" s="1"/>
  <c r="N152" i="34" s="1"/>
  <c r="P48" i="31"/>
  <c r="J61"/>
  <c r="J96" s="1"/>
  <c r="P198" i="34" s="1"/>
  <c r="R61" i="18"/>
  <c r="R104" s="1"/>
  <c r="X146" i="34" s="1"/>
  <c r="R62" i="18"/>
  <c r="R122" s="1"/>
  <c r="X164" i="34" s="1"/>
  <c r="S62" i="18"/>
  <c r="S112" s="1"/>
  <c r="Y154" i="34" s="1"/>
  <c r="L62" i="18"/>
  <c r="L113" s="1"/>
  <c r="R155" i="34" s="1"/>
  <c r="L48" i="18"/>
  <c r="J48" i="31"/>
  <c r="X48" i="18"/>
  <c r="V48"/>
  <c r="U48" i="31"/>
  <c r="W62" i="18"/>
  <c r="W124" s="1"/>
  <c r="AC166" i="34" s="1"/>
  <c r="L62" i="31"/>
  <c r="L117" s="1"/>
  <c r="R219" i="34" s="1"/>
  <c r="E62" i="18"/>
  <c r="E123" s="1"/>
  <c r="H62" i="31"/>
  <c r="H123" s="1"/>
  <c r="N225" i="34" s="1"/>
  <c r="P62" i="18"/>
  <c r="P121" s="1"/>
  <c r="V163" i="34" s="1"/>
  <c r="G62" i="18"/>
  <c r="G118" s="1"/>
  <c r="M160" i="34" s="1"/>
  <c r="J62" i="18"/>
  <c r="J123" s="1"/>
  <c r="P165" i="34" s="1"/>
  <c r="L123" i="18"/>
  <c r="R165" i="34" s="1"/>
  <c r="Q118" i="18"/>
  <c r="W160" i="34" s="1"/>
  <c r="Q111" i="18"/>
  <c r="W153" i="34" s="1"/>
  <c r="Q117" i="18"/>
  <c r="W159" i="34" s="1"/>
  <c r="Q124" i="18"/>
  <c r="W166" i="34" s="1"/>
  <c r="U77" i="29"/>
  <c r="AA96" i="34" s="1"/>
  <c r="U75" i="29"/>
  <c r="AA94" i="34" s="1"/>
  <c r="U85" i="29"/>
  <c r="AA104" i="34" s="1"/>
  <c r="U73" i="29"/>
  <c r="AA92" i="34" s="1"/>
  <c r="U78" i="29"/>
  <c r="AA97" i="34" s="1"/>
  <c r="U82" i="29"/>
  <c r="AA101" i="34" s="1"/>
  <c r="U83" i="29"/>
  <c r="AA102" i="34" s="1"/>
  <c r="U80" i="29"/>
  <c r="AA99" i="34" s="1"/>
  <c r="U74" i="29"/>
  <c r="AA93" i="34" s="1"/>
  <c r="U86" i="29"/>
  <c r="AA105" i="34" s="1"/>
  <c r="U88" i="29"/>
  <c r="AA107" i="34" s="1"/>
  <c r="U79" i="29"/>
  <c r="AA98" i="34" s="1"/>
  <c r="U84" i="29"/>
  <c r="AA103" i="34" s="1"/>
  <c r="U81" i="29"/>
  <c r="AA100" i="34" s="1"/>
  <c r="U194" i="29"/>
  <c r="U87"/>
  <c r="AA106" i="34" s="1"/>
  <c r="U76" i="29"/>
  <c r="AA95" i="34" s="1"/>
  <c r="G75" i="29"/>
  <c r="M94" i="34" s="1"/>
  <c r="G78" i="29"/>
  <c r="M97" i="34" s="1"/>
  <c r="G74" i="29"/>
  <c r="M93" i="34" s="1"/>
  <c r="G73" i="29"/>
  <c r="M92" i="34" s="1"/>
  <c r="G86" i="29"/>
  <c r="M105" i="34" s="1"/>
  <c r="G87" i="29"/>
  <c r="M106" i="34" s="1"/>
  <c r="G80" i="29"/>
  <c r="M99" i="34" s="1"/>
  <c r="G77" i="29"/>
  <c r="M96" i="34" s="1"/>
  <c r="G84" i="29"/>
  <c r="M103" i="34" s="1"/>
  <c r="G76" i="29"/>
  <c r="M95" i="34" s="1"/>
  <c r="G81" i="29"/>
  <c r="M100" i="34" s="1"/>
  <c r="G85" i="29"/>
  <c r="M104" i="34" s="1"/>
  <c r="G83" i="29"/>
  <c r="M102" i="34" s="1"/>
  <c r="G82" i="29"/>
  <c r="M101" i="34" s="1"/>
  <c r="G88" i="29"/>
  <c r="M107" i="34" s="1"/>
  <c r="G79" i="29"/>
  <c r="M98" i="34" s="1"/>
  <c r="G194" i="29"/>
  <c r="O25" i="31" s="1"/>
  <c r="F78" i="29"/>
  <c r="L97" i="34" s="1"/>
  <c r="F83" i="29"/>
  <c r="L102" i="34" s="1"/>
  <c r="F73" i="29"/>
  <c r="L92" i="34" s="1"/>
  <c r="F82" i="29"/>
  <c r="L101" i="34" s="1"/>
  <c r="F79" i="29"/>
  <c r="L98" i="34" s="1"/>
  <c r="F84" i="29"/>
  <c r="L103" i="34" s="1"/>
  <c r="F81" i="29"/>
  <c r="L100" i="34" s="1"/>
  <c r="F80" i="29"/>
  <c r="L99" i="34" s="1"/>
  <c r="F77" i="29"/>
  <c r="L96" i="34" s="1"/>
  <c r="F74" i="29"/>
  <c r="L93" i="34" s="1"/>
  <c r="F75" i="29"/>
  <c r="L94" i="34" s="1"/>
  <c r="F86" i="29"/>
  <c r="L105" i="34" s="1"/>
  <c r="F194" i="29"/>
  <c r="N25" i="31" s="1"/>
  <c r="F88" i="29"/>
  <c r="L107" i="34" s="1"/>
  <c r="F85" i="29"/>
  <c r="L104" i="34" s="1"/>
  <c r="F76" i="29"/>
  <c r="L95" i="34" s="1"/>
  <c r="F87" i="29"/>
  <c r="L106" i="34" s="1"/>
  <c r="E35" i="17"/>
  <c r="AA25"/>
  <c r="L79"/>
  <c r="R38" i="34" s="1"/>
  <c r="L78" i="17"/>
  <c r="R37" i="34" s="1"/>
  <c r="L76" i="17"/>
  <c r="R35" i="34" s="1"/>
  <c r="L81" i="17"/>
  <c r="R40" i="34" s="1"/>
  <c r="L84" i="17"/>
  <c r="R43" i="34" s="1"/>
  <c r="L194" i="17"/>
  <c r="L86"/>
  <c r="R45" i="34" s="1"/>
  <c r="L82" i="17"/>
  <c r="R41" i="34" s="1"/>
  <c r="L73" i="17"/>
  <c r="R32" i="34" s="1"/>
  <c r="L85" i="17"/>
  <c r="R44" i="34" s="1"/>
  <c r="L83" i="17"/>
  <c r="R42" i="34" s="1"/>
  <c r="L88" i="17"/>
  <c r="R47" i="34" s="1"/>
  <c r="L74" i="17"/>
  <c r="R33" i="34" s="1"/>
  <c r="L75" i="17"/>
  <c r="R34" i="34" s="1"/>
  <c r="L87" i="17"/>
  <c r="R46" i="34" s="1"/>
  <c r="L77" i="17"/>
  <c r="R36" i="34" s="1"/>
  <c r="L80" i="17"/>
  <c r="R39" i="34" s="1"/>
  <c r="V80" i="17"/>
  <c r="AB39" i="34" s="1"/>
  <c r="V78" i="17"/>
  <c r="AB37" i="34" s="1"/>
  <c r="V88" i="17"/>
  <c r="AB47" i="34" s="1"/>
  <c r="V84" i="17"/>
  <c r="AB43" i="34" s="1"/>
  <c r="V81" i="17"/>
  <c r="AB40" i="34" s="1"/>
  <c r="V86" i="17"/>
  <c r="AB45" i="34" s="1"/>
  <c r="V76" i="17"/>
  <c r="AB35" i="34" s="1"/>
  <c r="V85" i="17"/>
  <c r="AB44" i="34" s="1"/>
  <c r="V77" i="17"/>
  <c r="AB36" i="34" s="1"/>
  <c r="V79" i="17"/>
  <c r="AB38" i="34" s="1"/>
  <c r="V87" i="17"/>
  <c r="AB46" i="34" s="1"/>
  <c r="V82" i="17"/>
  <c r="AB41" i="34" s="1"/>
  <c r="V194" i="17"/>
  <c r="V83"/>
  <c r="AB42" i="34" s="1"/>
  <c r="V73" i="17"/>
  <c r="AB32" i="34" s="1"/>
  <c r="V74" i="17"/>
  <c r="AB33" i="34" s="1"/>
  <c r="V75" i="17"/>
  <c r="AB34" i="34" s="1"/>
  <c r="J116" i="31"/>
  <c r="P218" i="34" s="1"/>
  <c r="I114" i="18"/>
  <c r="O156" i="34" s="1"/>
  <c r="I124" i="18"/>
  <c r="O166" i="34" s="1"/>
  <c r="I118" i="18"/>
  <c r="O160" i="34" s="1"/>
  <c r="I112" i="18"/>
  <c r="O154" i="34" s="1"/>
  <c r="I120" i="18"/>
  <c r="O162" i="34" s="1"/>
  <c r="I111" i="18"/>
  <c r="O153" i="34" s="1"/>
  <c r="I115" i="18"/>
  <c r="O157" i="34" s="1"/>
  <c r="I117" i="18"/>
  <c r="O159" i="34" s="1"/>
  <c r="I121" i="18"/>
  <c r="O163" i="34" s="1"/>
  <c r="I122" i="18"/>
  <c r="O164" i="34" s="1"/>
  <c r="I113" i="18"/>
  <c r="O155" i="34" s="1"/>
  <c r="I123" i="18"/>
  <c r="O165" i="34" s="1"/>
  <c r="I116" i="18"/>
  <c r="O158" i="34" s="1"/>
  <c r="I125" i="18"/>
  <c r="O167" i="34" s="1"/>
  <c r="I119" i="18"/>
  <c r="O161" i="34" s="1"/>
  <c r="X125" i="18"/>
  <c r="AD167" i="34" s="1"/>
  <c r="X117" i="18"/>
  <c r="AD159" i="34" s="1"/>
  <c r="X113" i="18"/>
  <c r="AD155" i="34" s="1"/>
  <c r="X122" i="18"/>
  <c r="AD164" i="34" s="1"/>
  <c r="X114" i="18"/>
  <c r="AD156" i="34" s="1"/>
  <c r="X124" i="18"/>
  <c r="AD166" i="34" s="1"/>
  <c r="X112" i="18"/>
  <c r="AD154" i="34" s="1"/>
  <c r="X111" i="18"/>
  <c r="AD153" i="34" s="1"/>
  <c r="X115" i="18"/>
  <c r="AD157" i="34" s="1"/>
  <c r="X121" i="18"/>
  <c r="AD163" i="34" s="1"/>
  <c r="X119" i="18"/>
  <c r="AD161" i="34" s="1"/>
  <c r="X116" i="18"/>
  <c r="AD158" i="34" s="1"/>
  <c r="X123" i="18"/>
  <c r="AD165" i="34" s="1"/>
  <c r="X118" i="18"/>
  <c r="AD160" i="34" s="1"/>
  <c r="X120" i="18"/>
  <c r="AD162" i="34" s="1"/>
  <c r="F116" i="18"/>
  <c r="L158" i="34" s="1"/>
  <c r="F119" i="18"/>
  <c r="L161" i="34" s="1"/>
  <c r="P194" i="29"/>
  <c r="X25" i="31" s="1"/>
  <c r="P81" i="29"/>
  <c r="V100" i="34" s="1"/>
  <c r="P80" i="29"/>
  <c r="V99" i="34" s="1"/>
  <c r="P78" i="29"/>
  <c r="V97" i="34" s="1"/>
  <c r="P87" i="29"/>
  <c r="V106" i="34" s="1"/>
  <c r="P84" i="29"/>
  <c r="V103" i="34" s="1"/>
  <c r="P75" i="29"/>
  <c r="V94" i="34" s="1"/>
  <c r="P85" i="29"/>
  <c r="V104" i="34" s="1"/>
  <c r="P79" i="29"/>
  <c r="V98" i="34" s="1"/>
  <c r="P88" i="29"/>
  <c r="V107" i="34" s="1"/>
  <c r="P73" i="29"/>
  <c r="V92" i="34" s="1"/>
  <c r="P86" i="29"/>
  <c r="V105" i="34" s="1"/>
  <c r="P82" i="29"/>
  <c r="V101" i="34" s="1"/>
  <c r="P77" i="29"/>
  <c r="V96" i="34" s="1"/>
  <c r="P83" i="29"/>
  <c r="V102" i="34" s="1"/>
  <c r="P76" i="29"/>
  <c r="V95" i="34" s="1"/>
  <c r="P74" i="29"/>
  <c r="V93" i="34" s="1"/>
  <c r="E35" i="29"/>
  <c r="AA25"/>
  <c r="T73" i="17"/>
  <c r="Z32" i="34" s="1"/>
  <c r="T74" i="17"/>
  <c r="Z33" i="34" s="1"/>
  <c r="T86" i="17"/>
  <c r="Z45" i="34" s="1"/>
  <c r="T85" i="17"/>
  <c r="Z44" i="34" s="1"/>
  <c r="T76" i="17"/>
  <c r="Z35" i="34" s="1"/>
  <c r="T194" i="17"/>
  <c r="T77"/>
  <c r="Z36" i="34" s="1"/>
  <c r="T82" i="17"/>
  <c r="Z41" i="34" s="1"/>
  <c r="T83" i="17"/>
  <c r="Z42" i="34" s="1"/>
  <c r="T81" i="17"/>
  <c r="Z40" i="34" s="1"/>
  <c r="T80" i="17"/>
  <c r="Z39" i="34" s="1"/>
  <c r="T78" i="17"/>
  <c r="Z37" i="34" s="1"/>
  <c r="T79" i="17"/>
  <c r="Z38" i="34" s="1"/>
  <c r="T88" i="17"/>
  <c r="Z47" i="34" s="1"/>
  <c r="T75" i="17"/>
  <c r="Z34" i="34" s="1"/>
  <c r="T84" i="17"/>
  <c r="Z43" i="34" s="1"/>
  <c r="T87" i="17"/>
  <c r="Z46" i="34" s="1"/>
  <c r="X79" i="17"/>
  <c r="AD38" i="34" s="1"/>
  <c r="X74" i="17"/>
  <c r="AD33" i="34" s="1"/>
  <c r="X80" i="17"/>
  <c r="AD39" i="34" s="1"/>
  <c r="X194" i="17"/>
  <c r="X83"/>
  <c r="AD42" i="34" s="1"/>
  <c r="X82" i="17"/>
  <c r="AD41" i="34" s="1"/>
  <c r="X87" i="17"/>
  <c r="AD46" i="34" s="1"/>
  <c r="X75" i="17"/>
  <c r="AD34" i="34" s="1"/>
  <c r="X78" i="17"/>
  <c r="AD37" i="34" s="1"/>
  <c r="X76" i="17"/>
  <c r="AD35" i="34" s="1"/>
  <c r="X81" i="17"/>
  <c r="AD40" i="34" s="1"/>
  <c r="X73" i="17"/>
  <c r="AD32" i="34" s="1"/>
  <c r="X84" i="17"/>
  <c r="AD43" i="34" s="1"/>
  <c r="X88" i="17"/>
  <c r="AD47" i="34" s="1"/>
  <c r="X86" i="17"/>
  <c r="AD45" i="34" s="1"/>
  <c r="X77" i="17"/>
  <c r="AD36" i="34" s="1"/>
  <c r="X85" i="17"/>
  <c r="AD44" i="34" s="1"/>
  <c r="W75" i="17"/>
  <c r="AC34" i="34" s="1"/>
  <c r="W82" i="17"/>
  <c r="AC41" i="34" s="1"/>
  <c r="W85" i="17"/>
  <c r="AC44" i="34" s="1"/>
  <c r="W78" i="17"/>
  <c r="AC37" i="34" s="1"/>
  <c r="W73" i="17"/>
  <c r="AC32" i="34" s="1"/>
  <c r="W79" i="17"/>
  <c r="AC38" i="34" s="1"/>
  <c r="W86" i="17"/>
  <c r="AC45" i="34" s="1"/>
  <c r="W81" i="17"/>
  <c r="AC40" i="34" s="1"/>
  <c r="W84" i="17"/>
  <c r="AC43" i="34" s="1"/>
  <c r="W74" i="17"/>
  <c r="AC33" i="34" s="1"/>
  <c r="W88" i="17"/>
  <c r="AC47" i="34" s="1"/>
  <c r="W77" i="17"/>
  <c r="AC36" i="34" s="1"/>
  <c r="W80" i="17"/>
  <c r="AC39" i="34" s="1"/>
  <c r="W83" i="17"/>
  <c r="AC42" i="34" s="1"/>
  <c r="W87" i="17"/>
  <c r="AC46" i="34" s="1"/>
  <c r="W76" i="17"/>
  <c r="AC35" i="34" s="1"/>
  <c r="W194" i="17"/>
  <c r="F194"/>
  <c r="F81"/>
  <c r="L40" i="34" s="1"/>
  <c r="F73" i="17"/>
  <c r="L32" i="34" s="1"/>
  <c r="F78" i="17"/>
  <c r="L37" i="34" s="1"/>
  <c r="F87" i="17"/>
  <c r="L46" i="34" s="1"/>
  <c r="F77" i="17"/>
  <c r="L36" i="34" s="1"/>
  <c r="F80" i="17"/>
  <c r="L39" i="34" s="1"/>
  <c r="F75" i="17"/>
  <c r="L34" i="34" s="1"/>
  <c r="F79" i="17"/>
  <c r="L38" i="34" s="1"/>
  <c r="F84" i="17"/>
  <c r="L43" i="34" s="1"/>
  <c r="F88" i="17"/>
  <c r="L47" i="34" s="1"/>
  <c r="F86" i="17"/>
  <c r="L45" i="34" s="1"/>
  <c r="F76" i="17"/>
  <c r="L35" i="34" s="1"/>
  <c r="F83" i="17"/>
  <c r="L42" i="34" s="1"/>
  <c r="F82" i="17"/>
  <c r="L41" i="34" s="1"/>
  <c r="F74" i="17"/>
  <c r="L33" i="34" s="1"/>
  <c r="F85" i="17"/>
  <c r="L44" i="34" s="1"/>
  <c r="H120" i="31"/>
  <c r="N222" i="34" s="1"/>
  <c r="H112" i="31"/>
  <c r="N214" i="34" s="1"/>
  <c r="I114" i="31"/>
  <c r="O216" i="34" s="1"/>
  <c r="I113" i="31"/>
  <c r="O215" i="34" s="1"/>
  <c r="I118" i="31"/>
  <c r="O220" i="34" s="1"/>
  <c r="I119" i="31"/>
  <c r="O221" i="34" s="1"/>
  <c r="I120" i="31"/>
  <c r="O222" i="34" s="1"/>
  <c r="I123" i="31"/>
  <c r="O225" i="34" s="1"/>
  <c r="I122" i="31"/>
  <c r="O224" i="34" s="1"/>
  <c r="I121" i="31"/>
  <c r="O223" i="34" s="1"/>
  <c r="I115" i="31"/>
  <c r="O217" i="34" s="1"/>
  <c r="I117" i="31"/>
  <c r="O219" i="34" s="1"/>
  <c r="I116" i="31"/>
  <c r="O218" i="34" s="1"/>
  <c r="I112" i="31"/>
  <c r="O214" i="34" s="1"/>
  <c r="I125" i="31"/>
  <c r="O227" i="34" s="1"/>
  <c r="I124" i="31"/>
  <c r="O226" i="34" s="1"/>
  <c r="I111" i="31"/>
  <c r="O213" i="34" s="1"/>
  <c r="R121" i="18"/>
  <c r="X163" i="34" s="1"/>
  <c r="R125" i="18"/>
  <c r="X167" i="34" s="1"/>
  <c r="Y113" i="18"/>
  <c r="AE155" i="34" s="1"/>
  <c r="Y122" i="18"/>
  <c r="AE164" i="34" s="1"/>
  <c r="Y119" i="18"/>
  <c r="AE161" i="34" s="1"/>
  <c r="Y121" i="18"/>
  <c r="AE163" i="34" s="1"/>
  <c r="Y118" i="18"/>
  <c r="AE160" i="34" s="1"/>
  <c r="Y120" i="18"/>
  <c r="AE162" i="34" s="1"/>
  <c r="Y115" i="18"/>
  <c r="AE157" i="34" s="1"/>
  <c r="Y112" i="18"/>
  <c r="AE154" i="34" s="1"/>
  <c r="Y125" i="18"/>
  <c r="AE167" i="34" s="1"/>
  <c r="Y117" i="18"/>
  <c r="AE159" i="34" s="1"/>
  <c r="Y114" i="18"/>
  <c r="AE156" i="34" s="1"/>
  <c r="Y111" i="18"/>
  <c r="AE153" i="34" s="1"/>
  <c r="Y116" i="18"/>
  <c r="AE158" i="34" s="1"/>
  <c r="Y123" i="18"/>
  <c r="AE165" i="34" s="1"/>
  <c r="Y124" i="18"/>
  <c r="AE166" i="34" s="1"/>
  <c r="W117" i="18"/>
  <c r="AC159" i="34" s="1"/>
  <c r="W112" i="18"/>
  <c r="AC154" i="34" s="1"/>
  <c r="N117" i="18"/>
  <c r="T159" i="34" s="1"/>
  <c r="N114" i="18"/>
  <c r="T156" i="34" s="1"/>
  <c r="N122" i="18"/>
  <c r="T164" i="34" s="1"/>
  <c r="N124" i="18"/>
  <c r="T166" i="34" s="1"/>
  <c r="N116" i="18"/>
  <c r="T158" i="34" s="1"/>
  <c r="N119" i="18"/>
  <c r="T161" i="34" s="1"/>
  <c r="N111" i="18"/>
  <c r="T153" i="34" s="1"/>
  <c r="N125" i="18"/>
  <c r="T167" i="34" s="1"/>
  <c r="N118" i="18"/>
  <c r="T160" i="34" s="1"/>
  <c r="N120" i="18"/>
  <c r="T162" i="34" s="1"/>
  <c r="N113" i="18"/>
  <c r="T155" i="34" s="1"/>
  <c r="N112" i="18"/>
  <c r="T154" i="34" s="1"/>
  <c r="N123" i="18"/>
  <c r="T165" i="34" s="1"/>
  <c r="N121" i="18"/>
  <c r="T163" i="34" s="1"/>
  <c r="N115" i="18"/>
  <c r="T157" i="34" s="1"/>
  <c r="J194" i="29"/>
  <c r="R25" i="31" s="1"/>
  <c r="J77" i="29"/>
  <c r="P96" i="34" s="1"/>
  <c r="J83" i="29"/>
  <c r="P102" i="34" s="1"/>
  <c r="J84" i="29"/>
  <c r="P103" i="34" s="1"/>
  <c r="J73" i="29"/>
  <c r="P92" i="34" s="1"/>
  <c r="J80" i="29"/>
  <c r="P99" i="34" s="1"/>
  <c r="J74" i="29"/>
  <c r="P93" i="34" s="1"/>
  <c r="J76" i="29"/>
  <c r="P95" i="34" s="1"/>
  <c r="J81" i="29"/>
  <c r="P100" i="34" s="1"/>
  <c r="J79" i="29"/>
  <c r="P98" i="34" s="1"/>
  <c r="J82" i="29"/>
  <c r="P101" i="34" s="1"/>
  <c r="J88" i="29"/>
  <c r="P107" i="34" s="1"/>
  <c r="J78" i="29"/>
  <c r="P97" i="34" s="1"/>
  <c r="J75" i="29"/>
  <c r="P94" i="34" s="1"/>
  <c r="J87" i="29"/>
  <c r="P106" i="34" s="1"/>
  <c r="J85" i="29"/>
  <c r="P104" i="34" s="1"/>
  <c r="J86" i="29"/>
  <c r="P105" i="34" s="1"/>
  <c r="I194" i="29"/>
  <c r="Q25" i="31" s="1"/>
  <c r="I86" i="29"/>
  <c r="O105" i="34" s="1"/>
  <c r="I77" i="29"/>
  <c r="O96" i="34" s="1"/>
  <c r="I85" i="29"/>
  <c r="O104" i="34" s="1"/>
  <c r="I84" i="29"/>
  <c r="O103" i="34" s="1"/>
  <c r="I87" i="29"/>
  <c r="O106" i="34" s="1"/>
  <c r="I75" i="29"/>
  <c r="O94" i="34" s="1"/>
  <c r="I80" i="29"/>
  <c r="O99" i="34" s="1"/>
  <c r="I78" i="29"/>
  <c r="O97" i="34" s="1"/>
  <c r="I73" i="29"/>
  <c r="O92" i="34" s="1"/>
  <c r="I83" i="29"/>
  <c r="O102" i="34" s="1"/>
  <c r="I88" i="29"/>
  <c r="O107" i="34" s="1"/>
  <c r="I74" i="29"/>
  <c r="O93" i="34" s="1"/>
  <c r="I79" i="29"/>
  <c r="O98" i="34" s="1"/>
  <c r="I82" i="29"/>
  <c r="O101" i="34" s="1"/>
  <c r="I76" i="29"/>
  <c r="O95" i="34" s="1"/>
  <c r="I81" i="29"/>
  <c r="O100" i="34" s="1"/>
  <c r="W194" i="29"/>
  <c r="W76"/>
  <c r="AC95" i="34" s="1"/>
  <c r="W78" i="29"/>
  <c r="AC97" i="34" s="1"/>
  <c r="W82" i="29"/>
  <c r="AC101" i="34" s="1"/>
  <c r="W85" i="29"/>
  <c r="AC104" i="34" s="1"/>
  <c r="W75" i="29"/>
  <c r="AC94" i="34" s="1"/>
  <c r="W83" i="29"/>
  <c r="AC102" i="34" s="1"/>
  <c r="W79" i="29"/>
  <c r="AC98" i="34" s="1"/>
  <c r="W73" i="29"/>
  <c r="AC92" i="34" s="1"/>
  <c r="W74" i="29"/>
  <c r="AC93" i="34" s="1"/>
  <c r="W88" i="29"/>
  <c r="AC107" i="34" s="1"/>
  <c r="W77" i="29"/>
  <c r="AC96" i="34" s="1"/>
  <c r="W80" i="29"/>
  <c r="AC99" i="34" s="1"/>
  <c r="W87" i="29"/>
  <c r="AC106" i="34" s="1"/>
  <c r="W86" i="29"/>
  <c r="AC105" i="34" s="1"/>
  <c r="W81" i="29"/>
  <c r="AC100" i="34" s="1"/>
  <c r="W84" i="29"/>
  <c r="AC103" i="34" s="1"/>
  <c r="M75" i="29"/>
  <c r="S94" i="34" s="1"/>
  <c r="M81" i="29"/>
  <c r="S100" i="34" s="1"/>
  <c r="M82" i="29"/>
  <c r="S101" i="34" s="1"/>
  <c r="M76" i="29"/>
  <c r="S95" i="34" s="1"/>
  <c r="M194" i="29"/>
  <c r="U25" i="31" s="1"/>
  <c r="M73" i="29"/>
  <c r="S92" i="34" s="1"/>
  <c r="M84" i="29"/>
  <c r="S103" i="34" s="1"/>
  <c r="M85" i="29"/>
  <c r="S104" i="34" s="1"/>
  <c r="M77" i="29"/>
  <c r="S96" i="34" s="1"/>
  <c r="M88" i="29"/>
  <c r="S107" i="34" s="1"/>
  <c r="M79" i="29"/>
  <c r="S98" i="34" s="1"/>
  <c r="M80" i="29"/>
  <c r="S99" i="34" s="1"/>
  <c r="M87" i="29"/>
  <c r="S106" i="34" s="1"/>
  <c r="M78" i="29"/>
  <c r="S97" i="34" s="1"/>
  <c r="M86" i="29"/>
  <c r="S105" i="34" s="1"/>
  <c r="M83" i="29"/>
  <c r="S102" i="34" s="1"/>
  <c r="M74" i="29"/>
  <c r="S93" i="34" s="1"/>
  <c r="V82" i="29"/>
  <c r="AB101" i="34" s="1"/>
  <c r="V74" i="29"/>
  <c r="AB93" i="34" s="1"/>
  <c r="V80" i="29"/>
  <c r="AB99" i="34" s="1"/>
  <c r="V86" i="29"/>
  <c r="AB105" i="34" s="1"/>
  <c r="V194" i="29"/>
  <c r="V79"/>
  <c r="AB98" i="34" s="1"/>
  <c r="V77" i="29"/>
  <c r="AB96" i="34" s="1"/>
  <c r="V78" i="29"/>
  <c r="AB97" i="34" s="1"/>
  <c r="V83" i="29"/>
  <c r="AB102" i="34" s="1"/>
  <c r="V81" i="29"/>
  <c r="AB100" i="34" s="1"/>
  <c r="V88" i="29"/>
  <c r="AB107" i="34" s="1"/>
  <c r="V75" i="29"/>
  <c r="AB94" i="34" s="1"/>
  <c r="V76" i="29"/>
  <c r="AB95" i="34" s="1"/>
  <c r="V87" i="29"/>
  <c r="AB106" i="34" s="1"/>
  <c r="V84" i="29"/>
  <c r="AB103" i="34" s="1"/>
  <c r="V73" i="29"/>
  <c r="AB92" i="34" s="1"/>
  <c r="V85" i="29"/>
  <c r="AB104" i="34" s="1"/>
  <c r="U74" i="17"/>
  <c r="AA33" i="34" s="1"/>
  <c r="U76" i="17"/>
  <c r="AA35" i="34" s="1"/>
  <c r="U75" i="17"/>
  <c r="AA34" i="34" s="1"/>
  <c r="U81" i="17"/>
  <c r="AA40" i="34" s="1"/>
  <c r="U194" i="17"/>
  <c r="U88"/>
  <c r="AA47" i="34" s="1"/>
  <c r="U83" i="17"/>
  <c r="AA42" i="34" s="1"/>
  <c r="U84" i="17"/>
  <c r="AA43" i="34" s="1"/>
  <c r="U80" i="17"/>
  <c r="AA39" i="34" s="1"/>
  <c r="U77" i="17"/>
  <c r="AA36" i="34" s="1"/>
  <c r="U85" i="17"/>
  <c r="AA44" i="34" s="1"/>
  <c r="U78" i="17"/>
  <c r="AA37" i="34" s="1"/>
  <c r="U79" i="17"/>
  <c r="AA38" i="34" s="1"/>
  <c r="U86" i="17"/>
  <c r="AA45" i="34" s="1"/>
  <c r="U73" i="17"/>
  <c r="AA32" i="34" s="1"/>
  <c r="U82" i="17"/>
  <c r="AA41" i="34" s="1"/>
  <c r="U87" i="17"/>
  <c r="AA46" i="34" s="1"/>
  <c r="P84" i="17"/>
  <c r="V43" i="34" s="1"/>
  <c r="P76" i="17"/>
  <c r="V35" i="34" s="1"/>
  <c r="P81" i="17"/>
  <c r="V40" i="34" s="1"/>
  <c r="P82" i="17"/>
  <c r="V41" i="34" s="1"/>
  <c r="P86" i="17"/>
  <c r="V45" i="34" s="1"/>
  <c r="P80" i="17"/>
  <c r="V39" i="34" s="1"/>
  <c r="P77" i="17"/>
  <c r="V36" i="34" s="1"/>
  <c r="P87" i="17"/>
  <c r="V46" i="34" s="1"/>
  <c r="P85" i="17"/>
  <c r="V44" i="34" s="1"/>
  <c r="P79" i="17"/>
  <c r="V38" i="34" s="1"/>
  <c r="P194" i="17"/>
  <c r="P83"/>
  <c r="V42" i="34" s="1"/>
  <c r="P75" i="17"/>
  <c r="V34" i="34" s="1"/>
  <c r="P88" i="17"/>
  <c r="V47" i="34" s="1"/>
  <c r="P73" i="17"/>
  <c r="V32" i="34" s="1"/>
  <c r="P78" i="17"/>
  <c r="V37" i="34" s="1"/>
  <c r="P74" i="17"/>
  <c r="V33" i="34" s="1"/>
  <c r="G78" i="17"/>
  <c r="M37" i="34" s="1"/>
  <c r="G79" i="17"/>
  <c r="M38" i="34" s="1"/>
  <c r="G77" i="17"/>
  <c r="M36" i="34" s="1"/>
  <c r="G84" i="17"/>
  <c r="M43" i="34" s="1"/>
  <c r="G85" i="17"/>
  <c r="M44" i="34" s="1"/>
  <c r="G75" i="17"/>
  <c r="M34" i="34" s="1"/>
  <c r="G74" i="17"/>
  <c r="M33" i="34" s="1"/>
  <c r="G80" i="17"/>
  <c r="M39" i="34" s="1"/>
  <c r="G88" i="17"/>
  <c r="M47" i="34" s="1"/>
  <c r="G81" i="17"/>
  <c r="M40" i="34" s="1"/>
  <c r="G87" i="17"/>
  <c r="M46" i="34" s="1"/>
  <c r="G194" i="17"/>
  <c r="G86"/>
  <c r="M45" i="34" s="1"/>
  <c r="G73" i="17"/>
  <c r="M32" i="34" s="1"/>
  <c r="G83" i="17"/>
  <c r="M42" i="34" s="1"/>
  <c r="G82" i="17"/>
  <c r="M41" i="34" s="1"/>
  <c r="G76" i="17"/>
  <c r="M35" i="34" s="1"/>
  <c r="J79" i="17"/>
  <c r="P38" i="34" s="1"/>
  <c r="J83" i="17"/>
  <c r="P42" i="34" s="1"/>
  <c r="J77" i="17"/>
  <c r="P36" i="34" s="1"/>
  <c r="J81" i="17"/>
  <c r="P40" i="34" s="1"/>
  <c r="J88" i="17"/>
  <c r="P47" i="34" s="1"/>
  <c r="J194" i="17"/>
  <c r="J82"/>
  <c r="P41" i="34" s="1"/>
  <c r="J84" i="17"/>
  <c r="P43" i="34" s="1"/>
  <c r="J85" i="17"/>
  <c r="P44" i="34" s="1"/>
  <c r="J74" i="17"/>
  <c r="P33" i="34" s="1"/>
  <c r="J87" i="17"/>
  <c r="P46" i="34" s="1"/>
  <c r="J73" i="17"/>
  <c r="P32" i="34" s="1"/>
  <c r="J86" i="17"/>
  <c r="P45" i="34" s="1"/>
  <c r="J76" i="17"/>
  <c r="P35" i="34" s="1"/>
  <c r="J75" i="17"/>
  <c r="P34" i="34" s="1"/>
  <c r="J80" i="17"/>
  <c r="P39" i="34" s="1"/>
  <c r="J78" i="17"/>
  <c r="P37" i="34" s="1"/>
  <c r="S84" i="17"/>
  <c r="Y43" i="34" s="1"/>
  <c r="S74" i="17"/>
  <c r="Y33" i="34" s="1"/>
  <c r="S76" i="17"/>
  <c r="Y35" i="34" s="1"/>
  <c r="S79" i="17"/>
  <c r="Y38" i="34" s="1"/>
  <c r="S77" i="17"/>
  <c r="Y36" i="34" s="1"/>
  <c r="S87" i="17"/>
  <c r="Y46" i="34" s="1"/>
  <c r="S194" i="17"/>
  <c r="S75"/>
  <c r="Y34" i="34" s="1"/>
  <c r="S78" i="17"/>
  <c r="Y37" i="34" s="1"/>
  <c r="S83" i="17"/>
  <c r="Y42" i="34" s="1"/>
  <c r="S73" i="17"/>
  <c r="Y32" i="34" s="1"/>
  <c r="S82" i="17"/>
  <c r="Y41" i="34" s="1"/>
  <c r="S80" i="17"/>
  <c r="Y39" i="34" s="1"/>
  <c r="S85" i="17"/>
  <c r="Y44" i="34" s="1"/>
  <c r="S81" i="17"/>
  <c r="Y40" i="34" s="1"/>
  <c r="S86" i="17"/>
  <c r="Y45" i="34" s="1"/>
  <c r="S88" i="17"/>
  <c r="Y47" i="34" s="1"/>
  <c r="G119" i="31"/>
  <c r="M221" i="34" s="1"/>
  <c r="G114" i="31"/>
  <c r="M216" i="34" s="1"/>
  <c r="G118" i="31"/>
  <c r="M220" i="34" s="1"/>
  <c r="G122" i="31"/>
  <c r="M224" i="34" s="1"/>
  <c r="G117" i="31"/>
  <c r="M219" i="34" s="1"/>
  <c r="G120" i="31"/>
  <c r="M222" i="34" s="1"/>
  <c r="G115" i="31"/>
  <c r="M217" i="34" s="1"/>
  <c r="G125" i="31"/>
  <c r="M227" i="34" s="1"/>
  <c r="G124" i="31"/>
  <c r="M226" i="34" s="1"/>
  <c r="G113" i="31"/>
  <c r="M215" i="34" s="1"/>
  <c r="G111" i="31"/>
  <c r="M213" i="34" s="1"/>
  <c r="G112" i="31"/>
  <c r="M214" i="34" s="1"/>
  <c r="G121" i="31"/>
  <c r="M223" i="34" s="1"/>
  <c r="G123" i="31"/>
  <c r="M225" i="34" s="1"/>
  <c r="G116" i="31"/>
  <c r="M218" i="34" s="1"/>
  <c r="L123" i="31"/>
  <c r="R225" i="34" s="1"/>
  <c r="Q48" i="18"/>
  <c r="X48" i="31"/>
  <c r="U61" i="18"/>
  <c r="U96" s="1"/>
  <c r="AA138" i="34" s="1"/>
  <c r="P61" i="18"/>
  <c r="P105" s="1"/>
  <c r="V147" i="34" s="1"/>
  <c r="Z38" i="18"/>
  <c r="J48"/>
  <c r="K48"/>
  <c r="H48" i="31"/>
  <c r="I48"/>
  <c r="K123" i="18"/>
  <c r="Q165" i="34" s="1"/>
  <c r="K120" i="18"/>
  <c r="Q162" i="34" s="1"/>
  <c r="K115" i="18"/>
  <c r="Q157" i="34" s="1"/>
  <c r="K125" i="18"/>
  <c r="Q167" i="34" s="1"/>
  <c r="K111" i="18"/>
  <c r="Q153" i="34" s="1"/>
  <c r="K119" i="18"/>
  <c r="Q161" i="34" s="1"/>
  <c r="K124" i="18"/>
  <c r="Q166" i="34" s="1"/>
  <c r="K113" i="18"/>
  <c r="Q155" i="34" s="1"/>
  <c r="K117" i="18"/>
  <c r="Q159" i="34" s="1"/>
  <c r="K122" i="18"/>
  <c r="Q164" i="34" s="1"/>
  <c r="K121" i="18"/>
  <c r="Q163" i="34" s="1"/>
  <c r="K116" i="18"/>
  <c r="Q158" i="34" s="1"/>
  <c r="K112" i="18"/>
  <c r="Q154" i="34" s="1"/>
  <c r="K114" i="18"/>
  <c r="Q156" i="34" s="1"/>
  <c r="K118" i="18"/>
  <c r="Q160" i="34" s="1"/>
  <c r="T113" i="18"/>
  <c r="Z155" i="34" s="1"/>
  <c r="T112" i="18"/>
  <c r="Z154" i="34" s="1"/>
  <c r="T124" i="18"/>
  <c r="Z166" i="34" s="1"/>
  <c r="T111" i="18"/>
  <c r="Z153" i="34" s="1"/>
  <c r="T122" i="18"/>
  <c r="Z164" i="34" s="1"/>
  <c r="T120" i="18"/>
  <c r="Z162" i="34" s="1"/>
  <c r="T115" i="18"/>
  <c r="Z157" i="34" s="1"/>
  <c r="T119" i="18"/>
  <c r="Z161" i="34" s="1"/>
  <c r="T121" i="18"/>
  <c r="Z163" i="34" s="1"/>
  <c r="T123" i="18"/>
  <c r="Z165" i="34" s="1"/>
  <c r="T118" i="18"/>
  <c r="Z160" i="34" s="1"/>
  <c r="T117" i="18"/>
  <c r="Z159" i="34" s="1"/>
  <c r="T114" i="18"/>
  <c r="Z156" i="34" s="1"/>
  <c r="T116" i="18"/>
  <c r="Z158" i="34" s="1"/>
  <c r="T125" i="18"/>
  <c r="Z167" i="34" s="1"/>
  <c r="V123" i="18"/>
  <c r="AB165" i="34" s="1"/>
  <c r="V115" i="18"/>
  <c r="AB157" i="34" s="1"/>
  <c r="V111" i="18"/>
  <c r="AB153" i="34" s="1"/>
  <c r="V119" i="18"/>
  <c r="AB161" i="34" s="1"/>
  <c r="V125" i="18"/>
  <c r="AB167" i="34" s="1"/>
  <c r="V121" i="18"/>
  <c r="AB163" i="34" s="1"/>
  <c r="V112" i="18"/>
  <c r="AB154" i="34" s="1"/>
  <c r="V114" i="18"/>
  <c r="AB156" i="34" s="1"/>
  <c r="V113" i="18"/>
  <c r="AB155" i="34" s="1"/>
  <c r="V117" i="18"/>
  <c r="AB159" i="34" s="1"/>
  <c r="V118" i="18"/>
  <c r="AB160" i="34" s="1"/>
  <c r="V120" i="18"/>
  <c r="AB162" i="34" s="1"/>
  <c r="V116" i="18"/>
  <c r="AB158" i="34" s="1"/>
  <c r="V124" i="18"/>
  <c r="AB166" i="34" s="1"/>
  <c r="V122" i="18"/>
  <c r="AB164" i="34" s="1"/>
  <c r="X79" i="29"/>
  <c r="AD98" i="34" s="1"/>
  <c r="X76" i="29"/>
  <c r="AD95" i="34" s="1"/>
  <c r="X85" i="29"/>
  <c r="AD104" i="34" s="1"/>
  <c r="X86" i="29"/>
  <c r="AD105" i="34" s="1"/>
  <c r="X78" i="29"/>
  <c r="AD97" i="34" s="1"/>
  <c r="X74" i="29"/>
  <c r="AD93" i="34" s="1"/>
  <c r="X81" i="29"/>
  <c r="AD100" i="34" s="1"/>
  <c r="X80" i="29"/>
  <c r="AD99" i="34" s="1"/>
  <c r="X77" i="29"/>
  <c r="AD96" i="34" s="1"/>
  <c r="X82" i="29"/>
  <c r="AD101" i="34" s="1"/>
  <c r="X83" i="29"/>
  <c r="AD102" i="34" s="1"/>
  <c r="X87" i="29"/>
  <c r="AD106" i="34" s="1"/>
  <c r="X84" i="29"/>
  <c r="AD103" i="34" s="1"/>
  <c r="X75" i="29"/>
  <c r="AD94" i="34" s="1"/>
  <c r="X88" i="29"/>
  <c r="AD107" i="34" s="1"/>
  <c r="X73" i="29"/>
  <c r="AD92" i="34" s="1"/>
  <c r="X194" i="29"/>
  <c r="T83"/>
  <c r="Z102" i="34" s="1"/>
  <c r="T82" i="29"/>
  <c r="Z101" i="34" s="1"/>
  <c r="T76" i="29"/>
  <c r="Z95" i="34" s="1"/>
  <c r="T88" i="29"/>
  <c r="Z107" i="34" s="1"/>
  <c r="T81" i="29"/>
  <c r="Z100" i="34" s="1"/>
  <c r="T75" i="29"/>
  <c r="Z94" i="34" s="1"/>
  <c r="T79" i="29"/>
  <c r="Z98" i="34" s="1"/>
  <c r="T86" i="29"/>
  <c r="Z105" i="34" s="1"/>
  <c r="T78" i="29"/>
  <c r="Z97" i="34" s="1"/>
  <c r="T87" i="29"/>
  <c r="Z106" i="34" s="1"/>
  <c r="T80" i="29"/>
  <c r="Z99" i="34" s="1"/>
  <c r="T85" i="29"/>
  <c r="Z104" i="34" s="1"/>
  <c r="T73" i="29"/>
  <c r="Z92" i="34" s="1"/>
  <c r="T77" i="29"/>
  <c r="Z96" i="34" s="1"/>
  <c r="T84" i="29"/>
  <c r="Z103" i="34" s="1"/>
  <c r="T74" i="29"/>
  <c r="Z93" i="34" s="1"/>
  <c r="T194" i="29"/>
  <c r="Q77" i="17"/>
  <c r="W36" i="34" s="1"/>
  <c r="Q83" i="17"/>
  <c r="W42" i="34" s="1"/>
  <c r="Q75" i="17"/>
  <c r="W34" i="34" s="1"/>
  <c r="Q78" i="17"/>
  <c r="W37" i="34" s="1"/>
  <c r="Q87" i="17"/>
  <c r="W46" i="34" s="1"/>
  <c r="Q194" i="17"/>
  <c r="Q84"/>
  <c r="W43" i="34" s="1"/>
  <c r="Q74" i="17"/>
  <c r="W33" i="34" s="1"/>
  <c r="Q76" i="17"/>
  <c r="W35" i="34" s="1"/>
  <c r="Q82" i="17"/>
  <c r="W41" i="34" s="1"/>
  <c r="Q80" i="17"/>
  <c r="W39" i="34" s="1"/>
  <c r="Q73" i="17"/>
  <c r="W32" i="34" s="1"/>
  <c r="Q88" i="17"/>
  <c r="W47" i="34" s="1"/>
  <c r="Q79" i="17"/>
  <c r="W38" i="34" s="1"/>
  <c r="Q86" i="17"/>
  <c r="W45" i="34" s="1"/>
  <c r="Q85" i="17"/>
  <c r="W44" i="34" s="1"/>
  <c r="Q81" i="17"/>
  <c r="W40" i="34" s="1"/>
  <c r="O88" i="17"/>
  <c r="U47" i="34" s="1"/>
  <c r="O86" i="17"/>
  <c r="U45" i="34" s="1"/>
  <c r="O87" i="17"/>
  <c r="U46" i="34" s="1"/>
  <c r="O73" i="17"/>
  <c r="U32" i="34" s="1"/>
  <c r="O84" i="17"/>
  <c r="U43" i="34" s="1"/>
  <c r="O83" i="17"/>
  <c r="U42" i="34" s="1"/>
  <c r="O77" i="17"/>
  <c r="U36" i="34" s="1"/>
  <c r="O80" i="17"/>
  <c r="U39" i="34" s="1"/>
  <c r="O74" i="17"/>
  <c r="U33" i="34" s="1"/>
  <c r="O194" i="17"/>
  <c r="O78"/>
  <c r="U37" i="34" s="1"/>
  <c r="O76" i="17"/>
  <c r="U35" i="34" s="1"/>
  <c r="O82" i="17"/>
  <c r="U41" i="34" s="1"/>
  <c r="O85" i="17"/>
  <c r="U44" i="34" s="1"/>
  <c r="O81" i="17"/>
  <c r="U40" i="34" s="1"/>
  <c r="O79" i="17"/>
  <c r="U38" i="34" s="1"/>
  <c r="O75" i="17"/>
  <c r="U34" i="34" s="1"/>
  <c r="E114" i="31"/>
  <c r="E118"/>
  <c r="E117"/>
  <c r="E122"/>
  <c r="O115" i="18"/>
  <c r="U157" i="34" s="1"/>
  <c r="O114" i="18"/>
  <c r="U156" i="34" s="1"/>
  <c r="O113" i="18"/>
  <c r="U155" i="34" s="1"/>
  <c r="O121" i="18"/>
  <c r="U163" i="34" s="1"/>
  <c r="O124" i="18"/>
  <c r="U166" i="34" s="1"/>
  <c r="O123" i="18"/>
  <c r="U165" i="34" s="1"/>
  <c r="O119" i="18"/>
  <c r="U161" i="34" s="1"/>
  <c r="O120" i="18"/>
  <c r="U162" i="34" s="1"/>
  <c r="O125" i="18"/>
  <c r="U167" i="34" s="1"/>
  <c r="O116" i="18"/>
  <c r="U158" i="34" s="1"/>
  <c r="O117" i="18"/>
  <c r="U159" i="34" s="1"/>
  <c r="O111" i="18"/>
  <c r="U153" i="34" s="1"/>
  <c r="O122" i="18"/>
  <c r="U164" i="34" s="1"/>
  <c r="O112" i="18"/>
  <c r="U154" i="34" s="1"/>
  <c r="O118" i="18"/>
  <c r="U160" i="34" s="1"/>
  <c r="M123" i="18"/>
  <c r="S165" i="34" s="1"/>
  <c r="M116" i="18"/>
  <c r="S158" i="34" s="1"/>
  <c r="M125" i="18"/>
  <c r="S167" i="34" s="1"/>
  <c r="M120" i="18"/>
  <c r="S162" i="34" s="1"/>
  <c r="R194" i="29"/>
  <c r="R88"/>
  <c r="X107" i="34" s="1"/>
  <c r="R76" i="29"/>
  <c r="X95" i="34" s="1"/>
  <c r="R87" i="29"/>
  <c r="X106" i="34" s="1"/>
  <c r="R82" i="29"/>
  <c r="X101" i="34" s="1"/>
  <c r="R85" i="29"/>
  <c r="X104" i="34" s="1"/>
  <c r="R74" i="29"/>
  <c r="X93" i="34" s="1"/>
  <c r="R79" i="29"/>
  <c r="X98" i="34" s="1"/>
  <c r="R75" i="29"/>
  <c r="X94" i="34" s="1"/>
  <c r="R80" i="29"/>
  <c r="X99" i="34" s="1"/>
  <c r="R81" i="29"/>
  <c r="X100" i="34" s="1"/>
  <c r="R77" i="29"/>
  <c r="X96" i="34" s="1"/>
  <c r="R86" i="29"/>
  <c r="X105" i="34" s="1"/>
  <c r="R83" i="29"/>
  <c r="X102" i="34" s="1"/>
  <c r="R84" i="29"/>
  <c r="X103" i="34" s="1"/>
  <c r="R73" i="29"/>
  <c r="X92" i="34" s="1"/>
  <c r="R78" i="29"/>
  <c r="X97" i="34" s="1"/>
  <c r="Q84" i="29"/>
  <c r="W103" i="34" s="1"/>
  <c r="Q87" i="29"/>
  <c r="W106" i="34" s="1"/>
  <c r="Q86" i="29"/>
  <c r="W105" i="34" s="1"/>
  <c r="Q82" i="29"/>
  <c r="W101" i="34" s="1"/>
  <c r="Q79" i="29"/>
  <c r="W98" i="34" s="1"/>
  <c r="Q85" i="29"/>
  <c r="W104" i="34" s="1"/>
  <c r="Q194" i="29"/>
  <c r="Q74"/>
  <c r="W93" i="34" s="1"/>
  <c r="Q76" i="29"/>
  <c r="W95" i="34" s="1"/>
  <c r="Q81" i="29"/>
  <c r="W100" i="34" s="1"/>
  <c r="Q88" i="29"/>
  <c r="W107" i="34" s="1"/>
  <c r="Q83" i="29"/>
  <c r="W102" i="34" s="1"/>
  <c r="Q78" i="29"/>
  <c r="W97" i="34" s="1"/>
  <c r="Q75" i="29"/>
  <c r="W94" i="34" s="1"/>
  <c r="Q77" i="29"/>
  <c r="W96" i="34" s="1"/>
  <c r="Q80" i="29"/>
  <c r="W99" i="34" s="1"/>
  <c r="Q73" i="29"/>
  <c r="W92" i="34" s="1"/>
  <c r="N86" i="29"/>
  <c r="T105" i="34" s="1"/>
  <c r="N77" i="29"/>
  <c r="T96" i="34" s="1"/>
  <c r="N83" i="29"/>
  <c r="T102" i="34" s="1"/>
  <c r="N76" i="29"/>
  <c r="T95" i="34" s="1"/>
  <c r="N79" i="29"/>
  <c r="T98" i="34" s="1"/>
  <c r="N88" i="29"/>
  <c r="T107" i="34" s="1"/>
  <c r="N84" i="29"/>
  <c r="T103" i="34" s="1"/>
  <c r="N82" i="29"/>
  <c r="T101" i="34" s="1"/>
  <c r="N75" i="29"/>
  <c r="T94" i="34" s="1"/>
  <c r="N87" i="29"/>
  <c r="T106" i="34" s="1"/>
  <c r="N81" i="29"/>
  <c r="T100" i="34" s="1"/>
  <c r="N85" i="29"/>
  <c r="T104" i="34" s="1"/>
  <c r="N78" i="29"/>
  <c r="T97" i="34" s="1"/>
  <c r="N74" i="29"/>
  <c r="T93" i="34" s="1"/>
  <c r="N194" i="29"/>
  <c r="V25" i="31" s="1"/>
  <c r="N73" i="29"/>
  <c r="T92" i="34" s="1"/>
  <c r="N80" i="29"/>
  <c r="T99" i="34" s="1"/>
  <c r="I74" i="17"/>
  <c r="O33" i="34" s="1"/>
  <c r="I78" i="17"/>
  <c r="O37" i="34" s="1"/>
  <c r="I80" i="17"/>
  <c r="O39" i="34" s="1"/>
  <c r="I79" i="17"/>
  <c r="O38" i="34" s="1"/>
  <c r="I83" i="17"/>
  <c r="O42" i="34" s="1"/>
  <c r="I88" i="17"/>
  <c r="O47" i="34" s="1"/>
  <c r="I86" i="17"/>
  <c r="O45" i="34" s="1"/>
  <c r="I77" i="17"/>
  <c r="O36" i="34" s="1"/>
  <c r="I73" i="17"/>
  <c r="O32" i="34" s="1"/>
  <c r="I82" i="17"/>
  <c r="O41" i="34" s="1"/>
  <c r="I87" i="17"/>
  <c r="O46" i="34" s="1"/>
  <c r="I85" i="17"/>
  <c r="O44" i="34" s="1"/>
  <c r="I75" i="17"/>
  <c r="O34" i="34" s="1"/>
  <c r="I76" i="17"/>
  <c r="O35" i="34" s="1"/>
  <c r="I194" i="17"/>
  <c r="I81"/>
  <c r="O40" i="34" s="1"/>
  <c r="I84" i="17"/>
  <c r="O43" i="34" s="1"/>
  <c r="P119" i="18"/>
  <c r="V161" i="34" s="1"/>
  <c r="P118" i="18"/>
  <c r="V160" i="34" s="1"/>
  <c r="U115" i="18"/>
  <c r="AA157" i="34" s="1"/>
  <c r="U116" i="18"/>
  <c r="AA158" i="34" s="1"/>
  <c r="U125" i="18"/>
  <c r="AA167" i="34" s="1"/>
  <c r="U118" i="18"/>
  <c r="AA160" i="34" s="1"/>
  <c r="U113" i="18"/>
  <c r="AA155" i="34" s="1"/>
  <c r="U111" i="18"/>
  <c r="AA153" i="34" s="1"/>
  <c r="U112" i="18"/>
  <c r="AA154" i="34" s="1"/>
  <c r="U123" i="18"/>
  <c r="AA165" i="34" s="1"/>
  <c r="U114" i="18"/>
  <c r="AA156" i="34" s="1"/>
  <c r="U121" i="18"/>
  <c r="AA163" i="34" s="1"/>
  <c r="U124" i="18"/>
  <c r="AA166" i="34" s="1"/>
  <c r="U122" i="18"/>
  <c r="AA164" i="34" s="1"/>
  <c r="U117" i="18"/>
  <c r="AA159" i="34" s="1"/>
  <c r="U119" i="18"/>
  <c r="AA161" i="34" s="1"/>
  <c r="U120" i="18"/>
  <c r="AA162" i="34" s="1"/>
  <c r="S194" i="29"/>
  <c r="S85"/>
  <c r="Y104" i="34" s="1"/>
  <c r="S73" i="29"/>
  <c r="Y92" i="34" s="1"/>
  <c r="S77" i="29"/>
  <c r="Y96" i="34" s="1"/>
  <c r="S78" i="29"/>
  <c r="Y97" i="34" s="1"/>
  <c r="S82" i="29"/>
  <c r="Y101" i="34" s="1"/>
  <c r="S75" i="29"/>
  <c r="Y94" i="34" s="1"/>
  <c r="S76" i="29"/>
  <c r="Y95" i="34" s="1"/>
  <c r="S87" i="29"/>
  <c r="Y106" i="34" s="1"/>
  <c r="S74" i="29"/>
  <c r="Y93" i="34" s="1"/>
  <c r="S83" i="29"/>
  <c r="Y102" i="34" s="1"/>
  <c r="S86" i="29"/>
  <c r="Y105" i="34" s="1"/>
  <c r="S80" i="29"/>
  <c r="Y99" i="34" s="1"/>
  <c r="S88" i="29"/>
  <c r="Y107" i="34" s="1"/>
  <c r="S84" i="29"/>
  <c r="Y103" i="34" s="1"/>
  <c r="S79" i="29"/>
  <c r="Y98" i="34" s="1"/>
  <c r="S81" i="29"/>
  <c r="Y100" i="34" s="1"/>
  <c r="K79" i="29"/>
  <c r="Q98" i="34" s="1"/>
  <c r="K86" i="29"/>
  <c r="Q105" i="34" s="1"/>
  <c r="K74" i="29"/>
  <c r="Q93" i="34" s="1"/>
  <c r="K81" i="29"/>
  <c r="Q100" i="34" s="1"/>
  <c r="K83" i="29"/>
  <c r="Q102" i="34" s="1"/>
  <c r="K73" i="29"/>
  <c r="Q92" i="34" s="1"/>
  <c r="K85" i="29"/>
  <c r="Q104" i="34" s="1"/>
  <c r="K76" i="29"/>
  <c r="Q95" i="34" s="1"/>
  <c r="K80" i="29"/>
  <c r="Q99" i="34" s="1"/>
  <c r="K82" i="29"/>
  <c r="Q101" i="34" s="1"/>
  <c r="K75" i="29"/>
  <c r="Q94" i="34" s="1"/>
  <c r="K84" i="29"/>
  <c r="Q103" i="34" s="1"/>
  <c r="K88" i="29"/>
  <c r="Q107" i="34" s="1"/>
  <c r="K194" i="29"/>
  <c r="S25" i="31" s="1"/>
  <c r="K78" i="29"/>
  <c r="Q97" i="34" s="1"/>
  <c r="K87" i="29"/>
  <c r="Q106" i="34" s="1"/>
  <c r="K77" i="29"/>
  <c r="Q96" i="34" s="1"/>
  <c r="O194" i="29"/>
  <c r="W25" i="31" s="1"/>
  <c r="O75" i="29"/>
  <c r="U94" i="34" s="1"/>
  <c r="O82" i="29"/>
  <c r="U101" i="34" s="1"/>
  <c r="O87" i="29"/>
  <c r="U106" i="34" s="1"/>
  <c r="O79" i="29"/>
  <c r="U98" i="34" s="1"/>
  <c r="O78" i="29"/>
  <c r="U97" i="34" s="1"/>
  <c r="O85" i="29"/>
  <c r="U104" i="34" s="1"/>
  <c r="O84" i="29"/>
  <c r="U103" i="34" s="1"/>
  <c r="O74" i="29"/>
  <c r="U93" i="34" s="1"/>
  <c r="O73" i="29"/>
  <c r="U92" i="34" s="1"/>
  <c r="O86" i="29"/>
  <c r="U105" i="34" s="1"/>
  <c r="O81" i="29"/>
  <c r="U100" i="34" s="1"/>
  <c r="O80" i="29"/>
  <c r="U99" i="34" s="1"/>
  <c r="O76" i="29"/>
  <c r="U95" i="34" s="1"/>
  <c r="O88" i="29"/>
  <c r="U107" i="34" s="1"/>
  <c r="O77" i="29"/>
  <c r="U96" i="34" s="1"/>
  <c r="O83" i="29"/>
  <c r="U102" i="34" s="1"/>
  <c r="H194" i="29"/>
  <c r="P25" i="31" s="1"/>
  <c r="H86" i="29"/>
  <c r="N105" i="34" s="1"/>
  <c r="H83" i="29"/>
  <c r="N102" i="34" s="1"/>
  <c r="H81" i="29"/>
  <c r="N100" i="34" s="1"/>
  <c r="H82" i="29"/>
  <c r="N101" i="34" s="1"/>
  <c r="H84" i="29"/>
  <c r="N103" i="34" s="1"/>
  <c r="H79" i="29"/>
  <c r="N98" i="34" s="1"/>
  <c r="H87" i="29"/>
  <c r="N106" i="34" s="1"/>
  <c r="H85" i="29"/>
  <c r="N104" i="34" s="1"/>
  <c r="H73" i="29"/>
  <c r="N92" i="34" s="1"/>
  <c r="H75" i="29"/>
  <c r="N94" i="34" s="1"/>
  <c r="H74" i="29"/>
  <c r="N93" i="34" s="1"/>
  <c r="H80" i="29"/>
  <c r="N99" i="34" s="1"/>
  <c r="H78" i="29"/>
  <c r="N97" i="34" s="1"/>
  <c r="H77" i="29"/>
  <c r="N96" i="34" s="1"/>
  <c r="H76" i="29"/>
  <c r="N95" i="34" s="1"/>
  <c r="H88" i="29"/>
  <c r="N107" i="34" s="1"/>
  <c r="L194" i="29"/>
  <c r="T25" i="31" s="1"/>
  <c r="L77" i="29"/>
  <c r="R96" i="34" s="1"/>
  <c r="L87" i="29"/>
  <c r="R106" i="34" s="1"/>
  <c r="L74" i="29"/>
  <c r="R93" i="34" s="1"/>
  <c r="L75" i="29"/>
  <c r="R94" i="34" s="1"/>
  <c r="L76" i="29"/>
  <c r="R95" i="34" s="1"/>
  <c r="L80" i="29"/>
  <c r="R99" i="34" s="1"/>
  <c r="L79" i="29"/>
  <c r="R98" i="34" s="1"/>
  <c r="L73" i="29"/>
  <c r="R92" i="34" s="1"/>
  <c r="L84" i="29"/>
  <c r="R103" i="34" s="1"/>
  <c r="L78" i="29"/>
  <c r="R97" i="34" s="1"/>
  <c r="L86" i="29"/>
  <c r="R105" i="34" s="1"/>
  <c r="L82" i="29"/>
  <c r="R101" i="34" s="1"/>
  <c r="L85" i="29"/>
  <c r="R104" i="34" s="1"/>
  <c r="L83" i="29"/>
  <c r="R102" i="34" s="1"/>
  <c r="L81" i="29"/>
  <c r="R100" i="34" s="1"/>
  <c r="L88" i="29"/>
  <c r="R107" i="34" s="1"/>
  <c r="M81" i="17"/>
  <c r="S40" i="34" s="1"/>
  <c r="M88" i="17"/>
  <c r="S47" i="34" s="1"/>
  <c r="M194" i="17"/>
  <c r="M77"/>
  <c r="S36" i="34" s="1"/>
  <c r="M83" i="17"/>
  <c r="S42" i="34" s="1"/>
  <c r="M78" i="17"/>
  <c r="S37" i="34" s="1"/>
  <c r="M87" i="17"/>
  <c r="S46" i="34" s="1"/>
  <c r="M75" i="17"/>
  <c r="S34" i="34" s="1"/>
  <c r="M80" i="17"/>
  <c r="S39" i="34" s="1"/>
  <c r="M85" i="17"/>
  <c r="S44" i="34" s="1"/>
  <c r="M73" i="17"/>
  <c r="S32" i="34" s="1"/>
  <c r="M74" i="17"/>
  <c r="S33" i="34" s="1"/>
  <c r="M82" i="17"/>
  <c r="S41" i="34" s="1"/>
  <c r="M86" i="17"/>
  <c r="S45" i="34" s="1"/>
  <c r="M84" i="17"/>
  <c r="S43" i="34" s="1"/>
  <c r="M79" i="17"/>
  <c r="S38" i="34" s="1"/>
  <c r="M76" i="17"/>
  <c r="S35" i="34" s="1"/>
  <c r="N88" i="17"/>
  <c r="T47" i="34" s="1"/>
  <c r="N82" i="17"/>
  <c r="T41" i="34" s="1"/>
  <c r="N194" i="17"/>
  <c r="N87"/>
  <c r="T46" i="34" s="1"/>
  <c r="N86" i="17"/>
  <c r="T45" i="34" s="1"/>
  <c r="N84" i="17"/>
  <c r="T43" i="34" s="1"/>
  <c r="N76" i="17"/>
  <c r="T35" i="34" s="1"/>
  <c r="N73" i="17"/>
  <c r="T32" i="34" s="1"/>
  <c r="N81" i="17"/>
  <c r="T40" i="34" s="1"/>
  <c r="N78" i="17"/>
  <c r="T37" i="34" s="1"/>
  <c r="N80" i="17"/>
  <c r="T39" i="34" s="1"/>
  <c r="N79" i="17"/>
  <c r="T38" i="34" s="1"/>
  <c r="N85" i="17"/>
  <c r="T44" i="34" s="1"/>
  <c r="N74" i="17"/>
  <c r="T33" i="34" s="1"/>
  <c r="N75" i="17"/>
  <c r="T34" i="34" s="1"/>
  <c r="N77" i="17"/>
  <c r="T36" i="34" s="1"/>
  <c r="N83" i="17"/>
  <c r="T42" i="34" s="1"/>
  <c r="R82" i="17"/>
  <c r="X41" i="34" s="1"/>
  <c r="R86" i="17"/>
  <c r="X45" i="34" s="1"/>
  <c r="R76" i="17"/>
  <c r="X35" i="34" s="1"/>
  <c r="R84" i="17"/>
  <c r="X43" i="34" s="1"/>
  <c r="R74" i="17"/>
  <c r="X33" i="34" s="1"/>
  <c r="R81" i="17"/>
  <c r="X40" i="34" s="1"/>
  <c r="R78" i="17"/>
  <c r="X37" i="34" s="1"/>
  <c r="R88" i="17"/>
  <c r="X47" i="34" s="1"/>
  <c r="R80" i="17"/>
  <c r="X39" i="34" s="1"/>
  <c r="R77" i="17"/>
  <c r="X36" i="34" s="1"/>
  <c r="R75" i="17"/>
  <c r="X34" i="34" s="1"/>
  <c r="R194" i="17"/>
  <c r="R83"/>
  <c r="X42" i="34" s="1"/>
  <c r="R87" i="17"/>
  <c r="X46" i="34" s="1"/>
  <c r="R85" i="17"/>
  <c r="X44" i="34" s="1"/>
  <c r="R73" i="17"/>
  <c r="X32" i="34" s="1"/>
  <c r="R79" i="17"/>
  <c r="X38" i="34" s="1"/>
  <c r="H85" i="17"/>
  <c r="N44" i="34" s="1"/>
  <c r="H88" i="17"/>
  <c r="N47" i="34" s="1"/>
  <c r="H82" i="17"/>
  <c r="N41" i="34" s="1"/>
  <c r="H78" i="17"/>
  <c r="N37" i="34" s="1"/>
  <c r="H75" i="17"/>
  <c r="N34" i="34" s="1"/>
  <c r="H83" i="17"/>
  <c r="N42" i="34" s="1"/>
  <c r="H76" i="17"/>
  <c r="N35" i="34" s="1"/>
  <c r="H73" i="17"/>
  <c r="N32" i="34" s="1"/>
  <c r="H194" i="17"/>
  <c r="H84"/>
  <c r="N43" i="34" s="1"/>
  <c r="H80" i="17"/>
  <c r="N39" i="34" s="1"/>
  <c r="H79" i="17"/>
  <c r="N38" i="34" s="1"/>
  <c r="H86" i="17"/>
  <c r="N45" i="34" s="1"/>
  <c r="H74" i="17"/>
  <c r="N33" i="34" s="1"/>
  <c r="H77" i="17"/>
  <c r="N36" i="34" s="1"/>
  <c r="H87" i="17"/>
  <c r="N46" i="34" s="1"/>
  <c r="H81" i="17"/>
  <c r="N40" i="34" s="1"/>
  <c r="K76" i="17"/>
  <c r="Q35" i="34" s="1"/>
  <c r="K194" i="17"/>
  <c r="K84"/>
  <c r="Q43" i="34" s="1"/>
  <c r="K78" i="17"/>
  <c r="Q37" i="34" s="1"/>
  <c r="K85" i="17"/>
  <c r="Q44" i="34" s="1"/>
  <c r="K83" i="17"/>
  <c r="Q42" i="34" s="1"/>
  <c r="K82" i="17"/>
  <c r="Q41" i="34" s="1"/>
  <c r="K81" i="17"/>
  <c r="Q40" i="34" s="1"/>
  <c r="K80" i="17"/>
  <c r="Q39" i="34" s="1"/>
  <c r="K75" i="17"/>
  <c r="Q34" i="34" s="1"/>
  <c r="K87" i="17"/>
  <c r="Q46" i="34" s="1"/>
  <c r="K88" i="17"/>
  <c r="Q47" i="34" s="1"/>
  <c r="K79" i="17"/>
  <c r="Q38" i="34" s="1"/>
  <c r="K86" i="17"/>
  <c r="Q45" i="34" s="1"/>
  <c r="K73" i="17"/>
  <c r="Q32" i="34" s="1"/>
  <c r="K74" i="17"/>
  <c r="Q33" i="34" s="1"/>
  <c r="K77" i="17"/>
  <c r="Q36" i="34" s="1"/>
  <c r="F115" i="31"/>
  <c r="L217" i="34" s="1"/>
  <c r="F116" i="31"/>
  <c r="L218" i="34" s="1"/>
  <c r="F119" i="31"/>
  <c r="L221" i="34" s="1"/>
  <c r="F124" i="31"/>
  <c r="L226" i="34" s="1"/>
  <c r="F123" i="31"/>
  <c r="L225" i="34" s="1"/>
  <c r="F113" i="31"/>
  <c r="L215" i="34" s="1"/>
  <c r="F121" i="31"/>
  <c r="L223" i="34" s="1"/>
  <c r="F118" i="31"/>
  <c r="L220" i="34" s="1"/>
  <c r="F120" i="31"/>
  <c r="L222" i="34" s="1"/>
  <c r="F117" i="31"/>
  <c r="L219" i="34" s="1"/>
  <c r="F111" i="31"/>
  <c r="L213" i="34" s="1"/>
  <c r="F114" i="31"/>
  <c r="L216" i="34" s="1"/>
  <c r="F122" i="31"/>
  <c r="L224" i="34" s="1"/>
  <c r="F112" i="31"/>
  <c r="L214" i="34" s="1"/>
  <c r="F125" i="31"/>
  <c r="L227" i="34" s="1"/>
  <c r="K111" i="31"/>
  <c r="Q213" i="34" s="1"/>
  <c r="K120" i="31"/>
  <c r="Q222" i="34" s="1"/>
  <c r="K114" i="31"/>
  <c r="Q216" i="34" s="1"/>
  <c r="K122" i="31"/>
  <c r="Q224" i="34" s="1"/>
  <c r="H48" i="18"/>
  <c r="N48"/>
  <c r="W48" i="31"/>
  <c r="R48"/>
  <c r="L61"/>
  <c r="L102" s="1"/>
  <c r="R204" i="34" s="1"/>
  <c r="U66" i="17"/>
  <c r="AA25" i="34" s="1"/>
  <c r="U67" i="17"/>
  <c r="AA26" i="34" s="1"/>
  <c r="U68" i="17"/>
  <c r="AA27" i="34" s="1"/>
  <c r="U70" i="17"/>
  <c r="AA29" i="34" s="1"/>
  <c r="U63" i="17"/>
  <c r="AA22" i="34" s="1"/>
  <c r="U62" i="17"/>
  <c r="AA21" i="34" s="1"/>
  <c r="U64" i="17"/>
  <c r="AA23" i="34" s="1"/>
  <c r="U193" i="17"/>
  <c r="U59"/>
  <c r="AA18" i="34" s="1"/>
  <c r="U61" i="17"/>
  <c r="AA20" i="34" s="1"/>
  <c r="U60" i="17"/>
  <c r="AA19" i="34" s="1"/>
  <c r="U71" i="17"/>
  <c r="AA30" i="34" s="1"/>
  <c r="U69" i="17"/>
  <c r="AA28" i="34" s="1"/>
  <c r="U72" i="17"/>
  <c r="AA31" i="34" s="1"/>
  <c r="U65" i="17"/>
  <c r="AA24" i="34" s="1"/>
  <c r="R64" i="17"/>
  <c r="X23" i="34" s="1"/>
  <c r="R65" i="17"/>
  <c r="X24" i="34" s="1"/>
  <c r="R66" i="17"/>
  <c r="X25" i="34" s="1"/>
  <c r="R61" i="17"/>
  <c r="X20" i="34" s="1"/>
  <c r="R69" i="17"/>
  <c r="X28" i="34" s="1"/>
  <c r="R70" i="17"/>
  <c r="X29" i="34" s="1"/>
  <c r="R59" i="17"/>
  <c r="X18" i="34" s="1"/>
  <c r="R60" i="17"/>
  <c r="X19" i="34" s="1"/>
  <c r="R67" i="17"/>
  <c r="X26" i="34" s="1"/>
  <c r="R72" i="17"/>
  <c r="X31" i="34" s="1"/>
  <c r="R63" i="17"/>
  <c r="X22" i="34" s="1"/>
  <c r="R68" i="17"/>
  <c r="X27" i="34" s="1"/>
  <c r="R71" i="17"/>
  <c r="X30" i="34" s="1"/>
  <c r="R193" i="17"/>
  <c r="R62"/>
  <c r="X21" i="34" s="1"/>
  <c r="G193" i="29"/>
  <c r="O24" i="31" s="1"/>
  <c r="G72" i="29"/>
  <c r="M91" i="34" s="1"/>
  <c r="G68" i="29"/>
  <c r="M87" i="34" s="1"/>
  <c r="G62" i="29"/>
  <c r="M81" i="34" s="1"/>
  <c r="G61" i="29"/>
  <c r="M80" i="34" s="1"/>
  <c r="G66" i="29"/>
  <c r="M85" i="34" s="1"/>
  <c r="G63" i="29"/>
  <c r="M82" i="34" s="1"/>
  <c r="G60" i="29"/>
  <c r="M79" i="34" s="1"/>
  <c r="G67" i="29"/>
  <c r="M86" i="34" s="1"/>
  <c r="G71" i="29"/>
  <c r="M90" i="34" s="1"/>
  <c r="G65" i="29"/>
  <c r="M84" i="34" s="1"/>
  <c r="G64" i="29"/>
  <c r="M83" i="34" s="1"/>
  <c r="G70" i="29"/>
  <c r="M89" i="34" s="1"/>
  <c r="G59" i="29"/>
  <c r="M78" i="34" s="1"/>
  <c r="G69" i="29"/>
  <c r="M88" i="34" s="1"/>
  <c r="Q193" i="29"/>
  <c r="Q63"/>
  <c r="W82" i="34" s="1"/>
  <c r="Q72" i="29"/>
  <c r="W91" i="34" s="1"/>
  <c r="Q59" i="29"/>
  <c r="W78" i="34" s="1"/>
  <c r="Q62" i="29"/>
  <c r="W81" i="34" s="1"/>
  <c r="Q65" i="29"/>
  <c r="W84" i="34" s="1"/>
  <c r="Q66" i="29"/>
  <c r="W85" i="34" s="1"/>
  <c r="Q68" i="29"/>
  <c r="W87" i="34" s="1"/>
  <c r="Q69" i="29"/>
  <c r="W88" i="34" s="1"/>
  <c r="Q60" i="29"/>
  <c r="W79" i="34" s="1"/>
  <c r="Q71" i="29"/>
  <c r="W90" i="34" s="1"/>
  <c r="Q64" i="29"/>
  <c r="W83" i="34" s="1"/>
  <c r="Q70" i="29"/>
  <c r="W89" i="34" s="1"/>
  <c r="Q61" i="29"/>
  <c r="W80" i="34" s="1"/>
  <c r="Q67" i="29"/>
  <c r="W86" i="34" s="1"/>
  <c r="O67" i="17"/>
  <c r="U26" i="34" s="1"/>
  <c r="O61" i="17"/>
  <c r="U20" i="34" s="1"/>
  <c r="O59" i="17"/>
  <c r="U18" i="34" s="1"/>
  <c r="O60" i="17"/>
  <c r="U19" i="34" s="1"/>
  <c r="O68" i="17"/>
  <c r="U27" i="34" s="1"/>
  <c r="O64" i="17"/>
  <c r="U23" i="34" s="1"/>
  <c r="O71" i="17"/>
  <c r="U30" i="34" s="1"/>
  <c r="O193" i="17"/>
  <c r="O70"/>
  <c r="U29" i="34" s="1"/>
  <c r="O66" i="17"/>
  <c r="U25" i="34" s="1"/>
  <c r="O69" i="17"/>
  <c r="U28" i="34" s="1"/>
  <c r="O65" i="17"/>
  <c r="U24" i="34" s="1"/>
  <c r="O63" i="17"/>
  <c r="U22" i="34" s="1"/>
  <c r="O62" i="17"/>
  <c r="U21" i="34" s="1"/>
  <c r="O72" i="17"/>
  <c r="U31" i="34" s="1"/>
  <c r="T63" i="17"/>
  <c r="Z22" i="34" s="1"/>
  <c r="T64" i="17"/>
  <c r="Z23" i="34" s="1"/>
  <c r="T69" i="17"/>
  <c r="Z28" i="34" s="1"/>
  <c r="T61" i="17"/>
  <c r="Z20" i="34" s="1"/>
  <c r="T65" i="17"/>
  <c r="Z24" i="34" s="1"/>
  <c r="T71" i="17"/>
  <c r="Z30" i="34" s="1"/>
  <c r="T70" i="17"/>
  <c r="Z29" i="34" s="1"/>
  <c r="T193" i="17"/>
  <c r="T60"/>
  <c r="Z19" i="34" s="1"/>
  <c r="T59" i="17"/>
  <c r="Z18" i="34" s="1"/>
  <c r="T67" i="17"/>
  <c r="Z26" i="34" s="1"/>
  <c r="T62" i="17"/>
  <c r="Z21" i="34" s="1"/>
  <c r="T68" i="17"/>
  <c r="Z27" i="34" s="1"/>
  <c r="T66" i="17"/>
  <c r="Z25" i="34" s="1"/>
  <c r="T72" i="17"/>
  <c r="Z31" i="34" s="1"/>
  <c r="W70" i="29"/>
  <c r="AC89" i="34" s="1"/>
  <c r="W60" i="29"/>
  <c r="AC79" i="34" s="1"/>
  <c r="W64" i="29"/>
  <c r="AC83" i="34" s="1"/>
  <c r="W62" i="29"/>
  <c r="AC81" i="34" s="1"/>
  <c r="W59" i="29"/>
  <c r="AC78" i="34" s="1"/>
  <c r="W65" i="29"/>
  <c r="AC84" i="34" s="1"/>
  <c r="W68" i="29"/>
  <c r="AC87" i="34" s="1"/>
  <c r="W63" i="29"/>
  <c r="AC82" i="34" s="1"/>
  <c r="W69" i="29"/>
  <c r="AC88" i="34" s="1"/>
  <c r="W72" i="29"/>
  <c r="AC91" i="34" s="1"/>
  <c r="W66" i="29"/>
  <c r="AC85" i="34" s="1"/>
  <c r="W193" i="29"/>
  <c r="W71"/>
  <c r="AC90" i="34" s="1"/>
  <c r="W61" i="29"/>
  <c r="AC80" i="34" s="1"/>
  <c r="W67" i="29"/>
  <c r="AC86" i="34" s="1"/>
  <c r="F72" i="29"/>
  <c r="L91" i="34" s="1"/>
  <c r="F63" i="29"/>
  <c r="L82" i="34" s="1"/>
  <c r="F60" i="29"/>
  <c r="L79" i="34" s="1"/>
  <c r="F64" i="29"/>
  <c r="L83" i="34" s="1"/>
  <c r="F68" i="29"/>
  <c r="L87" i="34" s="1"/>
  <c r="F67" i="29"/>
  <c r="L86" i="34" s="1"/>
  <c r="F62" i="29"/>
  <c r="L81" i="34" s="1"/>
  <c r="F193" i="29"/>
  <c r="N24" i="31" s="1"/>
  <c r="F71" i="29"/>
  <c r="L90" i="34" s="1"/>
  <c r="F69" i="29"/>
  <c r="L88" i="34" s="1"/>
  <c r="F59" i="29"/>
  <c r="L78" i="34" s="1"/>
  <c r="F66" i="29"/>
  <c r="L85" i="34" s="1"/>
  <c r="F70" i="29"/>
  <c r="L89" i="34" s="1"/>
  <c r="F61" i="29"/>
  <c r="L80" i="34" s="1"/>
  <c r="F65" i="29"/>
  <c r="L84" i="34" s="1"/>
  <c r="M193" i="29"/>
  <c r="U24" i="31" s="1"/>
  <c r="M64" i="29"/>
  <c r="S83" i="34" s="1"/>
  <c r="M60" i="29"/>
  <c r="S79" i="34" s="1"/>
  <c r="M71" i="29"/>
  <c r="S90" i="34" s="1"/>
  <c r="M65" i="29"/>
  <c r="S84" i="34" s="1"/>
  <c r="M59" i="29"/>
  <c r="S78" i="34" s="1"/>
  <c r="M67" i="29"/>
  <c r="S86" i="34" s="1"/>
  <c r="M66" i="29"/>
  <c r="S85" i="34" s="1"/>
  <c r="M61" i="29"/>
  <c r="S80" i="34" s="1"/>
  <c r="M70" i="29"/>
  <c r="S89" i="34" s="1"/>
  <c r="M63" i="29"/>
  <c r="S82" i="34" s="1"/>
  <c r="M69" i="29"/>
  <c r="S88" i="34" s="1"/>
  <c r="M62" i="29"/>
  <c r="S81" i="34" s="1"/>
  <c r="M72" i="29"/>
  <c r="S91" i="34" s="1"/>
  <c r="M68" i="29"/>
  <c r="S87" i="34" s="1"/>
  <c r="F60" i="17"/>
  <c r="L19" i="34" s="1"/>
  <c r="F70" i="17"/>
  <c r="L29" i="34" s="1"/>
  <c r="F64" i="17"/>
  <c r="L23" i="34" s="1"/>
  <c r="F65" i="17"/>
  <c r="L24" i="34" s="1"/>
  <c r="F62" i="17"/>
  <c r="L21" i="34" s="1"/>
  <c r="F193" i="17"/>
  <c r="F72"/>
  <c r="L31" i="34" s="1"/>
  <c r="F61" i="17"/>
  <c r="L20" i="34" s="1"/>
  <c r="F68" i="17"/>
  <c r="L27" i="34" s="1"/>
  <c r="F69" i="17"/>
  <c r="L28" i="34" s="1"/>
  <c r="F66" i="17"/>
  <c r="L25" i="34" s="1"/>
  <c r="F63" i="17"/>
  <c r="L22" i="34" s="1"/>
  <c r="F67" i="17"/>
  <c r="L26" i="34" s="1"/>
  <c r="F71" i="17"/>
  <c r="L30" i="34" s="1"/>
  <c r="F59" i="17"/>
  <c r="L18" i="34" s="1"/>
  <c r="H69" i="17"/>
  <c r="N28" i="34" s="1"/>
  <c r="H66" i="17"/>
  <c r="N25" i="34" s="1"/>
  <c r="H60" i="17"/>
  <c r="N19" i="34" s="1"/>
  <c r="H71" i="17"/>
  <c r="N30" i="34" s="1"/>
  <c r="H65" i="17"/>
  <c r="N24" i="34" s="1"/>
  <c r="H64" i="17"/>
  <c r="N23" i="34" s="1"/>
  <c r="H68" i="17"/>
  <c r="N27" i="34" s="1"/>
  <c r="H63" i="17"/>
  <c r="N22" i="34" s="1"/>
  <c r="H61" i="17"/>
  <c r="N20" i="34" s="1"/>
  <c r="H67" i="17"/>
  <c r="N26" i="34" s="1"/>
  <c r="H193" i="17"/>
  <c r="H59"/>
  <c r="N18" i="34" s="1"/>
  <c r="H62" i="17"/>
  <c r="N21" i="34" s="1"/>
  <c r="H72" i="17"/>
  <c r="N31" i="34" s="1"/>
  <c r="H70" i="17"/>
  <c r="N29" i="34" s="1"/>
  <c r="V70" i="17"/>
  <c r="AB29" i="34" s="1"/>
  <c r="V63" i="17"/>
  <c r="AB22" i="34" s="1"/>
  <c r="V60" i="17"/>
  <c r="AB19" i="34" s="1"/>
  <c r="V65" i="17"/>
  <c r="AB24" i="34" s="1"/>
  <c r="V72" i="17"/>
  <c r="AB31" i="34" s="1"/>
  <c r="V61" i="17"/>
  <c r="AB20" i="34" s="1"/>
  <c r="V62" i="17"/>
  <c r="AB21" i="34" s="1"/>
  <c r="V67" i="17"/>
  <c r="AB26" i="34" s="1"/>
  <c r="V64" i="17"/>
  <c r="AB23" i="34" s="1"/>
  <c r="V193" i="17"/>
  <c r="V69"/>
  <c r="AB28" i="34" s="1"/>
  <c r="V66" i="17"/>
  <c r="AB25" i="34" s="1"/>
  <c r="V71" i="17"/>
  <c r="AB30" i="34" s="1"/>
  <c r="V68" i="17"/>
  <c r="AB27" i="34" s="1"/>
  <c r="V59" i="17"/>
  <c r="AB18" i="34" s="1"/>
  <c r="J64" i="17"/>
  <c r="P23" i="34" s="1"/>
  <c r="J60" i="17"/>
  <c r="P19" i="34" s="1"/>
  <c r="J72" i="17"/>
  <c r="P31" i="34" s="1"/>
  <c r="J69" i="17"/>
  <c r="P28" i="34" s="1"/>
  <c r="J61" i="17"/>
  <c r="P20" i="34" s="1"/>
  <c r="J62" i="17"/>
  <c r="P21" i="34" s="1"/>
  <c r="J67" i="17"/>
  <c r="P26" i="34" s="1"/>
  <c r="J68" i="17"/>
  <c r="P27" i="34" s="1"/>
  <c r="J59" i="17"/>
  <c r="P18" i="34" s="1"/>
  <c r="J66" i="17"/>
  <c r="P25" i="34" s="1"/>
  <c r="J63" i="17"/>
  <c r="P22" i="34" s="1"/>
  <c r="J193" i="17"/>
  <c r="J71"/>
  <c r="P30" i="34" s="1"/>
  <c r="J70" i="17"/>
  <c r="P29" i="34" s="1"/>
  <c r="J65" i="17"/>
  <c r="P24" i="34" s="1"/>
  <c r="X193" i="17"/>
  <c r="X67"/>
  <c r="AD26" i="34" s="1"/>
  <c r="X61" i="17"/>
  <c r="AD20" i="34" s="1"/>
  <c r="X71" i="17"/>
  <c r="AD30" i="34" s="1"/>
  <c r="X66" i="17"/>
  <c r="AD25" i="34" s="1"/>
  <c r="X72" i="17"/>
  <c r="AD31" i="34" s="1"/>
  <c r="X62" i="17"/>
  <c r="AD21" i="34" s="1"/>
  <c r="X69" i="17"/>
  <c r="AD28" i="34" s="1"/>
  <c r="X65" i="17"/>
  <c r="AD24" i="34" s="1"/>
  <c r="X68" i="17"/>
  <c r="AD27" i="34" s="1"/>
  <c r="X60" i="17"/>
  <c r="AD19" i="34" s="1"/>
  <c r="X70" i="17"/>
  <c r="AD29" i="34" s="1"/>
  <c r="X59" i="17"/>
  <c r="AD18" i="34" s="1"/>
  <c r="X63" i="17"/>
  <c r="AD22" i="34" s="1"/>
  <c r="X64" i="17"/>
  <c r="AD23" i="34" s="1"/>
  <c r="U193" i="29"/>
  <c r="U63"/>
  <c r="AA82" i="34" s="1"/>
  <c r="U72" i="29"/>
  <c r="AA91" i="34" s="1"/>
  <c r="U59" i="29"/>
  <c r="AA78" i="34" s="1"/>
  <c r="U71" i="29"/>
  <c r="AA90" i="34" s="1"/>
  <c r="U69" i="29"/>
  <c r="AA88" i="34" s="1"/>
  <c r="U67" i="29"/>
  <c r="AA86" i="34" s="1"/>
  <c r="U65" i="29"/>
  <c r="AA84" i="34" s="1"/>
  <c r="U70" i="29"/>
  <c r="AA89" i="34" s="1"/>
  <c r="U60" i="29"/>
  <c r="AA79" i="34" s="1"/>
  <c r="U66" i="29"/>
  <c r="AA85" i="34" s="1"/>
  <c r="U62" i="29"/>
  <c r="AA81" i="34" s="1"/>
  <c r="U61" i="29"/>
  <c r="AA80" i="34" s="1"/>
  <c r="U64" i="29"/>
  <c r="AA83" i="34" s="1"/>
  <c r="U68" i="29"/>
  <c r="AA87" i="34" s="1"/>
  <c r="I193" i="29"/>
  <c r="Q24" i="31" s="1"/>
  <c r="I68" i="29"/>
  <c r="O87" i="34" s="1"/>
  <c r="I63" i="29"/>
  <c r="O82" i="34" s="1"/>
  <c r="I69" i="29"/>
  <c r="O88" i="34" s="1"/>
  <c r="I59" i="29"/>
  <c r="O78" i="34" s="1"/>
  <c r="I71" i="29"/>
  <c r="O90" i="34" s="1"/>
  <c r="I72" i="29"/>
  <c r="O91" i="34" s="1"/>
  <c r="I62" i="29"/>
  <c r="O81" i="34" s="1"/>
  <c r="I60" i="29"/>
  <c r="O79" i="34" s="1"/>
  <c r="I67" i="29"/>
  <c r="O86" i="34" s="1"/>
  <c r="I64" i="29"/>
  <c r="O83" i="34" s="1"/>
  <c r="I70" i="29"/>
  <c r="O89" i="34" s="1"/>
  <c r="I65" i="29"/>
  <c r="O84" i="34" s="1"/>
  <c r="I66" i="29"/>
  <c r="O85" i="34" s="1"/>
  <c r="I61" i="29"/>
  <c r="O80" i="34" s="1"/>
  <c r="K61" i="29"/>
  <c r="Q80" i="34" s="1"/>
  <c r="K60" i="29"/>
  <c r="Q79" i="34" s="1"/>
  <c r="K67" i="29"/>
  <c r="Q86" i="34" s="1"/>
  <c r="K69" i="29"/>
  <c r="Q88" i="34" s="1"/>
  <c r="K68" i="29"/>
  <c r="Q87" i="34" s="1"/>
  <c r="K64" i="29"/>
  <c r="Q83" i="34" s="1"/>
  <c r="K72" i="29"/>
  <c r="Q91" i="34" s="1"/>
  <c r="K71" i="29"/>
  <c r="Q90" i="34" s="1"/>
  <c r="K59" i="29"/>
  <c r="Q78" i="34" s="1"/>
  <c r="K66" i="29"/>
  <c r="Q85" i="34" s="1"/>
  <c r="K65" i="29"/>
  <c r="Q84" i="34" s="1"/>
  <c r="K70" i="29"/>
  <c r="Q89" i="34" s="1"/>
  <c r="K63" i="29"/>
  <c r="Q82" i="34" s="1"/>
  <c r="K62" i="29"/>
  <c r="Q81" i="34" s="1"/>
  <c r="K193" i="29"/>
  <c r="S24" i="31" s="1"/>
  <c r="X193" i="29"/>
  <c r="X61"/>
  <c r="AD80" i="34" s="1"/>
  <c r="X60" i="29"/>
  <c r="AD79" i="34" s="1"/>
  <c r="X68" i="29"/>
  <c r="AD87" i="34" s="1"/>
  <c r="X71" i="29"/>
  <c r="AD90" i="34" s="1"/>
  <c r="X65" i="29"/>
  <c r="AD84" i="34" s="1"/>
  <c r="X72" i="29"/>
  <c r="AD91" i="34" s="1"/>
  <c r="X62" i="29"/>
  <c r="AD81" i="34" s="1"/>
  <c r="X69" i="29"/>
  <c r="AD88" i="34" s="1"/>
  <c r="X59" i="29"/>
  <c r="AD78" i="34" s="1"/>
  <c r="X67" i="29"/>
  <c r="AD86" i="34" s="1"/>
  <c r="X64" i="29"/>
  <c r="AD83" i="34" s="1"/>
  <c r="X70" i="29"/>
  <c r="AD89" i="34" s="1"/>
  <c r="X63" i="29"/>
  <c r="AD82" i="34" s="1"/>
  <c r="X66" i="29"/>
  <c r="AD85" i="34" s="1"/>
  <c r="N193" i="29"/>
  <c r="V24" i="31" s="1"/>
  <c r="N61" i="29"/>
  <c r="T80" i="34" s="1"/>
  <c r="N70" i="29"/>
  <c r="T89" i="34" s="1"/>
  <c r="N62" i="29"/>
  <c r="T81" i="34" s="1"/>
  <c r="N67" i="29"/>
  <c r="T86" i="34" s="1"/>
  <c r="N59" i="29"/>
  <c r="T78" i="34" s="1"/>
  <c r="N65" i="29"/>
  <c r="T84" i="34" s="1"/>
  <c r="N63" i="29"/>
  <c r="T82" i="34" s="1"/>
  <c r="N68" i="29"/>
  <c r="T87" i="34" s="1"/>
  <c r="N60" i="29"/>
  <c r="T79" i="34" s="1"/>
  <c r="N72" i="29"/>
  <c r="T91" i="34" s="1"/>
  <c r="N69" i="29"/>
  <c r="T88" i="34" s="1"/>
  <c r="N66" i="29"/>
  <c r="T85" i="34" s="1"/>
  <c r="N64" i="29"/>
  <c r="T83" i="34" s="1"/>
  <c r="N71" i="29"/>
  <c r="T90" i="34" s="1"/>
  <c r="P48" i="18"/>
  <c r="U48"/>
  <c r="G61" i="31"/>
  <c r="G102" s="1"/>
  <c r="M204" i="34" s="1"/>
  <c r="I61" i="18"/>
  <c r="I101" s="1"/>
  <c r="O143" i="34" s="1"/>
  <c r="R48" i="18"/>
  <c r="S48"/>
  <c r="V48" i="31"/>
  <c r="N48"/>
  <c r="T61" i="18"/>
  <c r="T108" s="1"/>
  <c r="Z150" i="34" s="1"/>
  <c r="G61" i="18"/>
  <c r="G98" s="1"/>
  <c r="M140" i="34" s="1"/>
  <c r="M61" i="18"/>
  <c r="M100" s="1"/>
  <c r="S142" i="34" s="1"/>
  <c r="V61" i="18"/>
  <c r="V97" s="1"/>
  <c r="AB139" i="34" s="1"/>
  <c r="W72" i="17"/>
  <c r="AC31" i="34" s="1"/>
  <c r="W60" i="17"/>
  <c r="AC19" i="34" s="1"/>
  <c r="W67" i="17"/>
  <c r="AC26" i="34" s="1"/>
  <c r="W63" i="17"/>
  <c r="AC22" i="34" s="1"/>
  <c r="W62" i="17"/>
  <c r="AC21" i="34" s="1"/>
  <c r="W69" i="17"/>
  <c r="AC28" i="34" s="1"/>
  <c r="W70" i="17"/>
  <c r="AC29" i="34" s="1"/>
  <c r="W61" i="17"/>
  <c r="AC20" i="34" s="1"/>
  <c r="W193" i="17"/>
  <c r="W71"/>
  <c r="AC30" i="34" s="1"/>
  <c r="W65" i="17"/>
  <c r="AC24" i="34" s="1"/>
  <c r="W64" i="17"/>
  <c r="AC23" i="34" s="1"/>
  <c r="W68" i="17"/>
  <c r="AC27" i="34" s="1"/>
  <c r="W66" i="17"/>
  <c r="AC25" i="34" s="1"/>
  <c r="W59" i="17"/>
  <c r="AC18" i="34" s="1"/>
  <c r="I63" i="17"/>
  <c r="O22" i="34" s="1"/>
  <c r="I66" i="17"/>
  <c r="O25" i="34" s="1"/>
  <c r="I69" i="17"/>
  <c r="O28" i="34" s="1"/>
  <c r="I61" i="17"/>
  <c r="O20" i="34" s="1"/>
  <c r="I193" i="17"/>
  <c r="I70"/>
  <c r="O29" i="34" s="1"/>
  <c r="I59" i="17"/>
  <c r="O18" i="34" s="1"/>
  <c r="I72" i="17"/>
  <c r="O31" i="34" s="1"/>
  <c r="I65" i="17"/>
  <c r="O24" i="34" s="1"/>
  <c r="I60" i="17"/>
  <c r="O19" i="34" s="1"/>
  <c r="I71" i="17"/>
  <c r="O30" i="34" s="1"/>
  <c r="I62" i="17"/>
  <c r="O21" i="34" s="1"/>
  <c r="I68" i="17"/>
  <c r="O27" i="34" s="1"/>
  <c r="I67" i="17"/>
  <c r="O26" i="34" s="1"/>
  <c r="I64" i="17"/>
  <c r="O23" i="34" s="1"/>
  <c r="L60" i="17"/>
  <c r="R19" i="34" s="1"/>
  <c r="L69" i="17"/>
  <c r="R28" i="34" s="1"/>
  <c r="L63" i="17"/>
  <c r="R22" i="34" s="1"/>
  <c r="L64" i="17"/>
  <c r="R23" i="34" s="1"/>
  <c r="L68" i="17"/>
  <c r="R27" i="34" s="1"/>
  <c r="L70" i="17"/>
  <c r="R29" i="34" s="1"/>
  <c r="L66" i="17"/>
  <c r="R25" i="34" s="1"/>
  <c r="L71" i="17"/>
  <c r="R30" i="34" s="1"/>
  <c r="L72" i="17"/>
  <c r="R31" i="34" s="1"/>
  <c r="L61" i="17"/>
  <c r="R20" i="34" s="1"/>
  <c r="L59" i="17"/>
  <c r="R18" i="34" s="1"/>
  <c r="L67" i="17"/>
  <c r="R26" i="34" s="1"/>
  <c r="L65" i="17"/>
  <c r="R24" i="34" s="1"/>
  <c r="L193" i="17"/>
  <c r="L62"/>
  <c r="R21" i="34" s="1"/>
  <c r="H193" i="29"/>
  <c r="P24" i="31" s="1"/>
  <c r="H62" i="29"/>
  <c r="N81" i="34" s="1"/>
  <c r="H64" i="29"/>
  <c r="N83" i="34" s="1"/>
  <c r="H63" i="29"/>
  <c r="N82" i="34" s="1"/>
  <c r="H65" i="29"/>
  <c r="N84" i="34" s="1"/>
  <c r="H60" i="29"/>
  <c r="N79" i="34" s="1"/>
  <c r="H66" i="29"/>
  <c r="N85" i="34" s="1"/>
  <c r="H69" i="29"/>
  <c r="N88" i="34" s="1"/>
  <c r="H70" i="29"/>
  <c r="N89" i="34" s="1"/>
  <c r="H72" i="29"/>
  <c r="N91" i="34" s="1"/>
  <c r="H68" i="29"/>
  <c r="N87" i="34" s="1"/>
  <c r="H59" i="29"/>
  <c r="N78" i="34" s="1"/>
  <c r="H71" i="29"/>
  <c r="N90" i="34" s="1"/>
  <c r="H61" i="29"/>
  <c r="N80" i="34" s="1"/>
  <c r="H67" i="29"/>
  <c r="N86" i="34" s="1"/>
  <c r="P70" i="29"/>
  <c r="V89" i="34" s="1"/>
  <c r="P61" i="29"/>
  <c r="V80" i="34" s="1"/>
  <c r="P71" i="29"/>
  <c r="V90" i="34" s="1"/>
  <c r="P66" i="29"/>
  <c r="V85" i="34" s="1"/>
  <c r="P65" i="29"/>
  <c r="V84" i="34" s="1"/>
  <c r="P62" i="29"/>
  <c r="V81" i="34" s="1"/>
  <c r="P68" i="29"/>
  <c r="V87" i="34" s="1"/>
  <c r="P72" i="29"/>
  <c r="V91" i="34" s="1"/>
  <c r="P59" i="29"/>
  <c r="V78" i="34" s="1"/>
  <c r="P193" i="29"/>
  <c r="X24" i="31" s="1"/>
  <c r="P67" i="29"/>
  <c r="V86" i="34" s="1"/>
  <c r="P69" i="29"/>
  <c r="V88" i="34" s="1"/>
  <c r="P60" i="29"/>
  <c r="V79" i="34" s="1"/>
  <c r="P63" i="29"/>
  <c r="V82" i="34" s="1"/>
  <c r="P64" i="29"/>
  <c r="V83" i="34" s="1"/>
  <c r="E34" i="29"/>
  <c r="AA24"/>
  <c r="G67" i="17"/>
  <c r="M26" i="34" s="1"/>
  <c r="G69" i="17"/>
  <c r="M28" i="34" s="1"/>
  <c r="G70" i="17"/>
  <c r="M29" i="34" s="1"/>
  <c r="G68" i="17"/>
  <c r="M27" i="34" s="1"/>
  <c r="G63" i="17"/>
  <c r="M22" i="34" s="1"/>
  <c r="G59" i="17"/>
  <c r="M18" i="34" s="1"/>
  <c r="G62" i="17"/>
  <c r="M21" i="34" s="1"/>
  <c r="G66" i="17"/>
  <c r="M25" i="34" s="1"/>
  <c r="G64" i="17"/>
  <c r="M23" i="34" s="1"/>
  <c r="G193" i="17"/>
  <c r="G65"/>
  <c r="M24" i="34" s="1"/>
  <c r="G61" i="17"/>
  <c r="M20" i="34" s="1"/>
  <c r="G71" i="17"/>
  <c r="M30" i="34" s="1"/>
  <c r="G60" i="17"/>
  <c r="M19" i="34" s="1"/>
  <c r="G72" i="17"/>
  <c r="M31" i="34" s="1"/>
  <c r="N67" i="17"/>
  <c r="T26" i="34" s="1"/>
  <c r="N64" i="17"/>
  <c r="T23" i="34" s="1"/>
  <c r="N70" i="17"/>
  <c r="T29" i="34" s="1"/>
  <c r="N71" i="17"/>
  <c r="T30" i="34" s="1"/>
  <c r="N59" i="17"/>
  <c r="T18" i="34" s="1"/>
  <c r="N193" i="17"/>
  <c r="N63"/>
  <c r="T22" i="34" s="1"/>
  <c r="N62" i="17"/>
  <c r="T21" i="34" s="1"/>
  <c r="N69" i="17"/>
  <c r="T28" i="34" s="1"/>
  <c r="N68" i="17"/>
  <c r="T27" i="34" s="1"/>
  <c r="N61" i="17"/>
  <c r="T20" i="34" s="1"/>
  <c r="N66" i="17"/>
  <c r="T25" i="34" s="1"/>
  <c r="N60" i="17"/>
  <c r="T19" i="34" s="1"/>
  <c r="N65" i="17"/>
  <c r="T24" i="34" s="1"/>
  <c r="N72" i="17"/>
  <c r="T31" i="34" s="1"/>
  <c r="P71" i="17"/>
  <c r="V30" i="34" s="1"/>
  <c r="P69" i="17"/>
  <c r="V28" i="34" s="1"/>
  <c r="P68" i="17"/>
  <c r="V27" i="34" s="1"/>
  <c r="P70" i="17"/>
  <c r="V29" i="34" s="1"/>
  <c r="P64" i="17"/>
  <c r="V23" i="34" s="1"/>
  <c r="P62" i="17"/>
  <c r="V21" i="34" s="1"/>
  <c r="P60" i="17"/>
  <c r="V19" i="34" s="1"/>
  <c r="P193" i="17"/>
  <c r="P65"/>
  <c r="V24" i="34" s="1"/>
  <c r="P72" i="17"/>
  <c r="V31" i="34" s="1"/>
  <c r="P59" i="17"/>
  <c r="V18" i="34" s="1"/>
  <c r="P63" i="17"/>
  <c r="V22" i="34" s="1"/>
  <c r="P67" i="17"/>
  <c r="V26" i="34" s="1"/>
  <c r="P66" i="17"/>
  <c r="V25" i="34" s="1"/>
  <c r="P61" i="17"/>
  <c r="V20" i="34" s="1"/>
  <c r="L71" i="29"/>
  <c r="R90" i="34" s="1"/>
  <c r="L66" i="29"/>
  <c r="R85" i="34" s="1"/>
  <c r="L65" i="29"/>
  <c r="R84" i="34" s="1"/>
  <c r="L60" i="29"/>
  <c r="R79" i="34" s="1"/>
  <c r="L62" i="29"/>
  <c r="R81" i="34" s="1"/>
  <c r="L70" i="29"/>
  <c r="R89" i="34" s="1"/>
  <c r="L61" i="29"/>
  <c r="R80" i="34" s="1"/>
  <c r="L67" i="29"/>
  <c r="R86" i="34" s="1"/>
  <c r="L69" i="29"/>
  <c r="R88" i="34" s="1"/>
  <c r="L59" i="29"/>
  <c r="R78" i="34" s="1"/>
  <c r="L72" i="29"/>
  <c r="R91" i="34" s="1"/>
  <c r="L63" i="29"/>
  <c r="R82" i="34" s="1"/>
  <c r="L64" i="29"/>
  <c r="R83" i="34" s="1"/>
  <c r="L68" i="29"/>
  <c r="R87" i="34" s="1"/>
  <c r="L193" i="29"/>
  <c r="T24" i="31" s="1"/>
  <c r="J193" i="29"/>
  <c r="R24" i="31" s="1"/>
  <c r="J69" i="29"/>
  <c r="P88" i="34" s="1"/>
  <c r="J70" i="29"/>
  <c r="P89" i="34" s="1"/>
  <c r="J72" i="29"/>
  <c r="P91" i="34" s="1"/>
  <c r="J63" i="29"/>
  <c r="P82" i="34" s="1"/>
  <c r="J61" i="29"/>
  <c r="P80" i="34" s="1"/>
  <c r="J60" i="29"/>
  <c r="P79" i="34" s="1"/>
  <c r="J64" i="29"/>
  <c r="P83" i="34" s="1"/>
  <c r="J71" i="29"/>
  <c r="P90" i="34" s="1"/>
  <c r="J68" i="29"/>
  <c r="P87" i="34" s="1"/>
  <c r="J62" i="29"/>
  <c r="P81" i="34" s="1"/>
  <c r="J66" i="29"/>
  <c r="P85" i="34" s="1"/>
  <c r="J59" i="29"/>
  <c r="P78" i="34" s="1"/>
  <c r="J65" i="29"/>
  <c r="P84" i="34" s="1"/>
  <c r="J67" i="29"/>
  <c r="P86" i="34" s="1"/>
  <c r="E34" i="17"/>
  <c r="AA24"/>
  <c r="M68"/>
  <c r="S27" i="34" s="1"/>
  <c r="M193" i="17"/>
  <c r="M64"/>
  <c r="S23" i="34" s="1"/>
  <c r="M67" i="17"/>
  <c r="S26" i="34" s="1"/>
  <c r="M72" i="17"/>
  <c r="S31" i="34" s="1"/>
  <c r="M66" i="17"/>
  <c r="S25" i="34" s="1"/>
  <c r="M61" i="17"/>
  <c r="S20" i="34" s="1"/>
  <c r="M65" i="17"/>
  <c r="S24" i="34" s="1"/>
  <c r="M71" i="17"/>
  <c r="S30" i="34" s="1"/>
  <c r="M59" i="17"/>
  <c r="S18" i="34" s="1"/>
  <c r="M69" i="17"/>
  <c r="S28" i="34" s="1"/>
  <c r="M62" i="17"/>
  <c r="S21" i="34" s="1"/>
  <c r="M63" i="17"/>
  <c r="S22" i="34" s="1"/>
  <c r="M60" i="17"/>
  <c r="S19" i="34" s="1"/>
  <c r="M70" i="17"/>
  <c r="S29" i="34" s="1"/>
  <c r="Q61" i="17"/>
  <c r="W20" i="34" s="1"/>
  <c r="Q71" i="17"/>
  <c r="W30" i="34" s="1"/>
  <c r="Q62" i="17"/>
  <c r="W21" i="34" s="1"/>
  <c r="Q69" i="17"/>
  <c r="W28" i="34" s="1"/>
  <c r="Q60" i="17"/>
  <c r="W19" i="34" s="1"/>
  <c r="Q67" i="17"/>
  <c r="W26" i="34" s="1"/>
  <c r="Q72" i="17"/>
  <c r="W31" i="34" s="1"/>
  <c r="Q63" i="17"/>
  <c r="W22" i="34" s="1"/>
  <c r="Q66" i="17"/>
  <c r="W25" i="34" s="1"/>
  <c r="Q64" i="17"/>
  <c r="W23" i="34" s="1"/>
  <c r="Q70" i="17"/>
  <c r="W29" i="34" s="1"/>
  <c r="Q193" i="17"/>
  <c r="Q59"/>
  <c r="W18" i="34" s="1"/>
  <c r="Q68" i="17"/>
  <c r="W27" i="34" s="1"/>
  <c r="Q65" i="17"/>
  <c r="W24" i="34" s="1"/>
  <c r="K59" i="17"/>
  <c r="Q18" i="34" s="1"/>
  <c r="K69" i="17"/>
  <c r="Q28" i="34" s="1"/>
  <c r="K67" i="17"/>
  <c r="Q26" i="34" s="1"/>
  <c r="K60" i="17"/>
  <c r="Q19" i="34" s="1"/>
  <c r="K61" i="17"/>
  <c r="Q20" i="34" s="1"/>
  <c r="K66" i="17"/>
  <c r="Q25" i="34" s="1"/>
  <c r="K65" i="17"/>
  <c r="Q24" i="34" s="1"/>
  <c r="K62" i="17"/>
  <c r="Q21" i="34" s="1"/>
  <c r="K71" i="17"/>
  <c r="Q30" i="34" s="1"/>
  <c r="K64" i="17"/>
  <c r="Q23" i="34" s="1"/>
  <c r="K72" i="17"/>
  <c r="Q31" i="34" s="1"/>
  <c r="K70" i="17"/>
  <c r="Q29" i="34" s="1"/>
  <c r="K68" i="17"/>
  <c r="Q27" i="34" s="1"/>
  <c r="K193" i="17"/>
  <c r="K63"/>
  <c r="Q22" i="34" s="1"/>
  <c r="S63" i="17"/>
  <c r="Y22" i="34" s="1"/>
  <c r="S59" i="17"/>
  <c r="Y18" i="34" s="1"/>
  <c r="S65" i="17"/>
  <c r="Y24" i="34" s="1"/>
  <c r="S66" i="17"/>
  <c r="Y25" i="34" s="1"/>
  <c r="S71" i="17"/>
  <c r="Y30" i="34" s="1"/>
  <c r="S62" i="17"/>
  <c r="Y21" i="34" s="1"/>
  <c r="S68" i="17"/>
  <c r="Y27" i="34" s="1"/>
  <c r="S64" i="17"/>
  <c r="Y23" i="34" s="1"/>
  <c r="S70" i="17"/>
  <c r="Y29" i="34" s="1"/>
  <c r="S69" i="17"/>
  <c r="Y28" i="34" s="1"/>
  <c r="S72" i="17"/>
  <c r="Y31" i="34" s="1"/>
  <c r="S193" i="17"/>
  <c r="S67"/>
  <c r="Y26" i="34" s="1"/>
  <c r="S61" i="17"/>
  <c r="Y20" i="34" s="1"/>
  <c r="S60" i="17"/>
  <c r="Y19" i="34" s="1"/>
  <c r="S193" i="29"/>
  <c r="S71"/>
  <c r="Y90" i="34" s="1"/>
  <c r="S70" i="29"/>
  <c r="Y89" i="34" s="1"/>
  <c r="S63" i="29"/>
  <c r="Y82" i="34" s="1"/>
  <c r="S64" i="29"/>
  <c r="Y83" i="34" s="1"/>
  <c r="S72" i="29"/>
  <c r="Y91" i="34" s="1"/>
  <c r="S69" i="29"/>
  <c r="Y88" i="34" s="1"/>
  <c r="S65" i="29"/>
  <c r="Y84" i="34" s="1"/>
  <c r="S61" i="29"/>
  <c r="Y80" i="34" s="1"/>
  <c r="S59" i="29"/>
  <c r="Y78" i="34" s="1"/>
  <c r="S60" i="29"/>
  <c r="Y79" i="34" s="1"/>
  <c r="S66" i="29"/>
  <c r="Y85" i="34" s="1"/>
  <c r="S67" i="29"/>
  <c r="Y86" i="34" s="1"/>
  <c r="S62" i="29"/>
  <c r="Y81" i="34" s="1"/>
  <c r="S68" i="29"/>
  <c r="Y87" i="34" s="1"/>
  <c r="R193" i="29"/>
  <c r="R66"/>
  <c r="X85" i="34" s="1"/>
  <c r="R69" i="29"/>
  <c r="X88" i="34" s="1"/>
  <c r="R72" i="29"/>
  <c r="X91" i="34" s="1"/>
  <c r="R63" i="29"/>
  <c r="X82" i="34" s="1"/>
  <c r="R71" i="29"/>
  <c r="X90" i="34" s="1"/>
  <c r="R70" i="29"/>
  <c r="X89" i="34" s="1"/>
  <c r="R61" i="29"/>
  <c r="X80" i="34" s="1"/>
  <c r="R60" i="29"/>
  <c r="X79" i="34" s="1"/>
  <c r="R67" i="29"/>
  <c r="X86" i="34" s="1"/>
  <c r="R68" i="29"/>
  <c r="X87" i="34" s="1"/>
  <c r="R62" i="29"/>
  <c r="X81" i="34" s="1"/>
  <c r="R59" i="29"/>
  <c r="X78" i="34" s="1"/>
  <c r="R65" i="29"/>
  <c r="X84" i="34" s="1"/>
  <c r="R64" i="29"/>
  <c r="X83" i="34" s="1"/>
  <c r="T61" i="29"/>
  <c r="Z80" i="34" s="1"/>
  <c r="T65" i="29"/>
  <c r="Z84" i="34" s="1"/>
  <c r="T71" i="29"/>
  <c r="Z90" i="34" s="1"/>
  <c r="T72" i="29"/>
  <c r="Z91" i="34" s="1"/>
  <c r="T68" i="29"/>
  <c r="Z87" i="34" s="1"/>
  <c r="T67" i="29"/>
  <c r="Z86" i="34" s="1"/>
  <c r="T60" i="29"/>
  <c r="Z79" i="34" s="1"/>
  <c r="T59" i="29"/>
  <c r="Z78" i="34" s="1"/>
  <c r="T66" i="29"/>
  <c r="Z85" i="34" s="1"/>
  <c r="T70" i="29"/>
  <c r="Z89" i="34" s="1"/>
  <c r="T64" i="29"/>
  <c r="Z83" i="34" s="1"/>
  <c r="T69" i="29"/>
  <c r="Z88" i="34" s="1"/>
  <c r="T62" i="29"/>
  <c r="Z81" i="34" s="1"/>
  <c r="T63" i="29"/>
  <c r="Z82" i="34" s="1"/>
  <c r="T193" i="29"/>
  <c r="O65"/>
  <c r="U84" i="34" s="1"/>
  <c r="O71" i="29"/>
  <c r="U90" i="34" s="1"/>
  <c r="O61" i="29"/>
  <c r="U80" i="34" s="1"/>
  <c r="O193" i="29"/>
  <c r="W24" i="31" s="1"/>
  <c r="O60" i="29"/>
  <c r="U79" i="34" s="1"/>
  <c r="O66" i="29"/>
  <c r="U85" i="34" s="1"/>
  <c r="O62" i="29"/>
  <c r="U81" i="34" s="1"/>
  <c r="O63" i="29"/>
  <c r="U82" i="34" s="1"/>
  <c r="O68" i="29"/>
  <c r="U87" i="34" s="1"/>
  <c r="O72" i="29"/>
  <c r="U91" i="34" s="1"/>
  <c r="O59" i="29"/>
  <c r="U78" i="34" s="1"/>
  <c r="O64" i="29"/>
  <c r="U83" i="34" s="1"/>
  <c r="O67" i="29"/>
  <c r="U86" i="34" s="1"/>
  <c r="O69" i="29"/>
  <c r="U88" i="34" s="1"/>
  <c r="O70" i="29"/>
  <c r="U89" i="34" s="1"/>
  <c r="V193" i="29"/>
  <c r="V61"/>
  <c r="AB80" i="34" s="1"/>
  <c r="V68" i="29"/>
  <c r="AB87" i="34" s="1"/>
  <c r="V72" i="29"/>
  <c r="AB91" i="34" s="1"/>
  <c r="V62" i="29"/>
  <c r="AB81" i="34" s="1"/>
  <c r="V67" i="29"/>
  <c r="AB86" i="34" s="1"/>
  <c r="V66" i="29"/>
  <c r="AB85" i="34" s="1"/>
  <c r="V64" i="29"/>
  <c r="AB83" i="34" s="1"/>
  <c r="V65" i="29"/>
  <c r="AB84" i="34" s="1"/>
  <c r="V71" i="29"/>
  <c r="AB90" i="34" s="1"/>
  <c r="V59" i="29"/>
  <c r="AB78" i="34" s="1"/>
  <c r="V70" i="29"/>
  <c r="AB89" i="34" s="1"/>
  <c r="V63" i="29"/>
  <c r="AB82" i="34" s="1"/>
  <c r="V69" i="29"/>
  <c r="AB88" i="34" s="1"/>
  <c r="V60" i="29"/>
  <c r="AB79" i="34" s="1"/>
  <c r="E61" i="31"/>
  <c r="E99" s="1"/>
  <c r="W48" i="18"/>
  <c r="F48" i="31"/>
  <c r="T48"/>
  <c r="Q61" i="18"/>
  <c r="Q106" s="1"/>
  <c r="W148" i="34" s="1"/>
  <c r="J61" i="18"/>
  <c r="J98" s="1"/>
  <c r="P140" i="34" s="1"/>
  <c r="T97" i="18"/>
  <c r="Z139" i="34" s="1"/>
  <c r="G109" i="18"/>
  <c r="M151" i="34" s="1"/>
  <c r="G110" i="18"/>
  <c r="M152" i="34" s="1"/>
  <c r="X100" i="18"/>
  <c r="AD142" i="34" s="1"/>
  <c r="X108" i="18"/>
  <c r="AD150" i="34" s="1"/>
  <c r="X110" i="18"/>
  <c r="AD152" i="34" s="1"/>
  <c r="X105" i="18"/>
  <c r="AD147" i="34" s="1"/>
  <c r="H97" i="31"/>
  <c r="N199" i="34" s="1"/>
  <c r="H106" i="31"/>
  <c r="N208" i="34" s="1"/>
  <c r="H96" i="31"/>
  <c r="N198" i="34" s="1"/>
  <c r="H110" i="31"/>
  <c r="N212" i="34" s="1"/>
  <c r="H109" i="31"/>
  <c r="N211" i="34" s="1"/>
  <c r="H107" i="31"/>
  <c r="N209" i="34" s="1"/>
  <c r="H102" i="31"/>
  <c r="N204" i="34" s="1"/>
  <c r="H104" i="31"/>
  <c r="N206" i="34" s="1"/>
  <c r="H100" i="31"/>
  <c r="N202" i="34" s="1"/>
  <c r="H99" i="31"/>
  <c r="N201" i="34" s="1"/>
  <c r="H98" i="31"/>
  <c r="N200" i="34" s="1"/>
  <c r="H108" i="31"/>
  <c r="N210" i="34" s="1"/>
  <c r="H103" i="31"/>
  <c r="N205" i="34" s="1"/>
  <c r="H101" i="31"/>
  <c r="N203" i="34" s="1"/>
  <c r="H105" i="31"/>
  <c r="N207" i="34" s="1"/>
  <c r="K101" i="31"/>
  <c r="Q203" i="34" s="1"/>
  <c r="K103" i="31"/>
  <c r="Q205" i="34" s="1"/>
  <c r="K108" i="31"/>
  <c r="Q210" i="34" s="1"/>
  <c r="K109" i="31"/>
  <c r="Q211" i="34" s="1"/>
  <c r="K99" i="31"/>
  <c r="Q201" i="34" s="1"/>
  <c r="K110" i="31"/>
  <c r="Q212" i="34" s="1"/>
  <c r="K106" i="31"/>
  <c r="Q208" i="34" s="1"/>
  <c r="K102" i="31"/>
  <c r="Q204" i="34" s="1"/>
  <c r="F109" i="18"/>
  <c r="L151" i="34" s="1"/>
  <c r="F105" i="18"/>
  <c r="L147" i="34" s="1"/>
  <c r="F98" i="31"/>
  <c r="L200" i="34" s="1"/>
  <c r="F108" i="31"/>
  <c r="L210" i="34" s="1"/>
  <c r="N96" i="18"/>
  <c r="T138" i="34" s="1"/>
  <c r="N104" i="18"/>
  <c r="T146" i="34" s="1"/>
  <c r="N103" i="18"/>
  <c r="T145" i="34" s="1"/>
  <c r="N108" i="18"/>
  <c r="T150" i="34" s="1"/>
  <c r="W101" i="18"/>
  <c r="AC143" i="34" s="1"/>
  <c r="W107" i="18"/>
  <c r="AC149" i="34" s="1"/>
  <c r="U99" i="18"/>
  <c r="AA141" i="34" s="1"/>
  <c r="U104" i="18"/>
  <c r="AA146" i="34" s="1"/>
  <c r="U107" i="18"/>
  <c r="AA149" i="34" s="1"/>
  <c r="U105" i="18"/>
  <c r="AA147" i="34" s="1"/>
  <c r="H100" i="18"/>
  <c r="N142" i="34" s="1"/>
  <c r="H105" i="18"/>
  <c r="N147" i="34" s="1"/>
  <c r="G48" i="18"/>
  <c r="M48"/>
  <c r="Q48" i="31"/>
  <c r="T48" i="18"/>
  <c r="F48"/>
  <c r="S48" i="31"/>
  <c r="K48"/>
  <c r="I96"/>
  <c r="O198" i="34" s="1"/>
  <c r="I98" i="31"/>
  <c r="O200" i="34" s="1"/>
  <c r="I105" i="31"/>
  <c r="O207" i="34" s="1"/>
  <c r="I104" i="31"/>
  <c r="O206" i="34" s="1"/>
  <c r="I106" i="31"/>
  <c r="O208" i="34" s="1"/>
  <c r="I102" i="31"/>
  <c r="O204" i="34" s="1"/>
  <c r="I103" i="31"/>
  <c r="O205" i="34" s="1"/>
  <c r="I100" i="31"/>
  <c r="O202" i="34" s="1"/>
  <c r="I109" i="31"/>
  <c r="O211" i="34" s="1"/>
  <c r="I97" i="31"/>
  <c r="O199" i="34" s="1"/>
  <c r="I108" i="31"/>
  <c r="O210" i="34" s="1"/>
  <c r="I99" i="31"/>
  <c r="O201" i="34" s="1"/>
  <c r="I110" i="31"/>
  <c r="O212" i="34" s="1"/>
  <c r="I101" i="31"/>
  <c r="O203" i="34" s="1"/>
  <c r="I107" i="31"/>
  <c r="O209" i="34" s="1"/>
  <c r="K96" i="18"/>
  <c r="Q138" i="34" s="1"/>
  <c r="K102" i="18"/>
  <c r="Q144" i="34" s="1"/>
  <c r="K107" i="18"/>
  <c r="Q149" i="34" s="1"/>
  <c r="K99" i="18"/>
  <c r="Q141" i="34" s="1"/>
  <c r="O105" i="18"/>
  <c r="U147" i="34" s="1"/>
  <c r="O109" i="18"/>
  <c r="U151" i="34" s="1"/>
  <c r="J107" i="31"/>
  <c r="P209" i="34" s="1"/>
  <c r="Y108" i="18"/>
  <c r="AE150" i="34" s="1"/>
  <c r="Y107" i="18"/>
  <c r="AE149" i="34" s="1"/>
  <c r="Y103" i="18"/>
  <c r="AE145" i="34" s="1"/>
  <c r="Y97" i="18"/>
  <c r="AE139" i="34" s="1"/>
  <c r="Y102" i="18"/>
  <c r="AE144" i="34" s="1"/>
  <c r="Y101" i="18"/>
  <c r="AE143" i="34" s="1"/>
  <c r="Y105" i="18"/>
  <c r="AE147" i="34" s="1"/>
  <c r="Y109" i="18"/>
  <c r="AE151" i="34" s="1"/>
  <c r="Y106" i="18"/>
  <c r="AE148" i="34" s="1"/>
  <c r="Y104" i="18"/>
  <c r="AE146" i="34" s="1"/>
  <c r="Y96" i="18"/>
  <c r="AE138" i="34" s="1"/>
  <c r="Y100" i="18"/>
  <c r="AE142" i="34" s="1"/>
  <c r="Y110" i="18"/>
  <c r="AE152" i="34" s="1"/>
  <c r="Y99" i="18"/>
  <c r="AE141" i="34" s="1"/>
  <c r="Y98" i="18"/>
  <c r="AE140" i="34" s="1"/>
  <c r="S101" i="18"/>
  <c r="Y143" i="34" s="1"/>
  <c r="S106" i="18"/>
  <c r="Y148" i="34" s="1"/>
  <c r="R103" i="18"/>
  <c r="X145" i="34" s="1"/>
  <c r="R109" i="18"/>
  <c r="X151" i="34" s="1"/>
  <c r="R100" i="18"/>
  <c r="X142" i="34" s="1"/>
  <c r="R107" i="18"/>
  <c r="X149" i="34" s="1"/>
  <c r="E48" i="18"/>
  <c r="O48"/>
  <c r="O48" i="31"/>
  <c r="L48"/>
  <c r="W33" i="29"/>
  <c r="W28"/>
  <c r="U33"/>
  <c r="U28"/>
  <c r="V28"/>
  <c r="V33"/>
  <c r="I56" i="18"/>
  <c r="I60"/>
  <c r="K60"/>
  <c r="K56"/>
  <c r="M56"/>
  <c r="M60"/>
  <c r="R60"/>
  <c r="R56"/>
  <c r="Q33" i="17"/>
  <c r="Q28"/>
  <c r="J33"/>
  <c r="J28"/>
  <c r="S33"/>
  <c r="S28"/>
  <c r="X33"/>
  <c r="X28"/>
  <c r="F56" i="31"/>
  <c r="F60"/>
  <c r="L28" i="29"/>
  <c r="L33"/>
  <c r="F28"/>
  <c r="F33"/>
  <c r="K33"/>
  <c r="K28"/>
  <c r="E33"/>
  <c r="E28"/>
  <c r="AA23"/>
  <c r="H56" i="18"/>
  <c r="H60"/>
  <c r="E56"/>
  <c r="E60"/>
  <c r="O60"/>
  <c r="O56"/>
  <c r="P56"/>
  <c r="P60"/>
  <c r="V33" i="17"/>
  <c r="V28"/>
  <c r="O33"/>
  <c r="O28"/>
  <c r="I33"/>
  <c r="I28"/>
  <c r="P33"/>
  <c r="P28"/>
  <c r="G33"/>
  <c r="G28"/>
  <c r="J56" i="31"/>
  <c r="J60"/>
  <c r="G56"/>
  <c r="G60"/>
  <c r="M33" i="29"/>
  <c r="M28"/>
  <c r="G28"/>
  <c r="G33"/>
  <c r="Q28"/>
  <c r="Q33"/>
  <c r="O33"/>
  <c r="O28"/>
  <c r="H33"/>
  <c r="H28"/>
  <c r="T60" i="18"/>
  <c r="T56"/>
  <c r="Y82"/>
  <c r="AE124" i="34" s="1"/>
  <c r="Y84" i="18"/>
  <c r="AE126" i="34" s="1"/>
  <c r="Y88" i="18"/>
  <c r="AE130" i="34" s="1"/>
  <c r="Y87" i="18"/>
  <c r="AE129" i="34" s="1"/>
  <c r="Y85" i="18"/>
  <c r="AE127" i="34" s="1"/>
  <c r="Y91" i="18"/>
  <c r="AE133" i="34" s="1"/>
  <c r="Y93" i="18"/>
  <c r="AE135" i="34" s="1"/>
  <c r="Y86" i="18"/>
  <c r="AE128" i="34" s="1"/>
  <c r="Y81" i="18"/>
  <c r="Y83"/>
  <c r="AE125" i="34" s="1"/>
  <c r="Y95" i="18"/>
  <c r="AE137" i="34" s="1"/>
  <c r="Y92" i="18"/>
  <c r="AE134" i="34" s="1"/>
  <c r="Y94" i="18"/>
  <c r="AE136" i="34" s="1"/>
  <c r="Y89" i="18"/>
  <c r="AE131" i="34" s="1"/>
  <c r="Y90" i="18"/>
  <c r="AE132" i="34" s="1"/>
  <c r="V60" i="18"/>
  <c r="V56"/>
  <c r="L60"/>
  <c r="L56"/>
  <c r="Q60"/>
  <c r="Q56"/>
  <c r="E33" i="17"/>
  <c r="AA23"/>
  <c r="E28"/>
  <c r="W33"/>
  <c r="W28"/>
  <c r="T33"/>
  <c r="T28"/>
  <c r="N33"/>
  <c r="N28"/>
  <c r="F33"/>
  <c r="F28"/>
  <c r="H56" i="31"/>
  <c r="H60"/>
  <c r="E60"/>
  <c r="E56"/>
  <c r="P28" i="29"/>
  <c r="P33"/>
  <c r="N33"/>
  <c r="N28"/>
  <c r="R33"/>
  <c r="R28"/>
  <c r="J28"/>
  <c r="J33"/>
  <c r="T28"/>
  <c r="T33"/>
  <c r="G60" i="18"/>
  <c r="G56"/>
  <c r="J60"/>
  <c r="J56"/>
  <c r="S56"/>
  <c r="S60"/>
  <c r="F60"/>
  <c r="F56"/>
  <c r="U56"/>
  <c r="U60"/>
  <c r="H33" i="17"/>
  <c r="H28"/>
  <c r="L33"/>
  <c r="L28"/>
  <c r="R33"/>
  <c r="R28"/>
  <c r="M33"/>
  <c r="M28"/>
  <c r="U33"/>
  <c r="U28"/>
  <c r="K56" i="31"/>
  <c r="K60"/>
  <c r="I56"/>
  <c r="I60"/>
  <c r="X28" i="29"/>
  <c r="X33"/>
  <c r="S28"/>
  <c r="S33"/>
  <c r="W60" i="18"/>
  <c r="W56"/>
  <c r="X60"/>
  <c r="X56"/>
  <c r="K33" i="17"/>
  <c r="K28"/>
  <c r="L56" i="31"/>
  <c r="L60"/>
  <c r="I28" i="29"/>
  <c r="I33"/>
  <c r="N60" i="18"/>
  <c r="N56"/>
  <c r="O110" l="1"/>
  <c r="U152" i="34" s="1"/>
  <c r="O108" i="18"/>
  <c r="U150" i="34" s="1"/>
  <c r="H101" i="18"/>
  <c r="N143" i="34" s="1"/>
  <c r="U109" i="18"/>
  <c r="AA151" i="34" s="1"/>
  <c r="U98" i="18"/>
  <c r="AA140" i="34" s="1"/>
  <c r="U106" i="18"/>
  <c r="AA148" i="34" s="1"/>
  <c r="W102" i="18"/>
  <c r="AC144" i="34" s="1"/>
  <c r="W103" i="18"/>
  <c r="AC145" i="34" s="1"/>
  <c r="W121" i="18"/>
  <c r="AC163" i="34" s="1"/>
  <c r="R124" i="18"/>
  <c r="X166" i="34" s="1"/>
  <c r="R123" i="18"/>
  <c r="X165" i="34" s="1"/>
  <c r="F124" i="18"/>
  <c r="L166" i="34" s="1"/>
  <c r="M132" i="18"/>
  <c r="S174" i="34" s="1"/>
  <c r="M131" i="18"/>
  <c r="S173" i="34" s="1"/>
  <c r="K126" i="31"/>
  <c r="Q228" i="34" s="1"/>
  <c r="K135" i="31"/>
  <c r="Q237" i="34" s="1"/>
  <c r="K130" i="31"/>
  <c r="Q232" i="34" s="1"/>
  <c r="W54" i="31"/>
  <c r="W63" s="1"/>
  <c r="W36"/>
  <c r="R36"/>
  <c r="R54"/>
  <c r="R63" s="1"/>
  <c r="T54"/>
  <c r="T63" s="1"/>
  <c r="T36"/>
  <c r="N36"/>
  <c r="N54"/>
  <c r="N63" s="1"/>
  <c r="Q36"/>
  <c r="Q54"/>
  <c r="Q63" s="1"/>
  <c r="S54"/>
  <c r="S63" s="1"/>
  <c r="S36"/>
  <c r="L98" i="18"/>
  <c r="R140" i="34" s="1"/>
  <c r="S97" i="18"/>
  <c r="Y139" i="34" s="1"/>
  <c r="S107" i="18"/>
  <c r="Y149" i="34" s="1"/>
  <c r="O98" i="18"/>
  <c r="U140" i="34" s="1"/>
  <c r="O106" i="18"/>
  <c r="U148" i="34" s="1"/>
  <c r="E99" i="18"/>
  <c r="H109"/>
  <c r="N151" i="34" s="1"/>
  <c r="U103" i="18"/>
  <c r="AA145" i="34" s="1"/>
  <c r="U110" i="18"/>
  <c r="AA152" i="34" s="1"/>
  <c r="U97" i="18"/>
  <c r="AA139" i="34" s="1"/>
  <c r="U108" i="18"/>
  <c r="AA150" i="34" s="1"/>
  <c r="W98" i="18"/>
  <c r="AC140" i="34" s="1"/>
  <c r="W109" i="18"/>
  <c r="AC151" i="34" s="1"/>
  <c r="F108" i="18"/>
  <c r="L150" i="34" s="1"/>
  <c r="F98" i="18"/>
  <c r="L140" i="34" s="1"/>
  <c r="K98" i="31"/>
  <c r="Q200" i="34" s="1"/>
  <c r="K104" i="31"/>
  <c r="Q206" i="34" s="1"/>
  <c r="K97" i="31"/>
  <c r="Q199" i="34" s="1"/>
  <c r="H124" i="18"/>
  <c r="N166" i="34" s="1"/>
  <c r="P112" i="18"/>
  <c r="V154" i="34" s="1"/>
  <c r="P113" i="18"/>
  <c r="V155" i="34" s="1"/>
  <c r="W111" i="18"/>
  <c r="AC153" i="34" s="1"/>
  <c r="W116" i="18"/>
  <c r="AC158" i="34" s="1"/>
  <c r="S116" i="18"/>
  <c r="Y158" i="34" s="1"/>
  <c r="R118" i="18"/>
  <c r="X160" i="34" s="1"/>
  <c r="F115" i="18"/>
  <c r="L157" i="34" s="1"/>
  <c r="F112" i="18"/>
  <c r="L154" i="34" s="1"/>
  <c r="X128" i="18"/>
  <c r="AD170" i="34" s="1"/>
  <c r="X135" i="18"/>
  <c r="AD177" i="34" s="1"/>
  <c r="X133" i="18"/>
  <c r="AD175" i="34" s="1"/>
  <c r="X138" i="18"/>
  <c r="AD180" i="34" s="1"/>
  <c r="M129" i="18"/>
  <c r="S171" i="34" s="1"/>
  <c r="M137" i="18"/>
  <c r="S179" i="34" s="1"/>
  <c r="M127" i="18"/>
  <c r="S169" i="34" s="1"/>
  <c r="M138" i="18"/>
  <c r="S180" i="34" s="1"/>
  <c r="J132" i="31"/>
  <c r="P234" i="34" s="1"/>
  <c r="J126" i="31"/>
  <c r="P228" i="34" s="1"/>
  <c r="J127" i="31"/>
  <c r="P229" i="34" s="1"/>
  <c r="J128" i="31"/>
  <c r="P230" i="34" s="1"/>
  <c r="K127" i="31"/>
  <c r="Q229" i="34" s="1"/>
  <c r="K133" i="31"/>
  <c r="Q235" i="34" s="1"/>
  <c r="K139" i="31"/>
  <c r="Q241" i="34" s="1"/>
  <c r="K129" i="31"/>
  <c r="Q231" i="34" s="1"/>
  <c r="J136" i="18"/>
  <c r="P178" i="34" s="1"/>
  <c r="J139" i="18"/>
  <c r="P181" i="34" s="1"/>
  <c r="J127" i="18"/>
  <c r="P169" i="34" s="1"/>
  <c r="J137" i="18"/>
  <c r="P179" i="34" s="1"/>
  <c r="E90" i="17"/>
  <c r="E97"/>
  <c r="E91"/>
  <c r="E101"/>
  <c r="E195"/>
  <c r="E95"/>
  <c r="E98"/>
  <c r="E96"/>
  <c r="E89"/>
  <c r="E92"/>
  <c r="E102"/>
  <c r="E93"/>
  <c r="E103"/>
  <c r="AA36"/>
  <c r="E99"/>
  <c r="E94"/>
  <c r="E100"/>
  <c r="O54" i="31"/>
  <c r="O63" s="1"/>
  <c r="O36"/>
  <c r="V54"/>
  <c r="V63" s="1"/>
  <c r="V36"/>
  <c r="P36"/>
  <c r="P54"/>
  <c r="P63" s="1"/>
  <c r="E96" i="29"/>
  <c r="E95"/>
  <c r="E98"/>
  <c r="E103"/>
  <c r="E99"/>
  <c r="E93"/>
  <c r="E92"/>
  <c r="E102"/>
  <c r="E90"/>
  <c r="E100"/>
  <c r="E89"/>
  <c r="E195"/>
  <c r="AA195" s="1"/>
  <c r="E97"/>
  <c r="E94"/>
  <c r="E101"/>
  <c r="E91"/>
  <c r="AA36"/>
  <c r="X54" i="31"/>
  <c r="X63" s="1"/>
  <c r="X36"/>
  <c r="Z36" s="1"/>
  <c r="U54"/>
  <c r="U63" s="1"/>
  <c r="U36"/>
  <c r="I96" i="18"/>
  <c r="O138" i="34" s="1"/>
  <c r="S109" i="18"/>
  <c r="Y151" i="34" s="1"/>
  <c r="H102" i="18"/>
  <c r="N144" i="34" s="1"/>
  <c r="U101" i="18"/>
  <c r="AA143" i="34" s="1"/>
  <c r="F103" i="18"/>
  <c r="L145" i="34" s="1"/>
  <c r="F102" i="18"/>
  <c r="L144" i="34" s="1"/>
  <c r="P116" i="18"/>
  <c r="V158" i="34" s="1"/>
  <c r="P125" i="18"/>
  <c r="V167" i="34" s="1"/>
  <c r="F114" i="18"/>
  <c r="L156" i="34" s="1"/>
  <c r="M135" i="18"/>
  <c r="S177" i="34" s="1"/>
  <c r="M130" i="18"/>
  <c r="S172" i="34" s="1"/>
  <c r="S110" i="18"/>
  <c r="Y152" i="34" s="1"/>
  <c r="S108" i="18"/>
  <c r="Y150" i="34" s="1"/>
  <c r="O97" i="18"/>
  <c r="U139" i="34" s="1"/>
  <c r="O103" i="18"/>
  <c r="U145" i="34" s="1"/>
  <c r="H98" i="18"/>
  <c r="N140" i="34" s="1"/>
  <c r="H103" i="18"/>
  <c r="N145" i="34" s="1"/>
  <c r="U100" i="18"/>
  <c r="AA142" i="34" s="1"/>
  <c r="U102" i="18"/>
  <c r="AA144" i="34" s="1"/>
  <c r="W110" i="18"/>
  <c r="AC152" i="34" s="1"/>
  <c r="W106" i="18"/>
  <c r="AC148" i="34" s="1"/>
  <c r="F97" i="18"/>
  <c r="L139" i="34" s="1"/>
  <c r="F100" i="18"/>
  <c r="L142" i="34" s="1"/>
  <c r="K96" i="31"/>
  <c r="Q198" i="34" s="1"/>
  <c r="K105" i="31"/>
  <c r="Q207" i="34" s="1"/>
  <c r="K107" i="31"/>
  <c r="Q209" i="34" s="1"/>
  <c r="P115" i="18"/>
  <c r="V157" i="34" s="1"/>
  <c r="P117" i="18"/>
  <c r="V159" i="34" s="1"/>
  <c r="W118" i="18"/>
  <c r="AC160" i="34" s="1"/>
  <c r="W120" i="18"/>
  <c r="AC162" i="34" s="1"/>
  <c r="R114" i="18"/>
  <c r="X156" i="34" s="1"/>
  <c r="R115" i="18"/>
  <c r="X157" i="34" s="1"/>
  <c r="F121" i="18"/>
  <c r="L163" i="34" s="1"/>
  <c r="X129" i="18"/>
  <c r="AD171" i="34" s="1"/>
  <c r="X137" i="18"/>
  <c r="AD179" i="34" s="1"/>
  <c r="M128" i="18"/>
  <c r="S170" i="34" s="1"/>
  <c r="M134" i="18"/>
  <c r="S176" i="34" s="1"/>
  <c r="M133" i="18"/>
  <c r="S175" i="34" s="1"/>
  <c r="J72" i="31"/>
  <c r="K72" s="1"/>
  <c r="L72" s="1"/>
  <c r="J140"/>
  <c r="P242" i="34" s="1"/>
  <c r="J137" i="31"/>
  <c r="P239" i="34" s="1"/>
  <c r="K131" i="31"/>
  <c r="Q233" i="34" s="1"/>
  <c r="K140" i="31"/>
  <c r="Q242" i="34" s="1"/>
  <c r="K138" i="31"/>
  <c r="Q240" i="34" s="1"/>
  <c r="J131" i="18"/>
  <c r="P173" i="34" s="1"/>
  <c r="J133" i="18"/>
  <c r="P175" i="34" s="1"/>
  <c r="J135" i="18"/>
  <c r="P177" i="34" s="1"/>
  <c r="K178"/>
  <c r="K170"/>
  <c r="AA128" i="18"/>
  <c r="AA126"/>
  <c r="K168" i="34"/>
  <c r="K233"/>
  <c r="K236"/>
  <c r="AA140" i="18"/>
  <c r="K182" i="34"/>
  <c r="K171"/>
  <c r="K238"/>
  <c r="K242"/>
  <c r="K232"/>
  <c r="K175"/>
  <c r="K169"/>
  <c r="K180"/>
  <c r="K177"/>
  <c r="K229"/>
  <c r="K235"/>
  <c r="K230"/>
  <c r="K239"/>
  <c r="R110" i="18"/>
  <c r="X152" i="34" s="1"/>
  <c r="R105" i="18"/>
  <c r="X147" i="34" s="1"/>
  <c r="R108" i="18"/>
  <c r="X150" i="34" s="1"/>
  <c r="E100" i="31"/>
  <c r="K98" i="18"/>
  <c r="Q140" i="34" s="1"/>
  <c r="K108" i="18"/>
  <c r="Q150" i="34" s="1"/>
  <c r="K106" i="18"/>
  <c r="Q148" i="34" s="1"/>
  <c r="M109" i="18"/>
  <c r="S151" i="34" s="1"/>
  <c r="N106" i="18"/>
  <c r="T148" i="34" s="1"/>
  <c r="M119" i="18"/>
  <c r="S161" i="34" s="1"/>
  <c r="E112" i="31"/>
  <c r="E120"/>
  <c r="K222" i="34" s="1"/>
  <c r="R99" i="18"/>
  <c r="X141" i="34" s="1"/>
  <c r="R101" i="18"/>
  <c r="X143" i="34" s="1"/>
  <c r="R106" i="18"/>
  <c r="X148" i="34" s="1"/>
  <c r="R98" i="18"/>
  <c r="X140" i="34" s="1"/>
  <c r="S103" i="18"/>
  <c r="Y145" i="34" s="1"/>
  <c r="S104" i="18"/>
  <c r="Y146" i="34" s="1"/>
  <c r="S100" i="18"/>
  <c r="Y142" i="34" s="1"/>
  <c r="S99" i="18"/>
  <c r="Y141" i="34" s="1"/>
  <c r="G101" i="31"/>
  <c r="M203" i="34" s="1"/>
  <c r="O107" i="18"/>
  <c r="U149" i="34" s="1"/>
  <c r="O102" i="18"/>
  <c r="U144" i="34" s="1"/>
  <c r="O99" i="18"/>
  <c r="U141" i="34" s="1"/>
  <c r="O100" i="18"/>
  <c r="U142" i="34" s="1"/>
  <c r="K105" i="18"/>
  <c r="Q147" i="34" s="1"/>
  <c r="K110" i="18"/>
  <c r="Q152" i="34" s="1"/>
  <c r="K101" i="18"/>
  <c r="Q143" i="34" s="1"/>
  <c r="Q102" i="18"/>
  <c r="W144" i="34" s="1"/>
  <c r="H97" i="18"/>
  <c r="N139" i="34" s="1"/>
  <c r="H107" i="18"/>
  <c r="N149" i="34" s="1"/>
  <c r="H106" i="18"/>
  <c r="N148" i="34" s="1"/>
  <c r="H99" i="18"/>
  <c r="N141" i="34" s="1"/>
  <c r="W99" i="18"/>
  <c r="AC141" i="34" s="1"/>
  <c r="W100" i="18"/>
  <c r="AC142" i="34" s="1"/>
  <c r="W96" i="18"/>
  <c r="AC138" i="34" s="1"/>
  <c r="W104" i="18"/>
  <c r="AC146" i="34" s="1"/>
  <c r="N102" i="18"/>
  <c r="T144" i="34" s="1"/>
  <c r="N105" i="18"/>
  <c r="T147" i="34" s="1"/>
  <c r="N100" i="18"/>
  <c r="T142" i="34" s="1"/>
  <c r="F101" i="18"/>
  <c r="L143" i="34" s="1"/>
  <c r="F96" i="18"/>
  <c r="L138" i="34" s="1"/>
  <c r="F106" i="18"/>
  <c r="L148" i="34" s="1"/>
  <c r="F99" i="18"/>
  <c r="L141" i="34" s="1"/>
  <c r="P111" i="18"/>
  <c r="V153" i="34" s="1"/>
  <c r="P122" i="18"/>
  <c r="V164" i="34" s="1"/>
  <c r="P123" i="18"/>
  <c r="V165" i="34" s="1"/>
  <c r="M124" i="18"/>
  <c r="S166" i="34" s="1"/>
  <c r="M114" i="18"/>
  <c r="S156" i="34" s="1"/>
  <c r="M121" i="18"/>
  <c r="S163" i="34" s="1"/>
  <c r="M112" i="18"/>
  <c r="S154" i="34" s="1"/>
  <c r="E115" i="31"/>
  <c r="K217" i="34" s="1"/>
  <c r="E119" i="31"/>
  <c r="K221" i="34" s="1"/>
  <c r="E116" i="31"/>
  <c r="E71"/>
  <c r="F71" s="1"/>
  <c r="G71" s="1"/>
  <c r="W114" i="18"/>
  <c r="AC156" i="34" s="1"/>
  <c r="W122" i="18"/>
  <c r="AC164" i="34" s="1"/>
  <c r="W115" i="18"/>
  <c r="AC157" i="34" s="1"/>
  <c r="W113" i="18"/>
  <c r="AC155" i="34" s="1"/>
  <c r="R116" i="18"/>
  <c r="X158" i="34" s="1"/>
  <c r="R119" i="18"/>
  <c r="X161" i="34" s="1"/>
  <c r="R120" i="18"/>
  <c r="X162" i="34" s="1"/>
  <c r="R117" i="18"/>
  <c r="X159" i="34" s="1"/>
  <c r="H111" i="31"/>
  <c r="N213" i="34" s="1"/>
  <c r="H124" i="31"/>
  <c r="N226" i="34" s="1"/>
  <c r="F118" i="18"/>
  <c r="L160" i="34" s="1"/>
  <c r="F113" i="18"/>
  <c r="L155" i="34" s="1"/>
  <c r="F120" i="18"/>
  <c r="L162" i="34" s="1"/>
  <c r="F123" i="18"/>
  <c r="L165" i="34" s="1"/>
  <c r="K172"/>
  <c r="AA130" i="18"/>
  <c r="K240" i="34"/>
  <c r="AA139" i="18"/>
  <c r="K181" i="34"/>
  <c r="K237"/>
  <c r="K104" i="18"/>
  <c r="Q146" i="34" s="1"/>
  <c r="N98" i="18"/>
  <c r="T140" i="34" s="1"/>
  <c r="N97" i="18"/>
  <c r="T139" i="34" s="1"/>
  <c r="N101" i="18"/>
  <c r="T143" i="34" s="1"/>
  <c r="M115" i="18"/>
  <c r="S157" i="34" s="1"/>
  <c r="M117" i="18"/>
  <c r="S159" i="34" s="1"/>
  <c r="E125" i="31"/>
  <c r="K227" i="34" s="1"/>
  <c r="E123" i="31"/>
  <c r="K225" i="34" s="1"/>
  <c r="H118" i="31"/>
  <c r="N220" i="34" s="1"/>
  <c r="H117" i="31"/>
  <c r="N219" i="34" s="1"/>
  <c r="AA132" i="18"/>
  <c r="K174" i="34"/>
  <c r="AA134" i="18"/>
  <c r="K176" i="34"/>
  <c r="AA131" i="18"/>
  <c r="K173" i="34"/>
  <c r="K179"/>
  <c r="K234"/>
  <c r="K231"/>
  <c r="K241"/>
  <c r="K228"/>
  <c r="R96" i="18"/>
  <c r="X138" i="34" s="1"/>
  <c r="R97" i="18"/>
  <c r="X139" i="34" s="1"/>
  <c r="R102" i="18"/>
  <c r="X144" i="34" s="1"/>
  <c r="S102" i="18"/>
  <c r="Y144" i="34" s="1"/>
  <c r="S105" i="18"/>
  <c r="Y147" i="34" s="1"/>
  <c r="S96" i="18"/>
  <c r="Y138" i="34" s="1"/>
  <c r="G109" i="31"/>
  <c r="M211" i="34" s="1"/>
  <c r="O96" i="18"/>
  <c r="U138" i="34" s="1"/>
  <c r="O104" i="18"/>
  <c r="U146" i="34" s="1"/>
  <c r="K109" i="18"/>
  <c r="Q151" i="34" s="1"/>
  <c r="K103" i="18"/>
  <c r="Q145" i="34" s="1"/>
  <c r="K100" i="18"/>
  <c r="Q142" i="34" s="1"/>
  <c r="Q108" i="18"/>
  <c r="W150" i="34" s="1"/>
  <c r="M97" i="18"/>
  <c r="S139" i="34" s="1"/>
  <c r="H108" i="18"/>
  <c r="N150" i="34" s="1"/>
  <c r="H96" i="18"/>
  <c r="N138" i="34" s="1"/>
  <c r="H104" i="18"/>
  <c r="N146" i="34" s="1"/>
  <c r="W105" i="18"/>
  <c r="AC147" i="34" s="1"/>
  <c r="W108" i="18"/>
  <c r="AC150" i="34" s="1"/>
  <c r="N110" i="18"/>
  <c r="T152" i="34" s="1"/>
  <c r="N109" i="18"/>
  <c r="T151" i="34" s="1"/>
  <c r="N99" i="18"/>
  <c r="T141" i="34" s="1"/>
  <c r="F104" i="18"/>
  <c r="L146" i="34" s="1"/>
  <c r="F107" i="18"/>
  <c r="L149" i="34" s="1"/>
  <c r="P124" i="18"/>
  <c r="V166" i="34" s="1"/>
  <c r="P120" i="18"/>
  <c r="V162" i="34" s="1"/>
  <c r="P114" i="18"/>
  <c r="V156" i="34" s="1"/>
  <c r="M118" i="18"/>
  <c r="S160" i="34" s="1"/>
  <c r="M122" i="18"/>
  <c r="S164" i="34" s="1"/>
  <c r="M113" i="18"/>
  <c r="S155" i="34" s="1"/>
  <c r="E124" i="31"/>
  <c r="E111"/>
  <c r="K213" i="34" s="1"/>
  <c r="E121" i="31"/>
  <c r="W119" i="18"/>
  <c r="AC161" i="34" s="1"/>
  <c r="W125" i="18"/>
  <c r="AC167" i="34" s="1"/>
  <c r="W123" i="18"/>
  <c r="AC165" i="34" s="1"/>
  <c r="R112" i="18"/>
  <c r="X154" i="34" s="1"/>
  <c r="R113" i="18"/>
  <c r="X155" i="34" s="1"/>
  <c r="R111" i="18"/>
  <c r="X153" i="34" s="1"/>
  <c r="H113" i="31"/>
  <c r="N215" i="34" s="1"/>
  <c r="H115" i="31"/>
  <c r="N217" i="34" s="1"/>
  <c r="F125" i="18"/>
  <c r="L167" i="34" s="1"/>
  <c r="F122" i="18"/>
  <c r="L164" i="34" s="1"/>
  <c r="F111" i="18"/>
  <c r="L153" i="34" s="1"/>
  <c r="L101" i="31"/>
  <c r="R203" i="34" s="1"/>
  <c r="S125" i="18"/>
  <c r="Y167" i="34" s="1"/>
  <c r="J120" i="31"/>
  <c r="P222" i="34" s="1"/>
  <c r="L106" i="18"/>
  <c r="R148" i="34" s="1"/>
  <c r="J106" i="31"/>
  <c r="P208" i="34" s="1"/>
  <c r="E96" i="18"/>
  <c r="K138" i="34" s="1"/>
  <c r="P100" i="18"/>
  <c r="V142" i="34" s="1"/>
  <c r="V109" i="18"/>
  <c r="AB151" i="34" s="1"/>
  <c r="X96" i="18"/>
  <c r="AD138" i="34" s="1"/>
  <c r="L100" i="31"/>
  <c r="R202" i="34" s="1"/>
  <c r="T103" i="18"/>
  <c r="Z145" i="34" s="1"/>
  <c r="K115" i="31"/>
  <c r="Q217" i="34" s="1"/>
  <c r="K117" i="31"/>
  <c r="Q219" i="34" s="1"/>
  <c r="H120" i="18"/>
  <c r="N162" i="34" s="1"/>
  <c r="S115" i="18"/>
  <c r="Y157" i="34" s="1"/>
  <c r="J123" i="31"/>
  <c r="P225" i="34" s="1"/>
  <c r="Q123" i="18"/>
  <c r="W165" i="34" s="1"/>
  <c r="Q116" i="18"/>
  <c r="W158" i="34" s="1"/>
  <c r="L110" i="18"/>
  <c r="R152" i="34" s="1"/>
  <c r="E102" i="18"/>
  <c r="K144" i="34" s="1"/>
  <c r="H123" i="18"/>
  <c r="N165" i="34" s="1"/>
  <c r="L104" i="18"/>
  <c r="R146" i="34" s="1"/>
  <c r="J103" i="31"/>
  <c r="P205" i="34" s="1"/>
  <c r="E110" i="18"/>
  <c r="K152" i="34" s="1"/>
  <c r="X107" i="18"/>
  <c r="AD149" i="34" s="1"/>
  <c r="X99" i="18"/>
  <c r="AD141" i="34" s="1"/>
  <c r="K119" i="31"/>
  <c r="Q221" i="34" s="1"/>
  <c r="G116" i="18"/>
  <c r="M158" i="34" s="1"/>
  <c r="H116" i="18"/>
  <c r="N158" i="34" s="1"/>
  <c r="S121" i="18"/>
  <c r="Y163" i="34" s="1"/>
  <c r="Q122" i="18"/>
  <c r="W164" i="34" s="1"/>
  <c r="Q114" i="18"/>
  <c r="W156" i="34" s="1"/>
  <c r="L116" i="18"/>
  <c r="R158" i="34" s="1"/>
  <c r="L102" i="18"/>
  <c r="R144" i="34" s="1"/>
  <c r="L100" i="18"/>
  <c r="R142" i="34" s="1"/>
  <c r="E101" i="18"/>
  <c r="K143" i="34" s="1"/>
  <c r="E107" i="18"/>
  <c r="K149" i="34" s="1"/>
  <c r="G102" i="18"/>
  <c r="M144" i="34" s="1"/>
  <c r="G101" i="18"/>
  <c r="M143" i="34" s="1"/>
  <c r="G122" i="18"/>
  <c r="M164" i="34" s="1"/>
  <c r="L111" i="31"/>
  <c r="R213" i="34" s="1"/>
  <c r="S123" i="18"/>
  <c r="Y165" i="34" s="1"/>
  <c r="S117" i="18"/>
  <c r="Y159" i="34" s="1"/>
  <c r="S111" i="18"/>
  <c r="Y153" i="34" s="1"/>
  <c r="S118" i="18"/>
  <c r="Y160" i="34" s="1"/>
  <c r="J118" i="31"/>
  <c r="P220" i="34" s="1"/>
  <c r="J112" i="31"/>
  <c r="P214" i="34" s="1"/>
  <c r="J124" i="31"/>
  <c r="P226" i="34" s="1"/>
  <c r="J119" i="31"/>
  <c r="P221" i="34" s="1"/>
  <c r="L109" i="18"/>
  <c r="R151" i="34" s="1"/>
  <c r="L96" i="18"/>
  <c r="R138" i="34" s="1"/>
  <c r="L99" i="18"/>
  <c r="R141" i="34" s="1"/>
  <c r="L107" i="18"/>
  <c r="R149" i="34" s="1"/>
  <c r="E102" i="31"/>
  <c r="K204" i="34" s="1"/>
  <c r="J99" i="31"/>
  <c r="P201" i="34" s="1"/>
  <c r="J105" i="31"/>
  <c r="P207" i="34" s="1"/>
  <c r="Q104" i="18"/>
  <c r="W146" i="34" s="1"/>
  <c r="E98" i="18"/>
  <c r="K140" i="34" s="1"/>
  <c r="E106" i="18"/>
  <c r="E97"/>
  <c r="K139" i="34" s="1"/>
  <c r="E105" i="18"/>
  <c r="F109" i="31"/>
  <c r="L211" i="34" s="1"/>
  <c r="X97" i="18"/>
  <c r="AD139" i="34" s="1"/>
  <c r="X102" i="18"/>
  <c r="AD144" i="34" s="1"/>
  <c r="X101" i="18"/>
  <c r="AD143" i="34" s="1"/>
  <c r="X109" i="18"/>
  <c r="AD151" i="34" s="1"/>
  <c r="L106" i="31"/>
  <c r="R208" i="34" s="1"/>
  <c r="G99" i="18"/>
  <c r="M141" i="34" s="1"/>
  <c r="G108" i="18"/>
  <c r="M150" i="34" s="1"/>
  <c r="K112" i="31"/>
  <c r="Q214" i="34" s="1"/>
  <c r="K118" i="31"/>
  <c r="Q220" i="34" s="1"/>
  <c r="K113" i="31"/>
  <c r="Q215" i="34" s="1"/>
  <c r="K121" i="31"/>
  <c r="Q223" i="34" s="1"/>
  <c r="J114" i="18"/>
  <c r="P156" i="34" s="1"/>
  <c r="G120" i="18"/>
  <c r="M162" i="34" s="1"/>
  <c r="H121" i="18"/>
  <c r="N163" i="34" s="1"/>
  <c r="H113" i="18"/>
  <c r="N155" i="34" s="1"/>
  <c r="H115" i="18"/>
  <c r="N157" i="34" s="1"/>
  <c r="H117" i="18"/>
  <c r="N159" i="34" s="1"/>
  <c r="E118" i="18"/>
  <c r="L115" i="31"/>
  <c r="R217" i="34" s="1"/>
  <c r="S120" i="18"/>
  <c r="Y162" i="34" s="1"/>
  <c r="S113" i="18"/>
  <c r="Y155" i="34" s="1"/>
  <c r="S124" i="18"/>
  <c r="Y166" i="34" s="1"/>
  <c r="J115" i="31"/>
  <c r="P217" i="34" s="1"/>
  <c r="J125" i="31"/>
  <c r="P227" i="34" s="1"/>
  <c r="J121" i="31"/>
  <c r="P223" i="34" s="1"/>
  <c r="J117" i="31"/>
  <c r="P219" i="34" s="1"/>
  <c r="Q113" i="18"/>
  <c r="W155" i="34" s="1"/>
  <c r="Q121" i="18"/>
  <c r="W163" i="34" s="1"/>
  <c r="Q125" i="18"/>
  <c r="W167" i="34" s="1"/>
  <c r="L117" i="18"/>
  <c r="R159" i="34" s="1"/>
  <c r="L108" i="18"/>
  <c r="R150" i="34" s="1"/>
  <c r="E104" i="18"/>
  <c r="K146" i="34" s="1"/>
  <c r="E103" i="18"/>
  <c r="K145" i="34" s="1"/>
  <c r="H119" i="18"/>
  <c r="N161" i="34" s="1"/>
  <c r="H122" i="18"/>
  <c r="N164" i="34" s="1"/>
  <c r="H112" i="18"/>
  <c r="N154" i="34" s="1"/>
  <c r="H111" i="18"/>
  <c r="N153" i="34" s="1"/>
  <c r="L105" i="18"/>
  <c r="R147" i="34" s="1"/>
  <c r="L101" i="18"/>
  <c r="R143" i="34" s="1"/>
  <c r="L97" i="18"/>
  <c r="R139" i="34" s="1"/>
  <c r="J102" i="31"/>
  <c r="P204" i="34" s="1"/>
  <c r="J104" i="31"/>
  <c r="P206" i="34" s="1"/>
  <c r="G105" i="31"/>
  <c r="M207" i="34" s="1"/>
  <c r="Q101" i="18"/>
  <c r="W143" i="34" s="1"/>
  <c r="M104" i="18"/>
  <c r="S146" i="34" s="1"/>
  <c r="E100" i="18"/>
  <c r="K142" i="34" s="1"/>
  <c r="E109" i="18"/>
  <c r="K151" i="34" s="1"/>
  <c r="E70" i="18"/>
  <c r="F70" s="1"/>
  <c r="G70" s="1"/>
  <c r="H70" s="1"/>
  <c r="I70" s="1"/>
  <c r="J70" s="1"/>
  <c r="K70" s="1"/>
  <c r="L70" s="1"/>
  <c r="M70" s="1"/>
  <c r="N70" s="1"/>
  <c r="O70" s="1"/>
  <c r="P70" s="1"/>
  <c r="Q70" s="1"/>
  <c r="R70" s="1"/>
  <c r="S70" s="1"/>
  <c r="T70" s="1"/>
  <c r="U70" s="1"/>
  <c r="V70" s="1"/>
  <c r="W70" s="1"/>
  <c r="X70" s="1"/>
  <c r="F97" i="31"/>
  <c r="L199" i="34" s="1"/>
  <c r="X103" i="18"/>
  <c r="AD145" i="34" s="1"/>
  <c r="X98" i="18"/>
  <c r="AD140" i="34" s="1"/>
  <c r="X106" i="18"/>
  <c r="AD148" i="34" s="1"/>
  <c r="L110" i="31"/>
  <c r="R212" i="34" s="1"/>
  <c r="G97" i="18"/>
  <c r="M139" i="34" s="1"/>
  <c r="G107" i="18"/>
  <c r="M149" i="34" s="1"/>
  <c r="K123" i="31"/>
  <c r="Q225" i="34" s="1"/>
  <c r="K116" i="31"/>
  <c r="Q218" i="34" s="1"/>
  <c r="K125" i="31"/>
  <c r="Q227" i="34" s="1"/>
  <c r="J124" i="18"/>
  <c r="P166" i="34" s="1"/>
  <c r="G117" i="18"/>
  <c r="M159" i="34" s="1"/>
  <c r="H118" i="18"/>
  <c r="N160" i="34" s="1"/>
  <c r="H125" i="18"/>
  <c r="N167" i="34" s="1"/>
  <c r="E114" i="18"/>
  <c r="K156" i="34" s="1"/>
  <c r="L124" i="31"/>
  <c r="R226" i="34" s="1"/>
  <c r="S114" i="18"/>
  <c r="Y156" i="34" s="1"/>
  <c r="S122" i="18"/>
  <c r="Y164" i="34" s="1"/>
  <c r="S119" i="18"/>
  <c r="Y161" i="34" s="1"/>
  <c r="J122" i="31"/>
  <c r="P224" i="34" s="1"/>
  <c r="J113" i="31"/>
  <c r="P215" i="34" s="1"/>
  <c r="J111" i="31"/>
  <c r="P213" i="34" s="1"/>
  <c r="Q119" i="18"/>
  <c r="W161" i="34" s="1"/>
  <c r="Q115" i="18"/>
  <c r="W157" i="34" s="1"/>
  <c r="Q120" i="18"/>
  <c r="W162" i="34" s="1"/>
  <c r="L125" i="18"/>
  <c r="R167" i="34" s="1"/>
  <c r="P106" i="18"/>
  <c r="V148" i="34" s="1"/>
  <c r="F103" i="31"/>
  <c r="L205" i="34" s="1"/>
  <c r="F104" i="31"/>
  <c r="L206" i="34" s="1"/>
  <c r="F100" i="31"/>
  <c r="L202" i="34" s="1"/>
  <c r="F102" i="31"/>
  <c r="L204" i="34" s="1"/>
  <c r="T98" i="18"/>
  <c r="Z140" i="34" s="1"/>
  <c r="J118" i="18"/>
  <c r="P160" i="34" s="1"/>
  <c r="J122" i="18"/>
  <c r="P164" i="34" s="1"/>
  <c r="E122" i="18"/>
  <c r="K164" i="34" s="1"/>
  <c r="E119" i="18"/>
  <c r="K161" i="34" s="1"/>
  <c r="H71" i="31"/>
  <c r="I71" s="1"/>
  <c r="J71" s="1"/>
  <c r="K71" s="1"/>
  <c r="H122"/>
  <c r="N224" i="34" s="1"/>
  <c r="H125" i="31"/>
  <c r="N227" i="34" s="1"/>
  <c r="H119" i="31"/>
  <c r="N221" i="34" s="1"/>
  <c r="H116" i="31"/>
  <c r="N218" i="34" s="1"/>
  <c r="L122" i="18"/>
  <c r="R164" i="34" s="1"/>
  <c r="L115" i="18"/>
  <c r="R157" i="34" s="1"/>
  <c r="L118" i="18"/>
  <c r="R160" i="34" s="1"/>
  <c r="L119" i="18"/>
  <c r="R161" i="34" s="1"/>
  <c r="F107" i="31"/>
  <c r="L209" i="34" s="1"/>
  <c r="F105" i="31"/>
  <c r="L207" i="34" s="1"/>
  <c r="T100" i="18"/>
  <c r="Z142" i="34" s="1"/>
  <c r="J116" i="18"/>
  <c r="P158" i="34" s="1"/>
  <c r="E124" i="18"/>
  <c r="K166" i="34" s="1"/>
  <c r="E112" i="18"/>
  <c r="L114"/>
  <c r="R156" i="34" s="1"/>
  <c r="L120" i="18"/>
  <c r="R162" i="34" s="1"/>
  <c r="L112" i="18"/>
  <c r="R154" i="34" s="1"/>
  <c r="J100" i="31"/>
  <c r="P202" i="34" s="1"/>
  <c r="J108" i="31"/>
  <c r="P210" i="34" s="1"/>
  <c r="J110" i="31"/>
  <c r="P212" i="34" s="1"/>
  <c r="J98" i="31"/>
  <c r="P200" i="34" s="1"/>
  <c r="P99" i="18"/>
  <c r="V141" i="34" s="1"/>
  <c r="F99" i="31"/>
  <c r="L201" i="34" s="1"/>
  <c r="T102" i="18"/>
  <c r="Z144" i="34" s="1"/>
  <c r="J121" i="18"/>
  <c r="P163" i="34" s="1"/>
  <c r="J109" i="31"/>
  <c r="P211" i="34" s="1"/>
  <c r="J101" i="31"/>
  <c r="P203" i="34" s="1"/>
  <c r="J97" i="31"/>
  <c r="P199" i="34" s="1"/>
  <c r="P107" i="18"/>
  <c r="V149" i="34" s="1"/>
  <c r="F96" i="31"/>
  <c r="L198" i="34" s="1"/>
  <c r="F101" i="31"/>
  <c r="L203" i="34" s="1"/>
  <c r="F110" i="31"/>
  <c r="L212" i="34" s="1"/>
  <c r="G106" i="18"/>
  <c r="M148" i="34" s="1"/>
  <c r="G104" i="18"/>
  <c r="M146" i="34" s="1"/>
  <c r="G100" i="18"/>
  <c r="M142" i="34" s="1"/>
  <c r="T106" i="18"/>
  <c r="Z148" i="34" s="1"/>
  <c r="J112" i="18"/>
  <c r="P154" i="34" s="1"/>
  <c r="J115" i="18"/>
  <c r="P157" i="34" s="1"/>
  <c r="E125" i="18"/>
  <c r="K167" i="34" s="1"/>
  <c r="E113" i="18"/>
  <c r="K155" i="34" s="1"/>
  <c r="H114" i="31"/>
  <c r="N216" i="34" s="1"/>
  <c r="H121" i="31"/>
  <c r="N223" i="34" s="1"/>
  <c r="L111" i="18"/>
  <c r="R153" i="34" s="1"/>
  <c r="L124" i="18"/>
  <c r="R166" i="34" s="1"/>
  <c r="L121" i="18"/>
  <c r="R163" i="34" s="1"/>
  <c r="E104" i="31"/>
  <c r="K206" i="34" s="1"/>
  <c r="E109" i="31"/>
  <c r="K211" i="34" s="1"/>
  <c r="G100" i="31"/>
  <c r="M202" i="34" s="1"/>
  <c r="G99" i="31"/>
  <c r="M201" i="34" s="1"/>
  <c r="G110" i="31"/>
  <c r="M212" i="34" s="1"/>
  <c r="G106" i="31"/>
  <c r="M208" i="34" s="1"/>
  <c r="Q109" i="18"/>
  <c r="W151" i="34" s="1"/>
  <c r="Q98" i="18"/>
  <c r="W140" i="34" s="1"/>
  <c r="Q96" i="18"/>
  <c r="W138" i="34" s="1"/>
  <c r="Q103" i="18"/>
  <c r="W145" i="34" s="1"/>
  <c r="M102" i="18"/>
  <c r="S144" i="34" s="1"/>
  <c r="M101" i="18"/>
  <c r="S143" i="34" s="1"/>
  <c r="M107" i="18"/>
  <c r="S149" i="34" s="1"/>
  <c r="M99" i="18"/>
  <c r="S141" i="34" s="1"/>
  <c r="P110" i="18"/>
  <c r="V152" i="34" s="1"/>
  <c r="P96" i="18"/>
  <c r="V138" i="34" s="1"/>
  <c r="P108" i="18"/>
  <c r="V150" i="34" s="1"/>
  <c r="L103" i="31"/>
  <c r="R205" i="34" s="1"/>
  <c r="L98" i="31"/>
  <c r="R200" i="34" s="1"/>
  <c r="L97" i="31"/>
  <c r="R199" i="34" s="1"/>
  <c r="L108" i="31"/>
  <c r="R210" i="34" s="1"/>
  <c r="L118" i="31"/>
  <c r="R220" i="34" s="1"/>
  <c r="L121" i="31"/>
  <c r="R223" i="34" s="1"/>
  <c r="L113" i="31"/>
  <c r="R215" i="34" s="1"/>
  <c r="E107" i="31"/>
  <c r="K209" i="34" s="1"/>
  <c r="E70" i="31"/>
  <c r="F70" s="1"/>
  <c r="G70" s="1"/>
  <c r="H70" s="1"/>
  <c r="I70" s="1"/>
  <c r="J70" s="1"/>
  <c r="K70" s="1"/>
  <c r="L70" s="1"/>
  <c r="G97"/>
  <c r="M199" i="34" s="1"/>
  <c r="G98" i="31"/>
  <c r="M200" i="34" s="1"/>
  <c r="G107" i="31"/>
  <c r="M209" i="34" s="1"/>
  <c r="G96" i="31"/>
  <c r="M198" i="34" s="1"/>
  <c r="J110" i="18"/>
  <c r="P152" i="34" s="1"/>
  <c r="Q105" i="18"/>
  <c r="W147" i="34" s="1"/>
  <c r="Q107" i="18"/>
  <c r="W149" i="34" s="1"/>
  <c r="Q97" i="18"/>
  <c r="W139" i="34" s="1"/>
  <c r="M103" i="18"/>
  <c r="S145" i="34" s="1"/>
  <c r="M108" i="18"/>
  <c r="S150" i="34" s="1"/>
  <c r="M106" i="18"/>
  <c r="S148" i="34" s="1"/>
  <c r="M110" i="18"/>
  <c r="S152" i="34" s="1"/>
  <c r="P102" i="18"/>
  <c r="V144" i="34" s="1"/>
  <c r="P98" i="18"/>
  <c r="V140" i="34" s="1"/>
  <c r="P103" i="18"/>
  <c r="V145" i="34" s="1"/>
  <c r="P104" i="18"/>
  <c r="V146" i="34" s="1"/>
  <c r="L105" i="31"/>
  <c r="R207" i="34" s="1"/>
  <c r="L107" i="31"/>
  <c r="R209" i="34" s="1"/>
  <c r="L109" i="31"/>
  <c r="R211" i="34" s="1"/>
  <c r="J117" i="18"/>
  <c r="P159" i="34" s="1"/>
  <c r="J125" i="18"/>
  <c r="P167" i="34" s="1"/>
  <c r="J119" i="18"/>
  <c r="P161" i="34" s="1"/>
  <c r="J120" i="18"/>
  <c r="P162" i="34" s="1"/>
  <c r="G113" i="18"/>
  <c r="M155" i="34" s="1"/>
  <c r="G111" i="18"/>
  <c r="M153" i="34" s="1"/>
  <c r="G115" i="18"/>
  <c r="M157" i="34" s="1"/>
  <c r="G123" i="18"/>
  <c r="M165" i="34" s="1"/>
  <c r="E121" i="18"/>
  <c r="K163" i="34" s="1"/>
  <c r="E120" i="18"/>
  <c r="E71"/>
  <c r="F71" s="1"/>
  <c r="G71" s="1"/>
  <c r="H71" s="1"/>
  <c r="I71" s="1"/>
  <c r="J71" s="1"/>
  <c r="K71" s="1"/>
  <c r="L71" s="1"/>
  <c r="M71" s="1"/>
  <c r="N71" s="1"/>
  <c r="O71" s="1"/>
  <c r="P71" s="1"/>
  <c r="Q71" s="1"/>
  <c r="R71" s="1"/>
  <c r="S71" s="1"/>
  <c r="T71" s="1"/>
  <c r="U71" s="1"/>
  <c r="V71" s="1"/>
  <c r="W71" s="1"/>
  <c r="X71" s="1"/>
  <c r="E117"/>
  <c r="K159" i="34" s="1"/>
  <c r="L120" i="31"/>
  <c r="R222" i="34" s="1"/>
  <c r="L114" i="31"/>
  <c r="R216" i="34" s="1"/>
  <c r="L116" i="31"/>
  <c r="R218" i="34" s="1"/>
  <c r="L125" i="31"/>
  <c r="R227" i="34" s="1"/>
  <c r="G119" i="18"/>
  <c r="M161" i="34" s="1"/>
  <c r="G112" i="18"/>
  <c r="M154" i="34" s="1"/>
  <c r="G125" i="18"/>
  <c r="M167" i="34" s="1"/>
  <c r="E106" i="31"/>
  <c r="K208" i="34" s="1"/>
  <c r="E108" i="31"/>
  <c r="K210" i="34" s="1"/>
  <c r="G103" i="31"/>
  <c r="M205" i="34" s="1"/>
  <c r="G104" i="31"/>
  <c r="M206" i="34" s="1"/>
  <c r="G108" i="31"/>
  <c r="M210" i="34" s="1"/>
  <c r="Q110" i="18"/>
  <c r="W152" i="34" s="1"/>
  <c r="Q99" i="18"/>
  <c r="W141" i="34" s="1"/>
  <c r="Q100" i="18"/>
  <c r="W142" i="34" s="1"/>
  <c r="M98" i="18"/>
  <c r="S140" i="34" s="1"/>
  <c r="M105" i="18"/>
  <c r="S147" i="34" s="1"/>
  <c r="M96" i="18"/>
  <c r="S138" i="34" s="1"/>
  <c r="P97" i="18"/>
  <c r="V139" i="34" s="1"/>
  <c r="P109" i="18"/>
  <c r="V151" i="34" s="1"/>
  <c r="P101" i="18"/>
  <c r="V143" i="34" s="1"/>
  <c r="L96" i="31"/>
  <c r="R198" i="34" s="1"/>
  <c r="L99" i="31"/>
  <c r="R201" i="34" s="1"/>
  <c r="L104" i="31"/>
  <c r="R206" i="34" s="1"/>
  <c r="J113" i="18"/>
  <c r="P155" i="34" s="1"/>
  <c r="J111" i="18"/>
  <c r="P153" i="34" s="1"/>
  <c r="G124" i="18"/>
  <c r="M166" i="34" s="1"/>
  <c r="G114" i="18"/>
  <c r="M156" i="34" s="1"/>
  <c r="G121" i="18"/>
  <c r="M163" i="34" s="1"/>
  <c r="E115" i="18"/>
  <c r="K157" i="34" s="1"/>
  <c r="E111" i="18"/>
  <c r="K153" i="34" s="1"/>
  <c r="E116" i="18"/>
  <c r="K158" i="34" s="1"/>
  <c r="L71" i="31"/>
  <c r="L119"/>
  <c r="R221" i="34" s="1"/>
  <c r="L112" i="31"/>
  <c r="R214" i="34" s="1"/>
  <c r="L122" i="31"/>
  <c r="R224" i="34" s="1"/>
  <c r="K214"/>
  <c r="R53" i="31"/>
  <c r="R62" s="1"/>
  <c r="R35"/>
  <c r="P35"/>
  <c r="P53"/>
  <c r="P62" s="1"/>
  <c r="K162" i="34"/>
  <c r="K226"/>
  <c r="K223"/>
  <c r="K215"/>
  <c r="Q53" i="31"/>
  <c r="Q62" s="1"/>
  <c r="Q35"/>
  <c r="E88" i="29"/>
  <c r="E77"/>
  <c r="E75"/>
  <c r="E194"/>
  <c r="AA194" s="1"/>
  <c r="E76"/>
  <c r="E81"/>
  <c r="E74"/>
  <c r="E78"/>
  <c r="E83"/>
  <c r="E84"/>
  <c r="E86"/>
  <c r="E82"/>
  <c r="E87"/>
  <c r="E80"/>
  <c r="E73"/>
  <c r="E79"/>
  <c r="E85"/>
  <c r="AA35"/>
  <c r="O53" i="31"/>
  <c r="O62" s="1"/>
  <c r="O35"/>
  <c r="J96" i="18"/>
  <c r="P138" i="34" s="1"/>
  <c r="V107" i="18"/>
  <c r="AB149" i="34" s="1"/>
  <c r="S53" i="31"/>
  <c r="S62" s="1"/>
  <c r="S35"/>
  <c r="V53"/>
  <c r="V62" s="1"/>
  <c r="V35"/>
  <c r="X53"/>
  <c r="X62" s="1"/>
  <c r="X35"/>
  <c r="Z35" s="1"/>
  <c r="T53"/>
  <c r="T62" s="1"/>
  <c r="T35"/>
  <c r="K165" i="34"/>
  <c r="K218"/>
  <c r="N53" i="31"/>
  <c r="N62" s="1"/>
  <c r="N35"/>
  <c r="I108" i="18"/>
  <c r="O150" i="34" s="1"/>
  <c r="W53" i="31"/>
  <c r="W62" s="1"/>
  <c r="W35"/>
  <c r="K160" i="34"/>
  <c r="K224"/>
  <c r="K219"/>
  <c r="K220"/>
  <c r="K216"/>
  <c r="U35" i="31"/>
  <c r="U53"/>
  <c r="U62" s="1"/>
  <c r="E80" i="17"/>
  <c r="E77"/>
  <c r="E79"/>
  <c r="E74"/>
  <c r="E73"/>
  <c r="E83"/>
  <c r="E87"/>
  <c r="E76"/>
  <c r="E85"/>
  <c r="E81"/>
  <c r="E78"/>
  <c r="E86"/>
  <c r="E194"/>
  <c r="E84"/>
  <c r="E82"/>
  <c r="AA35"/>
  <c r="E75"/>
  <c r="E88"/>
  <c r="I102" i="18"/>
  <c r="O144" i="34" s="1"/>
  <c r="J109" i="18"/>
  <c r="P151" i="34" s="1"/>
  <c r="V102" i="18"/>
  <c r="AB144" i="34" s="1"/>
  <c r="I104" i="18"/>
  <c r="O146" i="34" s="1"/>
  <c r="J101" i="18"/>
  <c r="P143" i="34" s="1"/>
  <c r="Z48" i="31"/>
  <c r="V105" i="18"/>
  <c r="AB147" i="34" s="1"/>
  <c r="G103" i="18"/>
  <c r="M145" i="34" s="1"/>
  <c r="G105" i="18"/>
  <c r="M147" i="34" s="1"/>
  <c r="G96" i="18"/>
  <c r="M138" i="34" s="1"/>
  <c r="T109" i="18"/>
  <c r="Z151" i="34" s="1"/>
  <c r="T110" i="18"/>
  <c r="Z152" i="34" s="1"/>
  <c r="E66" i="29"/>
  <c r="E59"/>
  <c r="E67"/>
  <c r="E63"/>
  <c r="E193"/>
  <c r="AA193" s="1"/>
  <c r="E68"/>
  <c r="E72"/>
  <c r="E64"/>
  <c r="E60"/>
  <c r="E69"/>
  <c r="E70"/>
  <c r="E65"/>
  <c r="E61"/>
  <c r="E71"/>
  <c r="E62"/>
  <c r="AA34"/>
  <c r="Q52" i="31"/>
  <c r="Q61" s="1"/>
  <c r="Q34"/>
  <c r="E68" i="17"/>
  <c r="E63"/>
  <c r="E61"/>
  <c r="E62"/>
  <c r="E72"/>
  <c r="E59"/>
  <c r="E66"/>
  <c r="AA34"/>
  <c r="E71"/>
  <c r="E67"/>
  <c r="E69"/>
  <c r="E65"/>
  <c r="E70"/>
  <c r="E64"/>
  <c r="E60"/>
  <c r="E193"/>
  <c r="V52" i="31"/>
  <c r="V61" s="1"/>
  <c r="V34"/>
  <c r="R52"/>
  <c r="R61" s="1"/>
  <c r="R34"/>
  <c r="X34"/>
  <c r="Z34" s="1"/>
  <c r="X52"/>
  <c r="X61" s="1"/>
  <c r="P34"/>
  <c r="P52"/>
  <c r="P61" s="1"/>
  <c r="I109" i="18"/>
  <c r="O151" i="34" s="1"/>
  <c r="I105" i="18"/>
  <c r="O147" i="34" s="1"/>
  <c r="I110" i="18"/>
  <c r="O152" i="34" s="1"/>
  <c r="I103" i="18"/>
  <c r="O145" i="34" s="1"/>
  <c r="E97" i="31"/>
  <c r="K199" i="34" s="1"/>
  <c r="E96" i="31"/>
  <c r="K198" i="34" s="1"/>
  <c r="E110" i="31"/>
  <c r="K212" i="34" s="1"/>
  <c r="E98" i="31"/>
  <c r="K200" i="34" s="1"/>
  <c r="J103" i="18"/>
  <c r="P145" i="34" s="1"/>
  <c r="J97" i="18"/>
  <c r="P139" i="34" s="1"/>
  <c r="J104" i="18"/>
  <c r="P146" i="34" s="1"/>
  <c r="J100" i="18"/>
  <c r="P142" i="34" s="1"/>
  <c r="V110" i="18"/>
  <c r="AB152" i="34" s="1"/>
  <c r="V103" i="18"/>
  <c r="AB145" i="34" s="1"/>
  <c r="V98" i="18"/>
  <c r="AB140" i="34" s="1"/>
  <c r="V104" i="18"/>
  <c r="AB146" i="34" s="1"/>
  <c r="T96" i="18"/>
  <c r="Z138" i="34" s="1"/>
  <c r="T101" i="18"/>
  <c r="Z143" i="34" s="1"/>
  <c r="T105" i="18"/>
  <c r="Z147" i="34" s="1"/>
  <c r="T34" i="31"/>
  <c r="T52"/>
  <c r="T61" s="1"/>
  <c r="S34"/>
  <c r="S52"/>
  <c r="S61" s="1"/>
  <c r="O52"/>
  <c r="O61" s="1"/>
  <c r="O34"/>
  <c r="W34"/>
  <c r="W52"/>
  <c r="W61" s="1"/>
  <c r="U34"/>
  <c r="U52"/>
  <c r="U61" s="1"/>
  <c r="N34"/>
  <c r="N52"/>
  <c r="N61" s="1"/>
  <c r="I106" i="18"/>
  <c r="O148" i="34" s="1"/>
  <c r="I98" i="18"/>
  <c r="O140" i="34" s="1"/>
  <c r="I99" i="18"/>
  <c r="O141" i="34" s="1"/>
  <c r="I100" i="18"/>
  <c r="O142" i="34" s="1"/>
  <c r="J107" i="18"/>
  <c r="P149" i="34" s="1"/>
  <c r="J102" i="18"/>
  <c r="P144" i="34" s="1"/>
  <c r="J99" i="18"/>
  <c r="P141" i="34" s="1"/>
  <c r="V96" i="18"/>
  <c r="AB138" i="34" s="1"/>
  <c r="V106" i="18"/>
  <c r="AB148" i="34" s="1"/>
  <c r="V101" i="18"/>
  <c r="AB143" i="34" s="1"/>
  <c r="I107" i="18"/>
  <c r="O149" i="34" s="1"/>
  <c r="I97" i="18"/>
  <c r="O139" i="34" s="1"/>
  <c r="E105" i="31"/>
  <c r="E101"/>
  <c r="K203" i="34" s="1"/>
  <c r="E103" i="31"/>
  <c r="K205" i="34" s="1"/>
  <c r="J108" i="18"/>
  <c r="P150" i="34" s="1"/>
  <c r="J106" i="18"/>
  <c r="P148" i="34" s="1"/>
  <c r="J105" i="18"/>
  <c r="P147" i="34" s="1"/>
  <c r="V108" i="18"/>
  <c r="AB150" i="34" s="1"/>
  <c r="V99" i="18"/>
  <c r="AB141" i="34" s="1"/>
  <c r="V100" i="18"/>
  <c r="AB142" i="34" s="1"/>
  <c r="T107" i="18"/>
  <c r="Z149" i="34" s="1"/>
  <c r="T99" i="18"/>
  <c r="Z141" i="34" s="1"/>
  <c r="T104" i="18"/>
  <c r="Z146" i="34" s="1"/>
  <c r="K202"/>
  <c r="K148"/>
  <c r="K147"/>
  <c r="Z48" i="18"/>
  <c r="K201" i="34"/>
  <c r="K141"/>
  <c r="K150"/>
  <c r="K47" i="17"/>
  <c r="Q6" i="34" s="1"/>
  <c r="K46" i="17"/>
  <c r="Q5" i="34" s="1"/>
  <c r="K56" i="17"/>
  <c r="Q15" i="34" s="1"/>
  <c r="K54" i="17"/>
  <c r="Q13" i="34" s="1"/>
  <c r="K50" i="17"/>
  <c r="Q9" i="34" s="1"/>
  <c r="K48" i="17"/>
  <c r="Q7" i="34" s="1"/>
  <c r="K192" i="17"/>
  <c r="K197" s="1"/>
  <c r="K52"/>
  <c r="Q11" i="34" s="1"/>
  <c r="K57" i="17"/>
  <c r="Q16" i="34" s="1"/>
  <c r="K49" i="17"/>
  <c r="Q8" i="34" s="1"/>
  <c r="K44" i="17"/>
  <c r="K45"/>
  <c r="Q4" i="34" s="1"/>
  <c r="K55" i="17"/>
  <c r="Q14" i="34" s="1"/>
  <c r="K58" i="17"/>
  <c r="Q17" i="34" s="1"/>
  <c r="K51" i="17"/>
  <c r="Q10" i="34" s="1"/>
  <c r="K53" i="17"/>
  <c r="Q12" i="34" s="1"/>
  <c r="K38" i="17"/>
  <c r="X88" i="18"/>
  <c r="AD130" i="34" s="1"/>
  <c r="X95" i="18"/>
  <c r="AD137" i="34" s="1"/>
  <c r="X82" i="18"/>
  <c r="AD124" i="34" s="1"/>
  <c r="X92" i="18"/>
  <c r="AD134" i="34" s="1"/>
  <c r="X87" i="18"/>
  <c r="AD129" i="34" s="1"/>
  <c r="X65" i="18"/>
  <c r="X81"/>
  <c r="X85"/>
  <c r="AD127" i="34" s="1"/>
  <c r="X93" i="18"/>
  <c r="AD135" i="34" s="1"/>
  <c r="X86" i="18"/>
  <c r="AD128" i="34" s="1"/>
  <c r="X94" i="18"/>
  <c r="AD136" i="34" s="1"/>
  <c r="X89" i="18"/>
  <c r="AD131" i="34" s="1"/>
  <c r="X84" i="18"/>
  <c r="AD126" i="34" s="1"/>
  <c r="X91" i="18"/>
  <c r="AD133" i="34" s="1"/>
  <c r="X90" i="18"/>
  <c r="AD132" i="34" s="1"/>
  <c r="X83" i="18"/>
  <c r="AD125" i="34" s="1"/>
  <c r="U50" i="17"/>
  <c r="AA9" i="34" s="1"/>
  <c r="U57" i="17"/>
  <c r="AA16" i="34" s="1"/>
  <c r="U48" i="17"/>
  <c r="AA7" i="34" s="1"/>
  <c r="U46" i="17"/>
  <c r="AA5" i="34" s="1"/>
  <c r="U45" i="17"/>
  <c r="AA4" i="34" s="1"/>
  <c r="U53" i="17"/>
  <c r="AA12" i="34" s="1"/>
  <c r="U47" i="17"/>
  <c r="AA6" i="34" s="1"/>
  <c r="U54" i="17"/>
  <c r="AA13" i="34" s="1"/>
  <c r="U49" i="17"/>
  <c r="AA8" i="34" s="1"/>
  <c r="U58" i="17"/>
  <c r="AA17" i="34" s="1"/>
  <c r="U52" i="17"/>
  <c r="AA11" i="34" s="1"/>
  <c r="U55" i="17"/>
  <c r="AA14" i="34" s="1"/>
  <c r="U192" i="17"/>
  <c r="U197" s="1"/>
  <c r="U51"/>
  <c r="AA10" i="34" s="1"/>
  <c r="U38" i="17"/>
  <c r="U44"/>
  <c r="U56"/>
  <c r="AA15" i="34" s="1"/>
  <c r="R56" i="17"/>
  <c r="X15" i="34" s="1"/>
  <c r="R52" i="17"/>
  <c r="X11" i="34" s="1"/>
  <c r="R51" i="17"/>
  <c r="X10" i="34" s="1"/>
  <c r="R57" i="17"/>
  <c r="X16" i="34" s="1"/>
  <c r="R55" i="17"/>
  <c r="X14" i="34" s="1"/>
  <c r="R53" i="17"/>
  <c r="X12" i="34" s="1"/>
  <c r="R48" i="17"/>
  <c r="X7" i="34" s="1"/>
  <c r="R49" i="17"/>
  <c r="X8" i="34" s="1"/>
  <c r="R38" i="17"/>
  <c r="R50"/>
  <c r="X9" i="34" s="1"/>
  <c r="R58" i="17"/>
  <c r="X17" i="34" s="1"/>
  <c r="R47" i="17"/>
  <c r="X6" i="34" s="1"/>
  <c r="R54" i="17"/>
  <c r="X13" i="34" s="1"/>
  <c r="R46" i="17"/>
  <c r="X5" i="34" s="1"/>
  <c r="R192" i="17"/>
  <c r="R197" s="1"/>
  <c r="R45"/>
  <c r="X4" i="34" s="1"/>
  <c r="R44" i="17"/>
  <c r="H46"/>
  <c r="N5" i="34" s="1"/>
  <c r="H47" i="17"/>
  <c r="N6" i="34" s="1"/>
  <c r="H45" i="17"/>
  <c r="N4" i="34" s="1"/>
  <c r="H55" i="17"/>
  <c r="N14" i="34" s="1"/>
  <c r="H56" i="17"/>
  <c r="N15" i="34" s="1"/>
  <c r="H48" i="17"/>
  <c r="N7" i="34" s="1"/>
  <c r="H50" i="17"/>
  <c r="N9" i="34" s="1"/>
  <c r="H51" i="17"/>
  <c r="N10" i="34" s="1"/>
  <c r="H44" i="17"/>
  <c r="H53"/>
  <c r="N12" i="34" s="1"/>
  <c r="H57" i="17"/>
  <c r="N16" i="34" s="1"/>
  <c r="H192" i="17"/>
  <c r="H197" s="1"/>
  <c r="H49"/>
  <c r="N8" i="34" s="1"/>
  <c r="H58" i="17"/>
  <c r="N17" i="34" s="1"/>
  <c r="H52" i="17"/>
  <c r="N11" i="34" s="1"/>
  <c r="H54" i="17"/>
  <c r="N13" i="34" s="1"/>
  <c r="H38" i="17"/>
  <c r="T51" i="29"/>
  <c r="Z70" i="34" s="1"/>
  <c r="T56" i="29"/>
  <c r="Z75" i="34" s="1"/>
  <c r="T54" i="29"/>
  <c r="Z73" i="34" s="1"/>
  <c r="T50" i="29"/>
  <c r="Z69" i="34" s="1"/>
  <c r="T192" i="29"/>
  <c r="T197" s="1"/>
  <c r="T49"/>
  <c r="Z68" i="34" s="1"/>
  <c r="T45" i="29"/>
  <c r="Z64" i="34" s="1"/>
  <c r="T46" i="29"/>
  <c r="Z65" i="34" s="1"/>
  <c r="T57" i="29"/>
  <c r="Z76" i="34" s="1"/>
  <c r="T55" i="29"/>
  <c r="Z74" i="34" s="1"/>
  <c r="T47" i="29"/>
  <c r="Z66" i="34" s="1"/>
  <c r="T44" i="29"/>
  <c r="T52"/>
  <c r="Z71" i="34" s="1"/>
  <c r="T53" i="29"/>
  <c r="Z72" i="34" s="1"/>
  <c r="T48" i="29"/>
  <c r="Z67" i="34" s="1"/>
  <c r="T38" i="29"/>
  <c r="T58"/>
  <c r="Z77" i="34" s="1"/>
  <c r="P38" i="29"/>
  <c r="P55"/>
  <c r="V74" i="34" s="1"/>
  <c r="P47" i="29"/>
  <c r="V66" i="34" s="1"/>
  <c r="P51" i="29"/>
  <c r="V70" i="34" s="1"/>
  <c r="P50" i="29"/>
  <c r="V69" i="34" s="1"/>
  <c r="P49" i="29"/>
  <c r="V68" i="34" s="1"/>
  <c r="P53" i="29"/>
  <c r="V72" i="34" s="1"/>
  <c r="P45" i="29"/>
  <c r="V64" i="34" s="1"/>
  <c r="P56" i="29"/>
  <c r="V75" i="34" s="1"/>
  <c r="P54" i="29"/>
  <c r="V73" i="34" s="1"/>
  <c r="P192" i="29"/>
  <c r="P46"/>
  <c r="V65" i="34" s="1"/>
  <c r="P58" i="29"/>
  <c r="V77" i="34" s="1"/>
  <c r="P44" i="29"/>
  <c r="P48"/>
  <c r="V67" i="34" s="1"/>
  <c r="P52" i="29"/>
  <c r="V71" i="34" s="1"/>
  <c r="P57" i="29"/>
  <c r="V76" i="34" s="1"/>
  <c r="H90" i="31"/>
  <c r="N192" i="34" s="1"/>
  <c r="H87" i="31"/>
  <c r="N189" i="34" s="1"/>
  <c r="H95" i="31"/>
  <c r="N197" i="34" s="1"/>
  <c r="H91" i="31"/>
  <c r="N193" i="34" s="1"/>
  <c r="H86" i="31"/>
  <c r="N188" i="34" s="1"/>
  <c r="H84" i="31"/>
  <c r="N186" i="34" s="1"/>
  <c r="H93" i="31"/>
  <c r="N195" i="34" s="1"/>
  <c r="H83" i="31"/>
  <c r="N185" i="34" s="1"/>
  <c r="H88" i="31"/>
  <c r="N190" i="34" s="1"/>
  <c r="H94" i="31"/>
  <c r="N196" i="34" s="1"/>
  <c r="H92" i="31"/>
  <c r="N194" i="34" s="1"/>
  <c r="H85" i="31"/>
  <c r="N187" i="34" s="1"/>
  <c r="H82" i="31"/>
  <c r="N184" i="34" s="1"/>
  <c r="H89" i="31"/>
  <c r="N191" i="34" s="1"/>
  <c r="H65" i="31"/>
  <c r="H81"/>
  <c r="E48" i="17"/>
  <c r="E56"/>
  <c r="E54"/>
  <c r="E53"/>
  <c r="E57"/>
  <c r="E49"/>
  <c r="E50"/>
  <c r="AA33"/>
  <c r="E45"/>
  <c r="E52"/>
  <c r="E38"/>
  <c r="E51"/>
  <c r="E47"/>
  <c r="E192"/>
  <c r="E55"/>
  <c r="E46"/>
  <c r="E44"/>
  <c r="E58"/>
  <c r="Q87" i="18"/>
  <c r="W129" i="34" s="1"/>
  <c r="Q84" i="18"/>
  <c r="W126" i="34" s="1"/>
  <c r="Q88" i="18"/>
  <c r="W130" i="34" s="1"/>
  <c r="Q89" i="18"/>
  <c r="W131" i="34" s="1"/>
  <c r="Q83" i="18"/>
  <c r="W125" i="34" s="1"/>
  <c r="Q90" i="18"/>
  <c r="W132" i="34" s="1"/>
  <c r="Q93" i="18"/>
  <c r="W135" i="34" s="1"/>
  <c r="Q86" i="18"/>
  <c r="W128" i="34" s="1"/>
  <c r="Q95" i="18"/>
  <c r="W137" i="34" s="1"/>
  <c r="Q94" i="18"/>
  <c r="W136" i="34" s="1"/>
  <c r="Q81" i="18"/>
  <c r="Q91"/>
  <c r="W133" i="34" s="1"/>
  <c r="Q82" i="18"/>
  <c r="W124" i="34" s="1"/>
  <c r="Q92" i="18"/>
  <c r="W134" i="34" s="1"/>
  <c r="Q65" i="18"/>
  <c r="Q85"/>
  <c r="W127" i="34" s="1"/>
  <c r="V84" i="18"/>
  <c r="AB126" i="34" s="1"/>
  <c r="V83" i="18"/>
  <c r="AB125" i="34" s="1"/>
  <c r="V93" i="18"/>
  <c r="AB135" i="34" s="1"/>
  <c r="V95" i="18"/>
  <c r="AB137" i="34" s="1"/>
  <c r="V86" i="18"/>
  <c r="AB128" i="34" s="1"/>
  <c r="V88" i="18"/>
  <c r="AB130" i="34" s="1"/>
  <c r="V85" i="18"/>
  <c r="AB127" i="34" s="1"/>
  <c r="V82" i="18"/>
  <c r="AB124" i="34" s="1"/>
  <c r="V91" i="18"/>
  <c r="AB133" i="34" s="1"/>
  <c r="V89" i="18"/>
  <c r="AB131" i="34" s="1"/>
  <c r="V65" i="18"/>
  <c r="V94"/>
  <c r="AB136" i="34" s="1"/>
  <c r="V81" i="18"/>
  <c r="V90"/>
  <c r="AB132" i="34" s="1"/>
  <c r="V92" i="18"/>
  <c r="AB134" i="34" s="1"/>
  <c r="V87" i="18"/>
  <c r="AB129" i="34" s="1"/>
  <c r="G58" i="29"/>
  <c r="M77" i="34" s="1"/>
  <c r="G54" i="29"/>
  <c r="M73" i="34" s="1"/>
  <c r="G38" i="29"/>
  <c r="G51"/>
  <c r="M70" i="34" s="1"/>
  <c r="G192" i="29"/>
  <c r="G44"/>
  <c r="G45"/>
  <c r="M64" i="34" s="1"/>
  <c r="G55" i="29"/>
  <c r="M74" i="34" s="1"/>
  <c r="G46" i="29"/>
  <c r="M65" i="34" s="1"/>
  <c r="G50" i="29"/>
  <c r="M69" i="34" s="1"/>
  <c r="G47" i="29"/>
  <c r="M66" i="34" s="1"/>
  <c r="G57" i="29"/>
  <c r="M76" i="34" s="1"/>
  <c r="G56" i="29"/>
  <c r="M75" i="34" s="1"/>
  <c r="G53" i="29"/>
  <c r="M72" i="34" s="1"/>
  <c r="G49" i="29"/>
  <c r="M68" i="34" s="1"/>
  <c r="G52" i="29"/>
  <c r="M71" i="34" s="1"/>
  <c r="G48" i="29"/>
  <c r="M67" i="34" s="1"/>
  <c r="P95" i="18"/>
  <c r="V137" i="34" s="1"/>
  <c r="P85" i="18"/>
  <c r="V127" i="34" s="1"/>
  <c r="P87" i="18"/>
  <c r="V129" i="34" s="1"/>
  <c r="P92" i="18"/>
  <c r="V134" i="34" s="1"/>
  <c r="P84" i="18"/>
  <c r="V126" i="34" s="1"/>
  <c r="P88" i="18"/>
  <c r="V130" i="34" s="1"/>
  <c r="P93" i="18"/>
  <c r="V135" i="34" s="1"/>
  <c r="P94" i="18"/>
  <c r="V136" i="34" s="1"/>
  <c r="P86" i="18"/>
  <c r="V128" i="34" s="1"/>
  <c r="P83" i="18"/>
  <c r="V125" i="34" s="1"/>
  <c r="P91" i="18"/>
  <c r="V133" i="34" s="1"/>
  <c r="P81" i="18"/>
  <c r="P82"/>
  <c r="V124" i="34" s="1"/>
  <c r="P89" i="18"/>
  <c r="V131" i="34" s="1"/>
  <c r="P65" i="18"/>
  <c r="P90"/>
  <c r="V132" i="34" s="1"/>
  <c r="X45" i="17"/>
  <c r="AD4" i="34" s="1"/>
  <c r="X52" i="17"/>
  <c r="AD11" i="34" s="1"/>
  <c r="X57" i="17"/>
  <c r="AD16" i="34" s="1"/>
  <c r="X49" i="17"/>
  <c r="AD8" i="34" s="1"/>
  <c r="X47" i="17"/>
  <c r="AD6" i="34" s="1"/>
  <c r="X192" i="17"/>
  <c r="X197" s="1"/>
  <c r="X56"/>
  <c r="AD15" i="34" s="1"/>
  <c r="X44" i="17"/>
  <c r="X48"/>
  <c r="AD7" i="34" s="1"/>
  <c r="X55" i="17"/>
  <c r="AD14" i="34" s="1"/>
  <c r="X38" i="17"/>
  <c r="X54"/>
  <c r="AD13" i="34" s="1"/>
  <c r="X53" i="17"/>
  <c r="AD12" i="34" s="1"/>
  <c r="X51" i="17"/>
  <c r="AD10" i="34" s="1"/>
  <c r="X50" i="17"/>
  <c r="AD9" i="34" s="1"/>
  <c r="X58" i="17"/>
  <c r="AD17" i="34" s="1"/>
  <c r="X46" i="17"/>
  <c r="AD5" i="34" s="1"/>
  <c r="K94" i="18"/>
  <c r="Q136" i="34" s="1"/>
  <c r="K86" i="18"/>
  <c r="Q128" i="34" s="1"/>
  <c r="K87" i="18"/>
  <c r="Q129" i="34" s="1"/>
  <c r="K92" i="18"/>
  <c r="Q134" i="34" s="1"/>
  <c r="K89" i="18"/>
  <c r="Q131" i="34" s="1"/>
  <c r="K88" i="18"/>
  <c r="Q130" i="34" s="1"/>
  <c r="K83" i="18"/>
  <c r="Q125" i="34" s="1"/>
  <c r="K82" i="18"/>
  <c r="Q124" i="34" s="1"/>
  <c r="K84" i="18"/>
  <c r="Q126" i="34" s="1"/>
  <c r="K85" i="18"/>
  <c r="Q127" i="34" s="1"/>
  <c r="K95" i="18"/>
  <c r="Q137" i="34" s="1"/>
  <c r="K65" i="18"/>
  <c r="K90"/>
  <c r="Q132" i="34" s="1"/>
  <c r="K91" i="18"/>
  <c r="Q133" i="34" s="1"/>
  <c r="K93" i="18"/>
  <c r="Q135" i="34" s="1"/>
  <c r="K81" i="18"/>
  <c r="W44" i="29"/>
  <c r="W56"/>
  <c r="AC75" i="34" s="1"/>
  <c r="W54" i="29"/>
  <c r="AC73" i="34" s="1"/>
  <c r="W55" i="29"/>
  <c r="AC74" i="34" s="1"/>
  <c r="W192" i="29"/>
  <c r="W197" s="1"/>
  <c r="W52"/>
  <c r="AC71" i="34" s="1"/>
  <c r="W38" i="29"/>
  <c r="W46"/>
  <c r="AC65" i="34" s="1"/>
  <c r="W53" i="29"/>
  <c r="AC72" i="34" s="1"/>
  <c r="W45" i="29"/>
  <c r="AC64" i="34" s="1"/>
  <c r="W51" i="29"/>
  <c r="AC70" i="34" s="1"/>
  <c r="W48" i="29"/>
  <c r="AC67" i="34" s="1"/>
  <c r="W50" i="29"/>
  <c r="AC69" i="34" s="1"/>
  <c r="W49" i="29"/>
  <c r="AC68" i="34" s="1"/>
  <c r="W57" i="29"/>
  <c r="AC76" i="34" s="1"/>
  <c r="W58" i="29"/>
  <c r="AC77" i="34" s="1"/>
  <c r="W47" i="29"/>
  <c r="AC66" i="34" s="1"/>
  <c r="I53" i="29"/>
  <c r="O72" i="34" s="1"/>
  <c r="I57" i="29"/>
  <c r="O76" i="34" s="1"/>
  <c r="I45" i="29"/>
  <c r="O64" i="34" s="1"/>
  <c r="I55" i="29"/>
  <c r="O74" i="34" s="1"/>
  <c r="I192" i="29"/>
  <c r="I47"/>
  <c r="O66" i="34" s="1"/>
  <c r="I54" i="29"/>
  <c r="O73" i="34" s="1"/>
  <c r="I46" i="29"/>
  <c r="O65" i="34" s="1"/>
  <c r="I52" i="29"/>
  <c r="O71" i="34" s="1"/>
  <c r="I44" i="29"/>
  <c r="I49"/>
  <c r="O68" i="34" s="1"/>
  <c r="I48" i="29"/>
  <c r="O67" i="34" s="1"/>
  <c r="I50" i="29"/>
  <c r="O69" i="34" s="1"/>
  <c r="I56" i="29"/>
  <c r="O75" i="34" s="1"/>
  <c r="I51" i="29"/>
  <c r="O70" i="34" s="1"/>
  <c r="I38" i="29"/>
  <c r="I58"/>
  <c r="O77" i="34" s="1"/>
  <c r="S56" i="29"/>
  <c r="Y75" i="34" s="1"/>
  <c r="S52" i="29"/>
  <c r="Y71" i="34" s="1"/>
  <c r="S51" i="29"/>
  <c r="Y70" i="34" s="1"/>
  <c r="S44" i="29"/>
  <c r="S54"/>
  <c r="Y73" i="34" s="1"/>
  <c r="S53" i="29"/>
  <c r="Y72" i="34" s="1"/>
  <c r="S46" i="29"/>
  <c r="Y65" i="34" s="1"/>
  <c r="S48" i="29"/>
  <c r="Y67" i="34" s="1"/>
  <c r="S55" i="29"/>
  <c r="Y74" i="34" s="1"/>
  <c r="S38" i="29"/>
  <c r="S58"/>
  <c r="Y77" i="34" s="1"/>
  <c r="S50" i="29"/>
  <c r="Y69" i="34" s="1"/>
  <c r="S192" i="29"/>
  <c r="S197" s="1"/>
  <c r="S49"/>
  <c r="Y68" i="34" s="1"/>
  <c r="S45" i="29"/>
  <c r="Y64" i="34" s="1"/>
  <c r="S47" i="29"/>
  <c r="Y66" i="34" s="1"/>
  <c r="S57" i="29"/>
  <c r="Y76" i="34" s="1"/>
  <c r="I82" i="31"/>
  <c r="O184" i="34" s="1"/>
  <c r="I93" i="31"/>
  <c r="O195" i="34" s="1"/>
  <c r="I95" i="31"/>
  <c r="O197" i="34" s="1"/>
  <c r="I91" i="31"/>
  <c r="O193" i="34" s="1"/>
  <c r="I85" i="31"/>
  <c r="O187" i="34" s="1"/>
  <c r="I90" i="31"/>
  <c r="O192" i="34" s="1"/>
  <c r="I83" i="31"/>
  <c r="O185" i="34" s="1"/>
  <c r="I88" i="31"/>
  <c r="O190" i="34" s="1"/>
  <c r="I89" i="31"/>
  <c r="O191" i="34" s="1"/>
  <c r="I87" i="31"/>
  <c r="O189" i="34" s="1"/>
  <c r="I84" i="31"/>
  <c r="O186" i="34" s="1"/>
  <c r="I94" i="31"/>
  <c r="O196" i="34" s="1"/>
  <c r="I92" i="31"/>
  <c r="O194" i="34" s="1"/>
  <c r="I81" i="31"/>
  <c r="I65"/>
  <c r="I86"/>
  <c r="O188" i="34" s="1"/>
  <c r="H48" i="29"/>
  <c r="N67" i="34" s="1"/>
  <c r="H58" i="29"/>
  <c r="N77" i="34" s="1"/>
  <c r="H54" i="29"/>
  <c r="N73" i="34" s="1"/>
  <c r="H44" i="29"/>
  <c r="H50"/>
  <c r="N69" i="34" s="1"/>
  <c r="H55" i="29"/>
  <c r="N74" i="34" s="1"/>
  <c r="H57" i="29"/>
  <c r="N76" i="34" s="1"/>
  <c r="H192" i="29"/>
  <c r="H38"/>
  <c r="H52"/>
  <c r="N71" i="34" s="1"/>
  <c r="H49" i="29"/>
  <c r="N68" i="34" s="1"/>
  <c r="H46" i="29"/>
  <c r="N65" i="34" s="1"/>
  <c r="H51" i="29"/>
  <c r="N70" i="34" s="1"/>
  <c r="H56" i="29"/>
  <c r="N75" i="34" s="1"/>
  <c r="H53" i="29"/>
  <c r="N72" i="34" s="1"/>
  <c r="H45" i="29"/>
  <c r="N64" i="34" s="1"/>
  <c r="H47" i="29"/>
  <c r="N66" i="34" s="1"/>
  <c r="M56" i="29"/>
  <c r="S75" i="34" s="1"/>
  <c r="M53" i="29"/>
  <c r="S72" i="34" s="1"/>
  <c r="M46" i="29"/>
  <c r="S65" i="34" s="1"/>
  <c r="M47" i="29"/>
  <c r="S66" i="34" s="1"/>
  <c r="M192" i="29"/>
  <c r="M50"/>
  <c r="S69" i="34" s="1"/>
  <c r="M58" i="29"/>
  <c r="S77" i="34" s="1"/>
  <c r="M57" i="29"/>
  <c r="S76" i="34" s="1"/>
  <c r="M55" i="29"/>
  <c r="S74" i="34" s="1"/>
  <c r="M51" i="29"/>
  <c r="S70" i="34" s="1"/>
  <c r="M44" i="29"/>
  <c r="M52"/>
  <c r="S71" i="34" s="1"/>
  <c r="M49" i="29"/>
  <c r="S68" i="34" s="1"/>
  <c r="M54" i="29"/>
  <c r="S73" i="34" s="1"/>
  <c r="M45" i="29"/>
  <c r="S64" i="34" s="1"/>
  <c r="M48" i="29"/>
  <c r="S67" i="34" s="1"/>
  <c r="M38" i="29"/>
  <c r="O51" i="17"/>
  <c r="U10" i="34" s="1"/>
  <c r="O44" i="17"/>
  <c r="O45"/>
  <c r="U4" i="34" s="1"/>
  <c r="O54" i="17"/>
  <c r="U13" i="34" s="1"/>
  <c r="O56" i="17"/>
  <c r="U15" i="34" s="1"/>
  <c r="O47" i="17"/>
  <c r="U6" i="34" s="1"/>
  <c r="O52" i="17"/>
  <c r="U11" i="34" s="1"/>
  <c r="O192" i="17"/>
  <c r="O197" s="1"/>
  <c r="O38"/>
  <c r="O57"/>
  <c r="U16" i="34" s="1"/>
  <c r="O50" i="17"/>
  <c r="U9" i="34" s="1"/>
  <c r="O55" i="17"/>
  <c r="U14" i="34" s="1"/>
  <c r="O49" i="17"/>
  <c r="U8" i="34" s="1"/>
  <c r="O46" i="17"/>
  <c r="U5" i="34" s="1"/>
  <c r="O53" i="17"/>
  <c r="U12" i="34" s="1"/>
  <c r="O48" i="17"/>
  <c r="U7" i="34" s="1"/>
  <c r="O58" i="17"/>
  <c r="U17" i="34" s="1"/>
  <c r="O90" i="18"/>
  <c r="U132" i="34" s="1"/>
  <c r="O92" i="18"/>
  <c r="U134" i="34" s="1"/>
  <c r="O94" i="18"/>
  <c r="U136" i="34" s="1"/>
  <c r="O83" i="18"/>
  <c r="U125" i="34" s="1"/>
  <c r="O81" i="18"/>
  <c r="O86"/>
  <c r="U128" i="34" s="1"/>
  <c r="O89" i="18"/>
  <c r="U131" i="34" s="1"/>
  <c r="O85" i="18"/>
  <c r="U127" i="34" s="1"/>
  <c r="O82" i="18"/>
  <c r="U124" i="34" s="1"/>
  <c r="O84" i="18"/>
  <c r="U126" i="34" s="1"/>
  <c r="O91" i="18"/>
  <c r="U133" i="34" s="1"/>
  <c r="O87" i="18"/>
  <c r="U129" i="34" s="1"/>
  <c r="O93" i="18"/>
  <c r="U135" i="34" s="1"/>
  <c r="O95" i="18"/>
  <c r="U137" i="34" s="1"/>
  <c r="O88" i="18"/>
  <c r="U130" i="34" s="1"/>
  <c r="O65" i="18"/>
  <c r="V52" i="29"/>
  <c r="AB71" i="34" s="1"/>
  <c r="V38" i="29"/>
  <c r="V47"/>
  <c r="AB66" i="34" s="1"/>
  <c r="V51" i="29"/>
  <c r="AB70" i="34" s="1"/>
  <c r="V192" i="29"/>
  <c r="V197" s="1"/>
  <c r="V54"/>
  <c r="AB73" i="34" s="1"/>
  <c r="V49" i="29"/>
  <c r="AB68" i="34" s="1"/>
  <c r="V44" i="29"/>
  <c r="V57"/>
  <c r="AB76" i="34" s="1"/>
  <c r="V50" i="29"/>
  <c r="AB69" i="34" s="1"/>
  <c r="V46" i="29"/>
  <c r="AB65" i="34" s="1"/>
  <c r="V53" i="29"/>
  <c r="AB72" i="34" s="1"/>
  <c r="V48" i="29"/>
  <c r="AB67" i="34" s="1"/>
  <c r="V58" i="29"/>
  <c r="AB77" i="34" s="1"/>
  <c r="V45" i="29"/>
  <c r="AB64" i="34" s="1"/>
  <c r="V55" i="29"/>
  <c r="AB74" i="34" s="1"/>
  <c r="V56" i="29"/>
  <c r="AB75" i="34" s="1"/>
  <c r="N87" i="18"/>
  <c r="T129" i="34" s="1"/>
  <c r="N84" i="18"/>
  <c r="T126" i="34" s="1"/>
  <c r="N86" i="18"/>
  <c r="T128" i="34" s="1"/>
  <c r="N95" i="18"/>
  <c r="T137" i="34" s="1"/>
  <c r="N94" i="18"/>
  <c r="T136" i="34" s="1"/>
  <c r="N89" i="18"/>
  <c r="T131" i="34" s="1"/>
  <c r="N90" i="18"/>
  <c r="T132" i="34" s="1"/>
  <c r="N88" i="18"/>
  <c r="T130" i="34" s="1"/>
  <c r="N82" i="18"/>
  <c r="T124" i="34" s="1"/>
  <c r="N81" i="18"/>
  <c r="N93"/>
  <c r="T135" i="34" s="1"/>
  <c r="N65" i="18"/>
  <c r="N83"/>
  <c r="T125" i="34" s="1"/>
  <c r="N92" i="18"/>
  <c r="T134" i="34" s="1"/>
  <c r="N85" i="18"/>
  <c r="T127" i="34" s="1"/>
  <c r="N91" i="18"/>
  <c r="T133" i="34" s="1"/>
  <c r="W89" i="18"/>
  <c r="AC131" i="34" s="1"/>
  <c r="W84" i="18"/>
  <c r="AC126" i="34" s="1"/>
  <c r="W91" i="18"/>
  <c r="AC133" i="34" s="1"/>
  <c r="W85" i="18"/>
  <c r="AC127" i="34" s="1"/>
  <c r="W65" i="18"/>
  <c r="W86"/>
  <c r="AC128" i="34" s="1"/>
  <c r="W94" i="18"/>
  <c r="AC136" i="34" s="1"/>
  <c r="W88" i="18"/>
  <c r="AC130" i="34" s="1"/>
  <c r="W93" i="18"/>
  <c r="AC135" i="34" s="1"/>
  <c r="W81" i="18"/>
  <c r="W90"/>
  <c r="AC132" i="34" s="1"/>
  <c r="W92" i="18"/>
  <c r="AC134" i="34" s="1"/>
  <c r="W82" i="18"/>
  <c r="AC124" i="34" s="1"/>
  <c r="W83" i="18"/>
  <c r="AC125" i="34" s="1"/>
  <c r="W87" i="18"/>
  <c r="AC129" i="34" s="1"/>
  <c r="W95" i="18"/>
  <c r="AC137" i="34" s="1"/>
  <c r="M51" i="17"/>
  <c r="S10" i="34" s="1"/>
  <c r="M56" i="17"/>
  <c r="S15" i="34" s="1"/>
  <c r="M55" i="17"/>
  <c r="S14" i="34" s="1"/>
  <c r="M57" i="17"/>
  <c r="S16" i="34" s="1"/>
  <c r="M38" i="17"/>
  <c r="M54"/>
  <c r="S13" i="34" s="1"/>
  <c r="M50" i="17"/>
  <c r="S9" i="34" s="1"/>
  <c r="M49" i="17"/>
  <c r="S8" i="34" s="1"/>
  <c r="M58" i="17"/>
  <c r="S17" i="34" s="1"/>
  <c r="M53" i="17"/>
  <c r="S12" i="34" s="1"/>
  <c r="M192" i="17"/>
  <c r="M197" s="1"/>
  <c r="M47"/>
  <c r="S6" i="34" s="1"/>
  <c r="M45" i="17"/>
  <c r="S4" i="34" s="1"/>
  <c r="M52" i="17"/>
  <c r="S11" i="34" s="1"/>
  <c r="M46" i="17"/>
  <c r="S5" i="34" s="1"/>
  <c r="M44" i="17"/>
  <c r="M48"/>
  <c r="S7" i="34" s="1"/>
  <c r="L44" i="17"/>
  <c r="L58"/>
  <c r="R17" i="34" s="1"/>
  <c r="L38" i="17"/>
  <c r="L55"/>
  <c r="R14" i="34" s="1"/>
  <c r="L56" i="17"/>
  <c r="R15" i="34" s="1"/>
  <c r="L192" i="17"/>
  <c r="L197" s="1"/>
  <c r="L54"/>
  <c r="R13" i="34" s="1"/>
  <c r="L47" i="17"/>
  <c r="R6" i="34" s="1"/>
  <c r="L45" i="17"/>
  <c r="R4" i="34" s="1"/>
  <c r="L46" i="17"/>
  <c r="R5" i="34" s="1"/>
  <c r="L48" i="17"/>
  <c r="R7" i="34" s="1"/>
  <c r="L51" i="17"/>
  <c r="R10" i="34" s="1"/>
  <c r="L49" i="17"/>
  <c r="R8" i="34" s="1"/>
  <c r="L52" i="17"/>
  <c r="R11" i="34" s="1"/>
  <c r="L57" i="17"/>
  <c r="R16" i="34" s="1"/>
  <c r="L50" i="17"/>
  <c r="R9" i="34" s="1"/>
  <c r="L53" i="17"/>
  <c r="R12" i="34" s="1"/>
  <c r="U65" i="18"/>
  <c r="U84"/>
  <c r="AA126" i="34" s="1"/>
  <c r="U89" i="18"/>
  <c r="AA131" i="34" s="1"/>
  <c r="U83" i="18"/>
  <c r="AA125" i="34" s="1"/>
  <c r="U94" i="18"/>
  <c r="AA136" i="34" s="1"/>
  <c r="U95" i="18"/>
  <c r="AA137" i="34" s="1"/>
  <c r="U81" i="18"/>
  <c r="U87"/>
  <c r="AA129" i="34" s="1"/>
  <c r="U85" i="18"/>
  <c r="AA127" i="34" s="1"/>
  <c r="U90" i="18"/>
  <c r="AA132" i="34" s="1"/>
  <c r="U92" i="18"/>
  <c r="AA134" i="34" s="1"/>
  <c r="U86" i="18"/>
  <c r="AA128" i="34" s="1"/>
  <c r="U82" i="18"/>
  <c r="AA124" i="34" s="1"/>
  <c r="U93" i="18"/>
  <c r="AA135" i="34" s="1"/>
  <c r="U88" i="18"/>
  <c r="AA130" i="34" s="1"/>
  <c r="U91" i="18"/>
  <c r="AA133" i="34" s="1"/>
  <c r="S81" i="18"/>
  <c r="S95"/>
  <c r="Y137" i="34" s="1"/>
  <c r="S89" i="18"/>
  <c r="Y131" i="34" s="1"/>
  <c r="S92" i="18"/>
  <c r="Y134" i="34" s="1"/>
  <c r="S83" i="18"/>
  <c r="Y125" i="34" s="1"/>
  <c r="S84" i="18"/>
  <c r="Y126" i="34" s="1"/>
  <c r="S91" i="18"/>
  <c r="Y133" i="34" s="1"/>
  <c r="S90" i="18"/>
  <c r="Y132" i="34" s="1"/>
  <c r="S65" i="18"/>
  <c r="S86"/>
  <c r="Y128" i="34" s="1"/>
  <c r="S93" i="18"/>
  <c r="Y135" i="34" s="1"/>
  <c r="S87" i="18"/>
  <c r="Y129" i="34" s="1"/>
  <c r="S88" i="18"/>
  <c r="Y130" i="34" s="1"/>
  <c r="S94" i="18"/>
  <c r="Y136" i="34" s="1"/>
  <c r="S82" i="18"/>
  <c r="Y124" i="34" s="1"/>
  <c r="S85" i="18"/>
  <c r="Y127" i="34" s="1"/>
  <c r="J38" i="29"/>
  <c r="J55"/>
  <c r="P74" i="34" s="1"/>
  <c r="J46" i="29"/>
  <c r="P65" i="34" s="1"/>
  <c r="J53" i="29"/>
  <c r="P72" i="34" s="1"/>
  <c r="J51" i="29"/>
  <c r="P70" i="34" s="1"/>
  <c r="J56" i="29"/>
  <c r="P75" i="34" s="1"/>
  <c r="J44" i="29"/>
  <c r="J192"/>
  <c r="J48"/>
  <c r="P67" i="34" s="1"/>
  <c r="J58" i="29"/>
  <c r="P77" i="34" s="1"/>
  <c r="J50" i="29"/>
  <c r="P69" i="34" s="1"/>
  <c r="J47" i="29"/>
  <c r="P66" i="34" s="1"/>
  <c r="J49" i="29"/>
  <c r="P68" i="34" s="1"/>
  <c r="J54" i="29"/>
  <c r="P73" i="34" s="1"/>
  <c r="J57" i="29"/>
  <c r="P76" i="34" s="1"/>
  <c r="J45" i="29"/>
  <c r="P64" i="34" s="1"/>
  <c r="J52" i="29"/>
  <c r="P71" i="34" s="1"/>
  <c r="L83" i="18"/>
  <c r="R125" i="34" s="1"/>
  <c r="L87" i="18"/>
  <c r="R129" i="34" s="1"/>
  <c r="L95" i="18"/>
  <c r="R137" i="34" s="1"/>
  <c r="L82" i="18"/>
  <c r="R124" i="34" s="1"/>
  <c r="L65" i="18"/>
  <c r="L85"/>
  <c r="R127" i="34" s="1"/>
  <c r="L84" i="18"/>
  <c r="R126" i="34" s="1"/>
  <c r="L89" i="18"/>
  <c r="R131" i="34" s="1"/>
  <c r="L81" i="18"/>
  <c r="L92"/>
  <c r="R134" i="34" s="1"/>
  <c r="L86" i="18"/>
  <c r="R128" i="34" s="1"/>
  <c r="L91" i="18"/>
  <c r="R133" i="34" s="1"/>
  <c r="L94" i="18"/>
  <c r="R136" i="34" s="1"/>
  <c r="L88" i="18"/>
  <c r="R130" i="34" s="1"/>
  <c r="L93" i="18"/>
  <c r="R135" i="34" s="1"/>
  <c r="L90" i="18"/>
  <c r="R132" i="34" s="1"/>
  <c r="Q45" i="29"/>
  <c r="W64" i="34" s="1"/>
  <c r="Q53" i="29"/>
  <c r="W72" i="34" s="1"/>
  <c r="Q47" i="29"/>
  <c r="W66" i="34" s="1"/>
  <c r="Q55" i="29"/>
  <c r="W74" i="34" s="1"/>
  <c r="Q51" i="29"/>
  <c r="W70" i="34" s="1"/>
  <c r="Q50" i="29"/>
  <c r="W69" i="34" s="1"/>
  <c r="Q44" i="29"/>
  <c r="Q38"/>
  <c r="Q46"/>
  <c r="W65" i="34" s="1"/>
  <c r="Q57" i="29"/>
  <c r="W76" i="34" s="1"/>
  <c r="Q56" i="29"/>
  <c r="W75" i="34" s="1"/>
  <c r="Q58" i="29"/>
  <c r="W77" i="34" s="1"/>
  <c r="Q48" i="29"/>
  <c r="W67" i="34" s="1"/>
  <c r="Q52" i="29"/>
  <c r="W71" i="34" s="1"/>
  <c r="Q192" i="29"/>
  <c r="Q197" s="1"/>
  <c r="Q54"/>
  <c r="W73" i="34" s="1"/>
  <c r="Q49" i="29"/>
  <c r="W68" i="34" s="1"/>
  <c r="J87" i="31"/>
  <c r="P189" i="34" s="1"/>
  <c r="J93" i="31"/>
  <c r="P195" i="34" s="1"/>
  <c r="J82" i="31"/>
  <c r="P184" i="34" s="1"/>
  <c r="J84" i="31"/>
  <c r="P186" i="34" s="1"/>
  <c r="J81" i="31"/>
  <c r="J86"/>
  <c r="P188" i="34" s="1"/>
  <c r="J89" i="31"/>
  <c r="P191" i="34" s="1"/>
  <c r="J83" i="31"/>
  <c r="P185" i="34" s="1"/>
  <c r="J92" i="31"/>
  <c r="P194" i="34" s="1"/>
  <c r="J91" i="31"/>
  <c r="P193" i="34" s="1"/>
  <c r="J94" i="31"/>
  <c r="P196" i="34" s="1"/>
  <c r="J85" i="31"/>
  <c r="P187" i="34" s="1"/>
  <c r="J88" i="31"/>
  <c r="P190" i="34" s="1"/>
  <c r="J95" i="31"/>
  <c r="P197" i="34" s="1"/>
  <c r="J90" i="31"/>
  <c r="P192" i="34" s="1"/>
  <c r="J65" i="31"/>
  <c r="H86" i="18"/>
  <c r="N128" i="34" s="1"/>
  <c r="H83" i="18"/>
  <c r="N125" i="34" s="1"/>
  <c r="H88" i="18"/>
  <c r="N130" i="34" s="1"/>
  <c r="H89" i="18"/>
  <c r="N131" i="34" s="1"/>
  <c r="H91" i="18"/>
  <c r="N133" i="34" s="1"/>
  <c r="H92" i="18"/>
  <c r="N134" i="34" s="1"/>
  <c r="H94" i="18"/>
  <c r="N136" i="34" s="1"/>
  <c r="H95" i="18"/>
  <c r="N137" i="34" s="1"/>
  <c r="H93" i="18"/>
  <c r="N135" i="34" s="1"/>
  <c r="H85" i="18"/>
  <c r="N127" i="34" s="1"/>
  <c r="H87" i="18"/>
  <c r="N129" i="34" s="1"/>
  <c r="H65" i="18"/>
  <c r="H82"/>
  <c r="N124" i="34" s="1"/>
  <c r="H90" i="18"/>
  <c r="N132" i="34" s="1"/>
  <c r="H84" i="18"/>
  <c r="N126" i="34" s="1"/>
  <c r="H81" i="18"/>
  <c r="E56" i="29"/>
  <c r="E50"/>
  <c r="E57"/>
  <c r="E38"/>
  <c r="E48"/>
  <c r="E51"/>
  <c r="E52"/>
  <c r="E44"/>
  <c r="E55"/>
  <c r="E47"/>
  <c r="E46"/>
  <c r="E45"/>
  <c r="E49"/>
  <c r="E192"/>
  <c r="E58"/>
  <c r="E54"/>
  <c r="E53"/>
  <c r="AA33"/>
  <c r="S55" i="17"/>
  <c r="Y14" i="34" s="1"/>
  <c r="S53" i="17"/>
  <c r="Y12" i="34" s="1"/>
  <c r="S57" i="17"/>
  <c r="Y16" i="34" s="1"/>
  <c r="S50" i="17"/>
  <c r="Y9" i="34" s="1"/>
  <c r="S49" i="17"/>
  <c r="Y8" i="34" s="1"/>
  <c r="S44" i="17"/>
  <c r="S45"/>
  <c r="Y4" i="34" s="1"/>
  <c r="S192" i="17"/>
  <c r="S197" s="1"/>
  <c r="S51"/>
  <c r="Y10" i="34" s="1"/>
  <c r="S48" i="17"/>
  <c r="Y7" i="34" s="1"/>
  <c r="S46" i="17"/>
  <c r="Y5" i="34" s="1"/>
  <c r="S56" i="17"/>
  <c r="Y15" i="34" s="1"/>
  <c r="S54" i="17"/>
  <c r="Y13" i="34" s="1"/>
  <c r="S47" i="17"/>
  <c r="Y6" i="34" s="1"/>
  <c r="S52" i="17"/>
  <c r="Y11" i="34" s="1"/>
  <c r="S38" i="17"/>
  <c r="S58"/>
  <c r="Y17" i="34" s="1"/>
  <c r="Q52" i="17"/>
  <c r="W11" i="34" s="1"/>
  <c r="Q50" i="17"/>
  <c r="W9" i="34" s="1"/>
  <c r="Q45" i="17"/>
  <c r="W4" i="34" s="1"/>
  <c r="Q48" i="17"/>
  <c r="W7" i="34" s="1"/>
  <c r="Q44" i="17"/>
  <c r="Q47"/>
  <c r="W6" i="34" s="1"/>
  <c r="Q49" i="17"/>
  <c r="W8" i="34" s="1"/>
  <c r="Q38" i="17"/>
  <c r="Q57"/>
  <c r="W16" i="34" s="1"/>
  <c r="Q46" i="17"/>
  <c r="W5" i="34" s="1"/>
  <c r="Q55" i="17"/>
  <c r="W14" i="34" s="1"/>
  <c r="Q54" i="17"/>
  <c r="W13" i="34" s="1"/>
  <c r="Q51" i="17"/>
  <c r="W10" i="34" s="1"/>
  <c r="Q58" i="17"/>
  <c r="W17" i="34" s="1"/>
  <c r="Q192" i="17"/>
  <c r="Q197" s="1"/>
  <c r="Q56"/>
  <c r="W15" i="34" s="1"/>
  <c r="Q53" i="17"/>
  <c r="W12" i="34" s="1"/>
  <c r="U58" i="29"/>
  <c r="AA77" i="34" s="1"/>
  <c r="U50" i="29"/>
  <c r="AA69" i="34" s="1"/>
  <c r="U52" i="29"/>
  <c r="AA71" i="34" s="1"/>
  <c r="U44" i="29"/>
  <c r="U57"/>
  <c r="AA76" i="34" s="1"/>
  <c r="U55" i="29"/>
  <c r="AA74" i="34" s="1"/>
  <c r="U51" i="29"/>
  <c r="AA70" i="34" s="1"/>
  <c r="U53" i="29"/>
  <c r="AA72" i="34" s="1"/>
  <c r="U45" i="29"/>
  <c r="AA64" i="34" s="1"/>
  <c r="U54" i="29"/>
  <c r="AA73" i="34" s="1"/>
  <c r="U47" i="29"/>
  <c r="AA66" i="34" s="1"/>
  <c r="U56" i="29"/>
  <c r="AA75" i="34" s="1"/>
  <c r="U192" i="29"/>
  <c r="U197" s="1"/>
  <c r="U38"/>
  <c r="U49"/>
  <c r="AA68" i="34" s="1"/>
  <c r="U46" i="29"/>
  <c r="AA65" i="34" s="1"/>
  <c r="U48" i="29"/>
  <c r="AA67" i="34" s="1"/>
  <c r="AA28" i="17"/>
  <c r="G86" i="31"/>
  <c r="M188" i="34" s="1"/>
  <c r="G93" i="31"/>
  <c r="M195" i="34" s="1"/>
  <c r="G94" i="31"/>
  <c r="M196" i="34" s="1"/>
  <c r="G81" i="31"/>
  <c r="G95"/>
  <c r="M197" i="34" s="1"/>
  <c r="G88" i="31"/>
  <c r="M190" i="34" s="1"/>
  <c r="G83" i="31"/>
  <c r="M185" i="34" s="1"/>
  <c r="G84" i="31"/>
  <c r="M186" i="34" s="1"/>
  <c r="G92" i="31"/>
  <c r="M194" i="34" s="1"/>
  <c r="G85" i="31"/>
  <c r="M187" i="34" s="1"/>
  <c r="G89" i="31"/>
  <c r="M191" i="34" s="1"/>
  <c r="G82" i="31"/>
  <c r="M184" i="34" s="1"/>
  <c r="G90" i="31"/>
  <c r="M192" i="34" s="1"/>
  <c r="G91" i="31"/>
  <c r="M193" i="34" s="1"/>
  <c r="G87" i="31"/>
  <c r="M189" i="34" s="1"/>
  <c r="G65" i="31"/>
  <c r="E90" i="18"/>
  <c r="E95"/>
  <c r="E89"/>
  <c r="E91"/>
  <c r="E82"/>
  <c r="E87"/>
  <c r="E83"/>
  <c r="E69"/>
  <c r="E84"/>
  <c r="E81"/>
  <c r="E86"/>
  <c r="E93"/>
  <c r="E88"/>
  <c r="E85"/>
  <c r="E94"/>
  <c r="E92"/>
  <c r="E65"/>
  <c r="K45" i="29"/>
  <c r="Q64" i="34" s="1"/>
  <c r="K52" i="29"/>
  <c r="Q71" i="34" s="1"/>
  <c r="K50" i="29"/>
  <c r="Q69" i="34" s="1"/>
  <c r="K56" i="29"/>
  <c r="Q75" i="34" s="1"/>
  <c r="K57" i="29"/>
  <c r="Q76" i="34" s="1"/>
  <c r="K51" i="29"/>
  <c r="Q70" i="34" s="1"/>
  <c r="K58" i="29"/>
  <c r="Q77" i="34" s="1"/>
  <c r="K46" i="29"/>
  <c r="Q65" i="34" s="1"/>
  <c r="K44" i="29"/>
  <c r="K55"/>
  <c r="Q74" i="34" s="1"/>
  <c r="K49" i="29"/>
  <c r="Q68" i="34" s="1"/>
  <c r="K38" i="29"/>
  <c r="K53"/>
  <c r="Q72" i="34" s="1"/>
  <c r="K48" i="29"/>
  <c r="Q67" i="34" s="1"/>
  <c r="K192" i="29"/>
  <c r="K47"/>
  <c r="Q66" i="34" s="1"/>
  <c r="K54" i="29"/>
  <c r="Q73" i="34" s="1"/>
  <c r="J51" i="17"/>
  <c r="P10" i="34" s="1"/>
  <c r="J55" i="17"/>
  <c r="P14" i="34" s="1"/>
  <c r="J49" i="17"/>
  <c r="P8" i="34" s="1"/>
  <c r="J50" i="17"/>
  <c r="P9" i="34" s="1"/>
  <c r="J54" i="17"/>
  <c r="P13" i="34" s="1"/>
  <c r="J52" i="17"/>
  <c r="P11" i="34" s="1"/>
  <c r="J38" i="17"/>
  <c r="J46"/>
  <c r="P5" i="34" s="1"/>
  <c r="J56" i="17"/>
  <c r="P15" i="34" s="1"/>
  <c r="J45" i="17"/>
  <c r="P4" i="34" s="1"/>
  <c r="J53" i="17"/>
  <c r="P12" i="34" s="1"/>
  <c r="J44" i="17"/>
  <c r="J192"/>
  <c r="J197" s="1"/>
  <c r="J48"/>
  <c r="P7" i="34" s="1"/>
  <c r="J47" i="17"/>
  <c r="P6" i="34" s="1"/>
  <c r="J58" i="17"/>
  <c r="P17" i="34" s="1"/>
  <c r="J57" i="17"/>
  <c r="P16" i="34" s="1"/>
  <c r="R90" i="18"/>
  <c r="X132" i="34" s="1"/>
  <c r="R92" i="18"/>
  <c r="X134" i="34" s="1"/>
  <c r="R85" i="18"/>
  <c r="X127" i="34" s="1"/>
  <c r="R94" i="18"/>
  <c r="X136" i="34" s="1"/>
  <c r="R95" i="18"/>
  <c r="X137" i="34" s="1"/>
  <c r="R89" i="18"/>
  <c r="X131" i="34" s="1"/>
  <c r="R84" i="18"/>
  <c r="X126" i="34" s="1"/>
  <c r="R83" i="18"/>
  <c r="X125" i="34" s="1"/>
  <c r="R91" i="18"/>
  <c r="X133" i="34" s="1"/>
  <c r="R86" i="18"/>
  <c r="X128" i="34" s="1"/>
  <c r="R82" i="18"/>
  <c r="X124" i="34" s="1"/>
  <c r="R88" i="18"/>
  <c r="X130" i="34" s="1"/>
  <c r="R87" i="18"/>
  <c r="X129" i="34" s="1"/>
  <c r="R93" i="18"/>
  <c r="X135" i="34" s="1"/>
  <c r="R65" i="18"/>
  <c r="R81"/>
  <c r="G95"/>
  <c r="M137" i="34" s="1"/>
  <c r="G87" i="18"/>
  <c r="M129" i="34" s="1"/>
  <c r="G91" i="18"/>
  <c r="M133" i="34" s="1"/>
  <c r="G82" i="18"/>
  <c r="M124" i="34" s="1"/>
  <c r="G94" i="18"/>
  <c r="M136" i="34" s="1"/>
  <c r="G89" i="18"/>
  <c r="M131" i="34" s="1"/>
  <c r="G65" i="18"/>
  <c r="G81"/>
  <c r="G86"/>
  <c r="M128" i="34" s="1"/>
  <c r="G92" i="18"/>
  <c r="M134" i="34" s="1"/>
  <c r="G85" i="18"/>
  <c r="M127" i="34" s="1"/>
  <c r="G93" i="18"/>
  <c r="M135" i="34" s="1"/>
  <c r="G84" i="18"/>
  <c r="M126" i="34" s="1"/>
  <c r="G88" i="18"/>
  <c r="M130" i="34" s="1"/>
  <c r="G90" i="18"/>
  <c r="M132" i="34" s="1"/>
  <c r="G83" i="18"/>
  <c r="M125" i="34" s="1"/>
  <c r="N192" i="29"/>
  <c r="N45"/>
  <c r="T64" i="34" s="1"/>
  <c r="N44" i="29"/>
  <c r="N47"/>
  <c r="T66" i="34" s="1"/>
  <c r="N46" i="29"/>
  <c r="T65" i="34" s="1"/>
  <c r="N49" i="29"/>
  <c r="T68" i="34" s="1"/>
  <c r="N48" i="29"/>
  <c r="T67" i="34" s="1"/>
  <c r="N53" i="29"/>
  <c r="T72" i="34" s="1"/>
  <c r="N50" i="29"/>
  <c r="T69" i="34" s="1"/>
  <c r="N54" i="29"/>
  <c r="T73" i="34" s="1"/>
  <c r="N56" i="29"/>
  <c r="T75" i="34" s="1"/>
  <c r="N51" i="29"/>
  <c r="T70" i="34" s="1"/>
  <c r="N58" i="29"/>
  <c r="T77" i="34" s="1"/>
  <c r="N55" i="29"/>
  <c r="T74" i="34" s="1"/>
  <c r="N57" i="29"/>
  <c r="T76" i="34" s="1"/>
  <c r="N52" i="29"/>
  <c r="T71" i="34" s="1"/>
  <c r="N38" i="29"/>
  <c r="E93" i="31"/>
  <c r="E88"/>
  <c r="E87"/>
  <c r="E83"/>
  <c r="E69"/>
  <c r="E84"/>
  <c r="E85"/>
  <c r="E82"/>
  <c r="E94"/>
  <c r="E92"/>
  <c r="E89"/>
  <c r="E91"/>
  <c r="E81"/>
  <c r="E90"/>
  <c r="E95"/>
  <c r="E86"/>
  <c r="E65"/>
  <c r="F45" i="17"/>
  <c r="L4" i="34" s="1"/>
  <c r="F48" i="17"/>
  <c r="L7" i="34" s="1"/>
  <c r="F57" i="17"/>
  <c r="L16" i="34" s="1"/>
  <c r="F49" i="17"/>
  <c r="L8" i="34" s="1"/>
  <c r="F50" i="17"/>
  <c r="L9" i="34" s="1"/>
  <c r="F52" i="17"/>
  <c r="L11" i="34" s="1"/>
  <c r="F46" i="17"/>
  <c r="L5" i="34" s="1"/>
  <c r="F47" i="17"/>
  <c r="L6" i="34" s="1"/>
  <c r="F51" i="17"/>
  <c r="L10" i="34" s="1"/>
  <c r="F38" i="17"/>
  <c r="F58"/>
  <c r="L17" i="34" s="1"/>
  <c r="F192" i="17"/>
  <c r="F197" s="1"/>
  <c r="F54"/>
  <c r="L13" i="34" s="1"/>
  <c r="F55" i="17"/>
  <c r="L14" i="34" s="1"/>
  <c r="F53" i="17"/>
  <c r="L12" i="34" s="1"/>
  <c r="F44" i="17"/>
  <c r="F56"/>
  <c r="L15" i="34" s="1"/>
  <c r="T52" i="17"/>
  <c r="Z11" i="34" s="1"/>
  <c r="T44" i="17"/>
  <c r="T47"/>
  <c r="Z6" i="34" s="1"/>
  <c r="T55" i="17"/>
  <c r="Z14" i="34" s="1"/>
  <c r="T53" i="17"/>
  <c r="Z12" i="34" s="1"/>
  <c r="T57" i="17"/>
  <c r="Z16" i="34" s="1"/>
  <c r="T45" i="17"/>
  <c r="Z4" i="34" s="1"/>
  <c r="T38" i="17"/>
  <c r="T50"/>
  <c r="Z9" i="34" s="1"/>
  <c r="T56" i="17"/>
  <c r="Z15" i="34" s="1"/>
  <c r="T51" i="17"/>
  <c r="Z10" i="34" s="1"/>
  <c r="T49" i="17"/>
  <c r="Z8" i="34" s="1"/>
  <c r="T48" i="17"/>
  <c r="Z7" i="34" s="1"/>
  <c r="T54" i="17"/>
  <c r="Z13" i="34" s="1"/>
  <c r="T46" i="17"/>
  <c r="Z5" i="34" s="1"/>
  <c r="T192" i="17"/>
  <c r="T197" s="1"/>
  <c r="T58"/>
  <c r="Z17" i="34" s="1"/>
  <c r="Y160" i="18"/>
  <c r="Y178"/>
  <c r="Y162"/>
  <c r="Y169"/>
  <c r="Y176"/>
  <c r="Y174"/>
  <c r="Y161"/>
  <c r="Y165"/>
  <c r="Y171"/>
  <c r="Y158"/>
  <c r="Y173"/>
  <c r="Y157"/>
  <c r="Y164"/>
  <c r="Y166"/>
  <c r="Y177"/>
  <c r="Y142"/>
  <c r="Y148"/>
  <c r="Y185" s="1"/>
  <c r="AE123" i="34"/>
  <c r="Y150" i="18"/>
  <c r="Y175"/>
  <c r="Y152"/>
  <c r="Y156"/>
  <c r="Y163"/>
  <c r="Y200" s="1"/>
  <c r="Y179"/>
  <c r="Y149"/>
  <c r="Y167"/>
  <c r="Y204" s="1"/>
  <c r="Y155"/>
  <c r="Y153"/>
  <c r="Y172"/>
  <c r="Y209" s="1"/>
  <c r="Y154"/>
  <c r="Y159"/>
  <c r="Y168"/>
  <c r="Y151"/>
  <c r="Y170"/>
  <c r="P47" i="17"/>
  <c r="V6" i="34" s="1"/>
  <c r="P49" i="17"/>
  <c r="V8" i="34" s="1"/>
  <c r="P48" i="17"/>
  <c r="V7" i="34" s="1"/>
  <c r="P44" i="17"/>
  <c r="P56"/>
  <c r="V15" i="34" s="1"/>
  <c r="P51" i="17"/>
  <c r="V10" i="34" s="1"/>
  <c r="P54" i="17"/>
  <c r="V13" i="34" s="1"/>
  <c r="P46" i="17"/>
  <c r="V5" i="34" s="1"/>
  <c r="P45" i="17"/>
  <c r="V4" i="34" s="1"/>
  <c r="P52" i="17"/>
  <c r="V11" i="34" s="1"/>
  <c r="P50" i="17"/>
  <c r="V9" i="34" s="1"/>
  <c r="P192" i="17"/>
  <c r="P197" s="1"/>
  <c r="P58"/>
  <c r="V17" i="34" s="1"/>
  <c r="P38" i="17"/>
  <c r="P53"/>
  <c r="V12" i="34" s="1"/>
  <c r="P55" i="17"/>
  <c r="V14" i="34" s="1"/>
  <c r="P57" i="17"/>
  <c r="V16" i="34" s="1"/>
  <c r="L38" i="29"/>
  <c r="L48"/>
  <c r="R67" i="34" s="1"/>
  <c r="L50" i="29"/>
  <c r="R69" i="34" s="1"/>
  <c r="L56" i="29"/>
  <c r="R75" i="34" s="1"/>
  <c r="L49" i="29"/>
  <c r="R68" i="34" s="1"/>
  <c r="L51" i="29"/>
  <c r="R70" i="34" s="1"/>
  <c r="L52" i="29"/>
  <c r="R71" i="34" s="1"/>
  <c r="L47" i="29"/>
  <c r="R66" i="34" s="1"/>
  <c r="L58" i="29"/>
  <c r="R77" i="34" s="1"/>
  <c r="L46" i="29"/>
  <c r="R65" i="34" s="1"/>
  <c r="L53" i="29"/>
  <c r="R72" i="34" s="1"/>
  <c r="L55" i="29"/>
  <c r="R74" i="34" s="1"/>
  <c r="L54" i="29"/>
  <c r="R73" i="34" s="1"/>
  <c r="L57" i="29"/>
  <c r="R76" i="34" s="1"/>
  <c r="L45" i="29"/>
  <c r="R64" i="34" s="1"/>
  <c r="L44" i="29"/>
  <c r="L192"/>
  <c r="L85" i="31"/>
  <c r="R187" i="34" s="1"/>
  <c r="L84" i="31"/>
  <c r="R186" i="34" s="1"/>
  <c r="L88" i="31"/>
  <c r="R190" i="34" s="1"/>
  <c r="L82" i="31"/>
  <c r="R184" i="34" s="1"/>
  <c r="L95" i="31"/>
  <c r="R197" i="34" s="1"/>
  <c r="L93" i="31"/>
  <c r="R195" i="34" s="1"/>
  <c r="L86" i="31"/>
  <c r="R188" i="34" s="1"/>
  <c r="L83" i="31"/>
  <c r="R185" i="34" s="1"/>
  <c r="L94" i="31"/>
  <c r="R196" i="34" s="1"/>
  <c r="L90" i="31"/>
  <c r="R192" i="34" s="1"/>
  <c r="L92" i="31"/>
  <c r="R194" i="34" s="1"/>
  <c r="L87" i="31"/>
  <c r="R189" i="34" s="1"/>
  <c r="L81" i="31"/>
  <c r="L89"/>
  <c r="R191" i="34" s="1"/>
  <c r="L91" i="31"/>
  <c r="R193" i="34" s="1"/>
  <c r="L65" i="31"/>
  <c r="X58" i="29"/>
  <c r="AD77" i="34" s="1"/>
  <c r="X48" i="29"/>
  <c r="AD67" i="34" s="1"/>
  <c r="X44" i="29"/>
  <c r="X55"/>
  <c r="AD74" i="34" s="1"/>
  <c r="X192" i="29"/>
  <c r="X197" s="1"/>
  <c r="X53"/>
  <c r="AD72" i="34" s="1"/>
  <c r="X49" i="29"/>
  <c r="AD68" i="34" s="1"/>
  <c r="X56" i="29"/>
  <c r="AD75" i="34" s="1"/>
  <c r="X47" i="29"/>
  <c r="AD66" i="34" s="1"/>
  <c r="X51" i="29"/>
  <c r="AD70" i="34" s="1"/>
  <c r="X45" i="29"/>
  <c r="AD64" i="34" s="1"/>
  <c r="X54" i="29"/>
  <c r="AD73" i="34" s="1"/>
  <c r="X46" i="29"/>
  <c r="AD65" i="34" s="1"/>
  <c r="X50" i="29"/>
  <c r="AD69" i="34" s="1"/>
  <c r="X57" i="29"/>
  <c r="AD76" i="34" s="1"/>
  <c r="X38" i="29"/>
  <c r="X52"/>
  <c r="AD71" i="34" s="1"/>
  <c r="K95" i="31"/>
  <c r="Q197" i="34" s="1"/>
  <c r="K90" i="31"/>
  <c r="Q192" i="34" s="1"/>
  <c r="K91" i="31"/>
  <c r="Q193" i="34" s="1"/>
  <c r="K93" i="31"/>
  <c r="Q195" i="34" s="1"/>
  <c r="K86" i="31"/>
  <c r="Q188" i="34" s="1"/>
  <c r="K92" i="31"/>
  <c r="Q194" i="34" s="1"/>
  <c r="K65" i="31"/>
  <c r="K85"/>
  <c r="Q187" i="34" s="1"/>
  <c r="K87" i="31"/>
  <c r="Q189" i="34" s="1"/>
  <c r="K89" i="31"/>
  <c r="Q191" i="34" s="1"/>
  <c r="K82" i="31"/>
  <c r="Q184" i="34" s="1"/>
  <c r="K83" i="31"/>
  <c r="Q185" i="34" s="1"/>
  <c r="K81" i="31"/>
  <c r="K88"/>
  <c r="Q190" i="34" s="1"/>
  <c r="K94" i="31"/>
  <c r="Q196" i="34" s="1"/>
  <c r="K84" i="31"/>
  <c r="Q186" i="34" s="1"/>
  <c r="F93" i="18"/>
  <c r="L135" i="34" s="1"/>
  <c r="F91" i="18"/>
  <c r="L133" i="34" s="1"/>
  <c r="F83" i="18"/>
  <c r="L125" i="34" s="1"/>
  <c r="F90" i="18"/>
  <c r="L132" i="34" s="1"/>
  <c r="F86" i="18"/>
  <c r="L128" i="34" s="1"/>
  <c r="F81" i="18"/>
  <c r="F84"/>
  <c r="L126" i="34" s="1"/>
  <c r="F92" i="18"/>
  <c r="L134" i="34" s="1"/>
  <c r="F95" i="18"/>
  <c r="L137" i="34" s="1"/>
  <c r="F85" i="18"/>
  <c r="L127" i="34" s="1"/>
  <c r="F88" i="18"/>
  <c r="L130" i="34" s="1"/>
  <c r="F82" i="18"/>
  <c r="L124" i="34" s="1"/>
  <c r="F94" i="18"/>
  <c r="L136" i="34" s="1"/>
  <c r="F87" i="18"/>
  <c r="L129" i="34" s="1"/>
  <c r="F65" i="18"/>
  <c r="F89"/>
  <c r="L131" i="34" s="1"/>
  <c r="J94" i="18"/>
  <c r="P136" i="34" s="1"/>
  <c r="J90" i="18"/>
  <c r="P132" i="34" s="1"/>
  <c r="J84" i="18"/>
  <c r="P126" i="34" s="1"/>
  <c r="J83" i="18"/>
  <c r="P125" i="34" s="1"/>
  <c r="J82" i="18"/>
  <c r="P124" i="34" s="1"/>
  <c r="J89" i="18"/>
  <c r="P131" i="34" s="1"/>
  <c r="J81" i="18"/>
  <c r="J86"/>
  <c r="P128" i="34" s="1"/>
  <c r="J87" i="18"/>
  <c r="P129" i="34" s="1"/>
  <c r="J85" i="18"/>
  <c r="P127" i="34" s="1"/>
  <c r="J92" i="18"/>
  <c r="P134" i="34" s="1"/>
  <c r="J91" i="18"/>
  <c r="P133" i="34" s="1"/>
  <c r="J93" i="18"/>
  <c r="P135" i="34" s="1"/>
  <c r="J95" i="18"/>
  <c r="P137" i="34" s="1"/>
  <c r="J88" i="18"/>
  <c r="P130" i="34" s="1"/>
  <c r="J65" i="18"/>
  <c r="R55" i="29"/>
  <c r="X74" i="34" s="1"/>
  <c r="R51" i="29"/>
  <c r="X70" i="34" s="1"/>
  <c r="R56" i="29"/>
  <c r="X75" i="34" s="1"/>
  <c r="R58" i="29"/>
  <c r="X77" i="34" s="1"/>
  <c r="R192" i="29"/>
  <c r="R197" s="1"/>
  <c r="R53"/>
  <c r="X72" i="34" s="1"/>
  <c r="R46" i="29"/>
  <c r="X65" i="34" s="1"/>
  <c r="R47" i="29"/>
  <c r="X66" i="34" s="1"/>
  <c r="R54" i="29"/>
  <c r="X73" i="34" s="1"/>
  <c r="R50" i="29"/>
  <c r="X69" i="34" s="1"/>
  <c r="R38" i="29"/>
  <c r="R44"/>
  <c r="R49"/>
  <c r="X68" i="34" s="1"/>
  <c r="R57" i="29"/>
  <c r="X76" i="34" s="1"/>
  <c r="R45" i="29"/>
  <c r="X64" i="34" s="1"/>
  <c r="R48" i="29"/>
  <c r="X67" i="34" s="1"/>
  <c r="R52" i="29"/>
  <c r="X71" i="34" s="1"/>
  <c r="N45" i="17"/>
  <c r="T4" i="34" s="1"/>
  <c r="N51" i="17"/>
  <c r="T10" i="34" s="1"/>
  <c r="N52" i="17"/>
  <c r="T11" i="34" s="1"/>
  <c r="N47" i="17"/>
  <c r="T6" i="34" s="1"/>
  <c r="N55" i="17"/>
  <c r="T14" i="34" s="1"/>
  <c r="N50" i="17"/>
  <c r="T9" i="34" s="1"/>
  <c r="N58" i="17"/>
  <c r="T17" i="34" s="1"/>
  <c r="N44" i="17"/>
  <c r="N54"/>
  <c r="T13" i="34" s="1"/>
  <c r="N53" i="17"/>
  <c r="T12" i="34" s="1"/>
  <c r="N49" i="17"/>
  <c r="T8" i="34" s="1"/>
  <c r="N38" i="17"/>
  <c r="N192"/>
  <c r="N197" s="1"/>
  <c r="N46"/>
  <c r="T5" i="34" s="1"/>
  <c r="N57" i="17"/>
  <c r="T16" i="34" s="1"/>
  <c r="N48" i="17"/>
  <c r="T7" i="34" s="1"/>
  <c r="N56" i="17"/>
  <c r="T15" i="34" s="1"/>
  <c r="W44" i="17"/>
  <c r="W192"/>
  <c r="W197" s="1"/>
  <c r="W49"/>
  <c r="AC8" i="34" s="1"/>
  <c r="W38" i="17"/>
  <c r="W46"/>
  <c r="AC5" i="34" s="1"/>
  <c r="W55" i="17"/>
  <c r="AC14" i="34" s="1"/>
  <c r="W57" i="17"/>
  <c r="AC16" i="34" s="1"/>
  <c r="W51" i="17"/>
  <c r="AC10" i="34" s="1"/>
  <c r="W53" i="17"/>
  <c r="AC12" i="34" s="1"/>
  <c r="W58" i="17"/>
  <c r="AC17" i="34" s="1"/>
  <c r="W52" i="17"/>
  <c r="AC11" i="34" s="1"/>
  <c r="W56" i="17"/>
  <c r="AC15" i="34" s="1"/>
  <c r="W54" i="17"/>
  <c r="AC13" i="34" s="1"/>
  <c r="W50" i="17"/>
  <c r="AC9" i="34" s="1"/>
  <c r="W48" i="17"/>
  <c r="AC7" i="34" s="1"/>
  <c r="W47" i="17"/>
  <c r="AC6" i="34" s="1"/>
  <c r="W45" i="17"/>
  <c r="AC4" i="34" s="1"/>
  <c r="T90" i="18"/>
  <c r="Z132" i="34" s="1"/>
  <c r="T91" i="18"/>
  <c r="Z133" i="34" s="1"/>
  <c r="T93" i="18"/>
  <c r="Z135" i="34" s="1"/>
  <c r="T92" i="18"/>
  <c r="Z134" i="34" s="1"/>
  <c r="T82" i="18"/>
  <c r="Z124" i="34" s="1"/>
  <c r="T95" i="18"/>
  <c r="Z137" i="34" s="1"/>
  <c r="T89" i="18"/>
  <c r="Z131" i="34" s="1"/>
  <c r="T87" i="18"/>
  <c r="Z129" i="34" s="1"/>
  <c r="T81" i="18"/>
  <c r="T84"/>
  <c r="Z126" i="34" s="1"/>
  <c r="T94" i="18"/>
  <c r="Z136" i="34" s="1"/>
  <c r="T83" i="18"/>
  <c r="Z125" i="34" s="1"/>
  <c r="T86" i="18"/>
  <c r="Z128" i="34" s="1"/>
  <c r="T88" i="18"/>
  <c r="Z130" i="34" s="1"/>
  <c r="T85" i="18"/>
  <c r="Z127" i="34" s="1"/>
  <c r="T65" i="18"/>
  <c r="O44" i="29"/>
  <c r="O45"/>
  <c r="U64" i="34" s="1"/>
  <c r="O57" i="29"/>
  <c r="U76" i="34" s="1"/>
  <c r="O58" i="29"/>
  <c r="U77" i="34" s="1"/>
  <c r="O52" i="29"/>
  <c r="U71" i="34" s="1"/>
  <c r="O56" i="29"/>
  <c r="U75" i="34" s="1"/>
  <c r="O51" i="29"/>
  <c r="U70" i="34" s="1"/>
  <c r="O38" i="29"/>
  <c r="O192"/>
  <c r="O49"/>
  <c r="U68" i="34" s="1"/>
  <c r="O46" i="29"/>
  <c r="U65" i="34" s="1"/>
  <c r="O55" i="29"/>
  <c r="U74" i="34" s="1"/>
  <c r="O50" i="29"/>
  <c r="U69" i="34" s="1"/>
  <c r="O47" i="29"/>
  <c r="U66" i="34" s="1"/>
  <c r="O54" i="29"/>
  <c r="U73" i="34" s="1"/>
  <c r="O48" i="29"/>
  <c r="U67" i="34" s="1"/>
  <c r="O53" i="29"/>
  <c r="U72" i="34" s="1"/>
  <c r="G58" i="17"/>
  <c r="M17" i="34" s="1"/>
  <c r="G46" i="17"/>
  <c r="M5" i="34" s="1"/>
  <c r="G56" i="17"/>
  <c r="M15" i="34" s="1"/>
  <c r="G57" i="17"/>
  <c r="M16" i="34" s="1"/>
  <c r="G38" i="17"/>
  <c r="G192"/>
  <c r="G197" s="1"/>
  <c r="G49"/>
  <c r="M8" i="34" s="1"/>
  <c r="G55" i="17"/>
  <c r="M14" i="34" s="1"/>
  <c r="G47" i="17"/>
  <c r="M6" i="34" s="1"/>
  <c r="G52" i="17"/>
  <c r="M11" i="34" s="1"/>
  <c r="G45" i="17"/>
  <c r="M4" i="34" s="1"/>
  <c r="G44" i="17"/>
  <c r="G51"/>
  <c r="M10" i="34" s="1"/>
  <c r="G50" i="17"/>
  <c r="M9" i="34" s="1"/>
  <c r="G53" i="17"/>
  <c r="M12" i="34" s="1"/>
  <c r="G48" i="17"/>
  <c r="M7" i="34" s="1"/>
  <c r="G54" i="17"/>
  <c r="M13" i="34" s="1"/>
  <c r="I56" i="17"/>
  <c r="O15" i="34" s="1"/>
  <c r="I49" i="17"/>
  <c r="O8" i="34" s="1"/>
  <c r="I44" i="17"/>
  <c r="I48"/>
  <c r="O7" i="34" s="1"/>
  <c r="I54" i="17"/>
  <c r="O13" i="34" s="1"/>
  <c r="I38" i="17"/>
  <c r="I58"/>
  <c r="O17" i="34" s="1"/>
  <c r="I50" i="17"/>
  <c r="O9" i="34" s="1"/>
  <c r="I57" i="17"/>
  <c r="O16" i="34" s="1"/>
  <c r="I46" i="17"/>
  <c r="O5" i="34" s="1"/>
  <c r="I45" i="17"/>
  <c r="O4" i="34" s="1"/>
  <c r="I51" i="17"/>
  <c r="O10" i="34" s="1"/>
  <c r="I52" i="17"/>
  <c r="O11" i="34" s="1"/>
  <c r="I55" i="17"/>
  <c r="O14" i="34" s="1"/>
  <c r="I192" i="17"/>
  <c r="I197" s="1"/>
  <c r="I53"/>
  <c r="O12" i="34" s="1"/>
  <c r="I47" i="17"/>
  <c r="O6" i="34" s="1"/>
  <c r="V44" i="17"/>
  <c r="V50"/>
  <c r="AB9" i="34" s="1"/>
  <c r="V48" i="17"/>
  <c r="AB7" i="34" s="1"/>
  <c r="V56" i="17"/>
  <c r="AB15" i="34" s="1"/>
  <c r="V55" i="17"/>
  <c r="AB14" i="34" s="1"/>
  <c r="V38" i="17"/>
  <c r="V46"/>
  <c r="AB5" i="34" s="1"/>
  <c r="V49" i="17"/>
  <c r="AB8" i="34" s="1"/>
  <c r="V57" i="17"/>
  <c r="AB16" i="34" s="1"/>
  <c r="V52" i="17"/>
  <c r="AB11" i="34" s="1"/>
  <c r="V58" i="17"/>
  <c r="AB17" i="34" s="1"/>
  <c r="V54" i="17"/>
  <c r="AB13" i="34" s="1"/>
  <c r="V47" i="17"/>
  <c r="AB6" i="34" s="1"/>
  <c r="V45" i="17"/>
  <c r="AB4" i="34" s="1"/>
  <c r="V192" i="17"/>
  <c r="V197" s="1"/>
  <c r="V51"/>
  <c r="AB10" i="34" s="1"/>
  <c r="V53" i="17"/>
  <c r="AB12" i="34" s="1"/>
  <c r="F51" i="29"/>
  <c r="L70" i="34" s="1"/>
  <c r="F49" i="29"/>
  <c r="L68" i="34" s="1"/>
  <c r="F56" i="29"/>
  <c r="L75" i="34" s="1"/>
  <c r="F58" i="29"/>
  <c r="L77" i="34" s="1"/>
  <c r="F192" i="29"/>
  <c r="F46"/>
  <c r="L65" i="34" s="1"/>
  <c r="F38" i="29"/>
  <c r="F44"/>
  <c r="F54"/>
  <c r="L73" i="34" s="1"/>
  <c r="F50" i="29"/>
  <c r="L69" i="34" s="1"/>
  <c r="F52" i="29"/>
  <c r="L71" i="34" s="1"/>
  <c r="F57" i="29"/>
  <c r="L76" i="34" s="1"/>
  <c r="F45" i="29"/>
  <c r="L64" i="34" s="1"/>
  <c r="F55" i="29"/>
  <c r="L74" i="34" s="1"/>
  <c r="F47" i="29"/>
  <c r="L66" i="34" s="1"/>
  <c r="F53" i="29"/>
  <c r="L72" i="34" s="1"/>
  <c r="F48" i="29"/>
  <c r="L67" i="34" s="1"/>
  <c r="F81" i="31"/>
  <c r="F84"/>
  <c r="L186" i="34" s="1"/>
  <c r="F90" i="31"/>
  <c r="L192" i="34" s="1"/>
  <c r="F88" i="31"/>
  <c r="L190" i="34" s="1"/>
  <c r="F87" i="31"/>
  <c r="L189" i="34" s="1"/>
  <c r="F92" i="31"/>
  <c r="L194" i="34" s="1"/>
  <c r="F82" i="31"/>
  <c r="L184" i="34" s="1"/>
  <c r="F83" i="31"/>
  <c r="L185" i="34" s="1"/>
  <c r="F85" i="31"/>
  <c r="L187" i="34" s="1"/>
  <c r="F65" i="31"/>
  <c r="F91"/>
  <c r="L193" i="34" s="1"/>
  <c r="F94" i="31"/>
  <c r="L196" i="34" s="1"/>
  <c r="F89" i="31"/>
  <c r="L191" i="34" s="1"/>
  <c r="F95" i="31"/>
  <c r="L197" i="34" s="1"/>
  <c r="F93" i="31"/>
  <c r="L195" i="34" s="1"/>
  <c r="F86" i="31"/>
  <c r="L188" i="34" s="1"/>
  <c r="M87" i="18"/>
  <c r="S129" i="34" s="1"/>
  <c r="M94" i="18"/>
  <c r="S136" i="34" s="1"/>
  <c r="M81" i="18"/>
  <c r="M88"/>
  <c r="S130" i="34" s="1"/>
  <c r="M91" i="18"/>
  <c r="S133" i="34" s="1"/>
  <c r="M83" i="18"/>
  <c r="S125" i="34" s="1"/>
  <c r="M86" i="18"/>
  <c r="S128" i="34" s="1"/>
  <c r="M92" i="18"/>
  <c r="S134" i="34" s="1"/>
  <c r="M93" i="18"/>
  <c r="S135" i="34" s="1"/>
  <c r="M82" i="18"/>
  <c r="S124" i="34" s="1"/>
  <c r="M89" i="18"/>
  <c r="S131" i="34" s="1"/>
  <c r="M90" i="18"/>
  <c r="S132" i="34" s="1"/>
  <c r="M85" i="18"/>
  <c r="S127" i="34" s="1"/>
  <c r="M95" i="18"/>
  <c r="S137" i="34" s="1"/>
  <c r="M84" i="18"/>
  <c r="S126" i="34" s="1"/>
  <c r="M65" i="18"/>
  <c r="I84"/>
  <c r="O126" i="34" s="1"/>
  <c r="I88" i="18"/>
  <c r="O130" i="34" s="1"/>
  <c r="I91" i="18"/>
  <c r="O133" i="34" s="1"/>
  <c r="I95" i="18"/>
  <c r="O137" i="34" s="1"/>
  <c r="I90" i="18"/>
  <c r="O132" i="34" s="1"/>
  <c r="I87" i="18"/>
  <c r="O129" i="34" s="1"/>
  <c r="I82" i="18"/>
  <c r="O124" i="34" s="1"/>
  <c r="I65" i="18"/>
  <c r="I86"/>
  <c r="O128" i="34" s="1"/>
  <c r="I89" i="18"/>
  <c r="O131" i="34" s="1"/>
  <c r="I83" i="18"/>
  <c r="O125" i="34" s="1"/>
  <c r="I81" i="18"/>
  <c r="I85"/>
  <c r="O127" i="34" s="1"/>
  <c r="I93" i="18"/>
  <c r="O135" i="34" s="1"/>
  <c r="I94" i="18"/>
  <c r="O136" i="34" s="1"/>
  <c r="I92" i="18"/>
  <c r="O134" i="34" s="1"/>
  <c r="Z56" i="18"/>
  <c r="AA28" i="29"/>
  <c r="AA133" i="18" l="1"/>
  <c r="AA127"/>
  <c r="AA123"/>
  <c r="AA129"/>
  <c r="K118" i="34"/>
  <c r="Y99" i="29"/>
  <c r="AE118" i="34" s="1"/>
  <c r="K53"/>
  <c r="Y94" i="17"/>
  <c r="AE53" i="34" s="1"/>
  <c r="Y93" i="17"/>
  <c r="AE52" i="34" s="1"/>
  <c r="K52"/>
  <c r="K60"/>
  <c r="Y101" i="17"/>
  <c r="AE60" i="34" s="1"/>
  <c r="S131" i="31"/>
  <c r="Y233" i="34" s="1"/>
  <c r="S134" i="31"/>
  <c r="Y236" i="34" s="1"/>
  <c r="S140" i="31"/>
  <c r="Y242" i="34" s="1"/>
  <c r="S129" i="31"/>
  <c r="Y231" i="34" s="1"/>
  <c r="S136" i="31"/>
  <c r="Y238" i="34" s="1"/>
  <c r="S126" i="31"/>
  <c r="Y228" i="34" s="1"/>
  <c r="S133" i="31"/>
  <c r="Y235" i="34" s="1"/>
  <c r="S137" i="31"/>
  <c r="Y239" i="34" s="1"/>
  <c r="S127" i="31"/>
  <c r="Y229" i="34" s="1"/>
  <c r="S139" i="31"/>
  <c r="Y241" i="34" s="1"/>
  <c r="S128" i="31"/>
  <c r="Y230" i="34" s="1"/>
  <c r="S135" i="31"/>
  <c r="Y237" i="34" s="1"/>
  <c r="S132" i="31"/>
  <c r="Y234" i="34" s="1"/>
  <c r="S138" i="31"/>
  <c r="Y240" i="34" s="1"/>
  <c r="S130" i="31"/>
  <c r="Y232" i="34" s="1"/>
  <c r="X130" i="31"/>
  <c r="AD232" i="34" s="1"/>
  <c r="X140" i="31"/>
  <c r="AD242" i="34" s="1"/>
  <c r="X133" i="31"/>
  <c r="AD235" i="34" s="1"/>
  <c r="X134" i="31"/>
  <c r="AD236" i="34" s="1"/>
  <c r="X127" i="31"/>
  <c r="AD229" i="34" s="1"/>
  <c r="X126" i="31"/>
  <c r="AD228" i="34" s="1"/>
  <c r="X131" i="31"/>
  <c r="AD233" i="34" s="1"/>
  <c r="X129" i="31"/>
  <c r="AD231" i="34" s="1"/>
  <c r="X139" i="31"/>
  <c r="AD241" i="34" s="1"/>
  <c r="X132" i="31"/>
  <c r="AD234" i="34" s="1"/>
  <c r="X135" i="31"/>
  <c r="AD237" i="34" s="1"/>
  <c r="X138" i="31"/>
  <c r="AD240" i="34" s="1"/>
  <c r="X136" i="31"/>
  <c r="AD238" i="34" s="1"/>
  <c r="X128" i="31"/>
  <c r="AD230" i="34" s="1"/>
  <c r="X137" i="31"/>
  <c r="AD239" i="34" s="1"/>
  <c r="K113"/>
  <c r="Y94" i="29"/>
  <c r="AE113" i="34" s="1"/>
  <c r="K112"/>
  <c r="Y93" i="29"/>
  <c r="AE112" i="34" s="1"/>
  <c r="Y100" i="17"/>
  <c r="AE59" i="34" s="1"/>
  <c r="K59"/>
  <c r="K48"/>
  <c r="Y89" i="17"/>
  <c r="AE48" i="34" s="1"/>
  <c r="M26" i="31"/>
  <c r="AA195" i="17"/>
  <c r="Y90"/>
  <c r="AE49" i="34" s="1"/>
  <c r="K49"/>
  <c r="N131" i="31"/>
  <c r="T233" i="34" s="1"/>
  <c r="N139" i="31"/>
  <c r="T241" i="34" s="1"/>
  <c r="N126" i="31"/>
  <c r="T228" i="34" s="1"/>
  <c r="N140" i="31"/>
  <c r="T242" i="34" s="1"/>
  <c r="N130" i="31"/>
  <c r="T232" i="34" s="1"/>
  <c r="N134" i="31"/>
  <c r="T236" i="34" s="1"/>
  <c r="N138" i="31"/>
  <c r="T240" i="34" s="1"/>
  <c r="N127" i="31"/>
  <c r="T229" i="34" s="1"/>
  <c r="N136" i="31"/>
  <c r="T238" i="34" s="1"/>
  <c r="N128" i="31"/>
  <c r="T230" i="34" s="1"/>
  <c r="N129" i="31"/>
  <c r="T231" i="34" s="1"/>
  <c r="N135" i="31"/>
  <c r="T237" i="34" s="1"/>
  <c r="N132" i="31"/>
  <c r="T234" i="34" s="1"/>
  <c r="N133" i="31"/>
  <c r="T235" i="34" s="1"/>
  <c r="N137" i="31"/>
  <c r="T239" i="34" s="1"/>
  <c r="R132" i="31"/>
  <c r="X234" i="34" s="1"/>
  <c r="R129" i="31"/>
  <c r="X231" i="34" s="1"/>
  <c r="R130" i="31"/>
  <c r="X232" i="34" s="1"/>
  <c r="R134" i="31"/>
  <c r="X236" i="34" s="1"/>
  <c r="R137" i="31"/>
  <c r="X239" i="34" s="1"/>
  <c r="R127" i="31"/>
  <c r="X229" i="34" s="1"/>
  <c r="R131" i="31"/>
  <c r="X233" i="34" s="1"/>
  <c r="R128" i="31"/>
  <c r="X230" i="34" s="1"/>
  <c r="R126" i="31"/>
  <c r="X228" i="34" s="1"/>
  <c r="R140" i="31"/>
  <c r="X242" i="34" s="1"/>
  <c r="R136" i="31"/>
  <c r="X238" i="34" s="1"/>
  <c r="R133" i="31"/>
  <c r="X235" i="34" s="1"/>
  <c r="R138" i="31"/>
  <c r="X240" i="34" s="1"/>
  <c r="R135" i="31"/>
  <c r="X237" i="34" s="1"/>
  <c r="R139" i="31"/>
  <c r="X241" i="34" s="1"/>
  <c r="U129" i="31"/>
  <c r="AA231" i="34" s="1"/>
  <c r="U128" i="31"/>
  <c r="AA230" i="34" s="1"/>
  <c r="U138" i="31"/>
  <c r="AA240" i="34" s="1"/>
  <c r="U132" i="31"/>
  <c r="AA234" i="34" s="1"/>
  <c r="U137" i="31"/>
  <c r="AA239" i="34" s="1"/>
  <c r="U136" i="31"/>
  <c r="AA238" i="34" s="1"/>
  <c r="U139" i="31"/>
  <c r="AA241" i="34" s="1"/>
  <c r="U127" i="31"/>
  <c r="AA229" i="34" s="1"/>
  <c r="U133" i="31"/>
  <c r="AA235" i="34" s="1"/>
  <c r="U130" i="31"/>
  <c r="AA232" i="34" s="1"/>
  <c r="U135" i="31"/>
  <c r="AA237" i="34" s="1"/>
  <c r="U140" i="31"/>
  <c r="AA242" i="34" s="1"/>
  <c r="U131" i="31"/>
  <c r="AA233" i="34" s="1"/>
  <c r="U126" i="31"/>
  <c r="AA228" i="34" s="1"/>
  <c r="U134" i="31"/>
  <c r="AA236" i="34" s="1"/>
  <c r="K110"/>
  <c r="Y91" i="29"/>
  <c r="AE110" i="34" s="1"/>
  <c r="K121"/>
  <c r="Y102" i="29"/>
  <c r="AE121" i="34" s="1"/>
  <c r="K122"/>
  <c r="Y103" i="29"/>
  <c r="AE122" i="34" s="1"/>
  <c r="P134" i="31"/>
  <c r="V236" i="34" s="1"/>
  <c r="P128" i="31"/>
  <c r="V230" i="34" s="1"/>
  <c r="P127" i="31"/>
  <c r="V229" i="34" s="1"/>
  <c r="P129" i="31"/>
  <c r="V231" i="34" s="1"/>
  <c r="P133" i="31"/>
  <c r="V235" i="34" s="1"/>
  <c r="P138" i="31"/>
  <c r="V240" i="34" s="1"/>
  <c r="P131" i="31"/>
  <c r="V233" i="34" s="1"/>
  <c r="P126" i="31"/>
  <c r="V228" i="34" s="1"/>
  <c r="P139" i="31"/>
  <c r="V241" i="34" s="1"/>
  <c r="P130" i="31"/>
  <c r="V232" i="34" s="1"/>
  <c r="P137" i="31"/>
  <c r="V239" i="34" s="1"/>
  <c r="P135" i="31"/>
  <c r="V237" i="34" s="1"/>
  <c r="P140" i="31"/>
  <c r="V242" i="34" s="1"/>
  <c r="P132" i="31"/>
  <c r="V234" i="34" s="1"/>
  <c r="P136" i="31"/>
  <c r="V238" i="34" s="1"/>
  <c r="K58"/>
  <c r="Y99" i="17"/>
  <c r="AE58" i="34" s="1"/>
  <c r="Y102" i="17"/>
  <c r="AE61" i="34" s="1"/>
  <c r="K61"/>
  <c r="Y98" i="17"/>
  <c r="AE57" i="34" s="1"/>
  <c r="K57"/>
  <c r="K50"/>
  <c r="Y91" i="17"/>
  <c r="AE50" i="34" s="1"/>
  <c r="Q137" i="31"/>
  <c r="W239" i="34" s="1"/>
  <c r="Q130" i="31"/>
  <c r="W232" i="34" s="1"/>
  <c r="Q131" i="31"/>
  <c r="W233" i="34" s="1"/>
  <c r="Q128" i="31"/>
  <c r="W230" i="34" s="1"/>
  <c r="Q132" i="31"/>
  <c r="W234" i="34" s="1"/>
  <c r="Q126" i="31"/>
  <c r="W228" i="34" s="1"/>
  <c r="Q138" i="31"/>
  <c r="W240" i="34" s="1"/>
  <c r="Q139" i="31"/>
  <c r="W241" i="34" s="1"/>
  <c r="Q136" i="31"/>
  <c r="W238" i="34" s="1"/>
  <c r="Q129" i="31"/>
  <c r="W231" i="34" s="1"/>
  <c r="Q133" i="31"/>
  <c r="W235" i="34" s="1"/>
  <c r="Q140" i="31"/>
  <c r="W242" i="34" s="1"/>
  <c r="Q127" i="31"/>
  <c r="W229" i="34" s="1"/>
  <c r="Q134" i="31"/>
  <c r="W236" i="34" s="1"/>
  <c r="Q135" i="31"/>
  <c r="W237" i="34" s="1"/>
  <c r="AA114" i="18"/>
  <c r="K116" i="34"/>
  <c r="Y97" i="29"/>
  <c r="AE116" i="34" s="1"/>
  <c r="K109"/>
  <c r="Y90" i="29"/>
  <c r="AE109" i="34" s="1"/>
  <c r="K115"/>
  <c r="Y96" i="29"/>
  <c r="AE115" i="34" s="1"/>
  <c r="V140" i="31"/>
  <c r="AB242" i="34" s="1"/>
  <c r="V138" i="31"/>
  <c r="AB240" i="34" s="1"/>
  <c r="V132" i="31"/>
  <c r="AB234" i="34" s="1"/>
  <c r="V129" i="31"/>
  <c r="AB231" i="34" s="1"/>
  <c r="V131" i="31"/>
  <c r="AB233" i="34" s="1"/>
  <c r="V127" i="31"/>
  <c r="AB229" i="34" s="1"/>
  <c r="V135" i="31"/>
  <c r="AB237" i="34" s="1"/>
  <c r="V133" i="31"/>
  <c r="AB235" i="34" s="1"/>
  <c r="V126" i="31"/>
  <c r="AB228" i="34" s="1"/>
  <c r="V137" i="31"/>
  <c r="AB239" i="34" s="1"/>
  <c r="V134" i="31"/>
  <c r="AB236" i="34" s="1"/>
  <c r="V139" i="31"/>
  <c r="AB241" i="34" s="1"/>
  <c r="V136" i="31"/>
  <c r="AB238" i="34" s="1"/>
  <c r="V130" i="31"/>
  <c r="AB232" i="34" s="1"/>
  <c r="V128" i="31"/>
  <c r="AB230" i="34" s="1"/>
  <c r="K55"/>
  <c r="Y96" i="17"/>
  <c r="AE55" i="34" s="1"/>
  <c r="K119"/>
  <c r="Y100" i="29"/>
  <c r="AE119" i="34" s="1"/>
  <c r="K114"/>
  <c r="Y95" i="29"/>
  <c r="AE114" i="34" s="1"/>
  <c r="K62"/>
  <c r="Y103" i="17"/>
  <c r="AE62" i="34" s="1"/>
  <c r="K120"/>
  <c r="Y101" i="29"/>
  <c r="AE120" i="34" s="1"/>
  <c r="K108"/>
  <c r="Y89" i="29"/>
  <c r="AE108" i="34" s="1"/>
  <c r="K111"/>
  <c r="Y92" i="29"/>
  <c r="AE111" i="34" s="1"/>
  <c r="K117"/>
  <c r="Y98" i="29"/>
  <c r="AE117" i="34" s="1"/>
  <c r="O138" i="31"/>
  <c r="U240" i="34" s="1"/>
  <c r="O137" i="31"/>
  <c r="U239" i="34" s="1"/>
  <c r="O134" i="31"/>
  <c r="U236" i="34" s="1"/>
  <c r="O140" i="31"/>
  <c r="U242" i="34" s="1"/>
  <c r="O129" i="31"/>
  <c r="U231" i="34" s="1"/>
  <c r="O132" i="31"/>
  <c r="U234" i="34" s="1"/>
  <c r="O131" i="31"/>
  <c r="U233" i="34" s="1"/>
  <c r="O130" i="31"/>
  <c r="U232" i="34" s="1"/>
  <c r="O139" i="31"/>
  <c r="U241" i="34" s="1"/>
  <c r="O133" i="31"/>
  <c r="U235" i="34" s="1"/>
  <c r="O127" i="31"/>
  <c r="U229" i="34" s="1"/>
  <c r="O126" i="31"/>
  <c r="U228" i="34" s="1"/>
  <c r="O136" i="31"/>
  <c r="U238" i="34" s="1"/>
  <c r="O135" i="31"/>
  <c r="U237" i="34" s="1"/>
  <c r="O128" i="31"/>
  <c r="U230" i="34" s="1"/>
  <c r="K51"/>
  <c r="Y92" i="17"/>
  <c r="AE51" i="34" s="1"/>
  <c r="K54"/>
  <c r="Y95" i="17"/>
  <c r="AE54" i="34" s="1"/>
  <c r="Y97" i="17"/>
  <c r="AE56" i="34" s="1"/>
  <c r="K56"/>
  <c r="T132" i="31"/>
  <c r="Z234" i="34" s="1"/>
  <c r="T127" i="31"/>
  <c r="Z229" i="34" s="1"/>
  <c r="T139" i="31"/>
  <c r="Z241" i="34" s="1"/>
  <c r="T140" i="31"/>
  <c r="Z242" i="34" s="1"/>
  <c r="T138" i="31"/>
  <c r="Z240" i="34" s="1"/>
  <c r="T126" i="31"/>
  <c r="Z228" i="34" s="1"/>
  <c r="T135" i="31"/>
  <c r="Z237" i="34" s="1"/>
  <c r="T130" i="31"/>
  <c r="Z232" i="34" s="1"/>
  <c r="T134" i="31"/>
  <c r="Z236" i="34" s="1"/>
  <c r="T131" i="31"/>
  <c r="Z233" i="34" s="1"/>
  <c r="T136" i="31"/>
  <c r="Z238" i="34" s="1"/>
  <c r="T129" i="31"/>
  <c r="Z231" i="34" s="1"/>
  <c r="T133" i="31"/>
  <c r="Z235" i="34" s="1"/>
  <c r="T137" i="31"/>
  <c r="Z239" i="34" s="1"/>
  <c r="T128" i="31"/>
  <c r="Z230" i="34" s="1"/>
  <c r="W129" i="31"/>
  <c r="AC231" i="34" s="1"/>
  <c r="W130" i="31"/>
  <c r="AC232" i="34" s="1"/>
  <c r="W128" i="31"/>
  <c r="AC230" i="34" s="1"/>
  <c r="W138" i="31"/>
  <c r="AC240" i="34" s="1"/>
  <c r="W135" i="31"/>
  <c r="AC237" i="34" s="1"/>
  <c r="W133" i="31"/>
  <c r="AC235" i="34" s="1"/>
  <c r="W126" i="31"/>
  <c r="AC228" i="34" s="1"/>
  <c r="W127" i="31"/>
  <c r="AC229" i="34" s="1"/>
  <c r="W137" i="31"/>
  <c r="AC239" i="34" s="1"/>
  <c r="W136" i="31"/>
  <c r="AC238" i="34" s="1"/>
  <c r="W140" i="31"/>
  <c r="AC242" i="34" s="1"/>
  <c r="W134" i="31"/>
  <c r="AC236" i="34" s="1"/>
  <c r="W139" i="31"/>
  <c r="AC241" i="34" s="1"/>
  <c r="W131" i="31"/>
  <c r="AC233" i="34" s="1"/>
  <c r="W132" i="31"/>
  <c r="AC234" i="34" s="1"/>
  <c r="AA135" i="18"/>
  <c r="AA138"/>
  <c r="AA137"/>
  <c r="AA136"/>
  <c r="Y186"/>
  <c r="AA120"/>
  <c r="AA112"/>
  <c r="AA124"/>
  <c r="AA118"/>
  <c r="AA116"/>
  <c r="K154" i="34"/>
  <c r="AA121" i="18"/>
  <c r="AA115"/>
  <c r="AA122"/>
  <c r="AA117"/>
  <c r="AA119"/>
  <c r="AA125"/>
  <c r="AA111"/>
  <c r="AA109"/>
  <c r="AA113"/>
  <c r="AA100"/>
  <c r="K34" i="34"/>
  <c r="Y75" i="17"/>
  <c r="AE34" i="34" s="1"/>
  <c r="M25" i="31"/>
  <c r="AA194" i="17"/>
  <c r="K92" i="34"/>
  <c r="Y73" i="29"/>
  <c r="AE92" i="34" s="1"/>
  <c r="K94"/>
  <c r="Y75" i="29"/>
  <c r="AE94" i="34" s="1"/>
  <c r="K47"/>
  <c r="Y88" i="17"/>
  <c r="AE47" i="34" s="1"/>
  <c r="K43"/>
  <c r="Y84" i="17"/>
  <c r="AE43" i="34" s="1"/>
  <c r="K40"/>
  <c r="Y81" i="17"/>
  <c r="AE40" i="34" s="1"/>
  <c r="Y83" i="17"/>
  <c r="AE42" i="34" s="1"/>
  <c r="K42"/>
  <c r="K36"/>
  <c r="Y77" i="17"/>
  <c r="AE36" i="34" s="1"/>
  <c r="K98"/>
  <c r="Y79" i="29"/>
  <c r="AE98" i="34" s="1"/>
  <c r="K101"/>
  <c r="Y82" i="29"/>
  <c r="AE101" i="34" s="1"/>
  <c r="K97"/>
  <c r="Y78" i="29"/>
  <c r="AE97" i="34" s="1"/>
  <c r="P122" i="31"/>
  <c r="V224" i="34" s="1"/>
  <c r="P118" i="31"/>
  <c r="V220" i="34" s="1"/>
  <c r="P115" i="31"/>
  <c r="V217" i="34" s="1"/>
  <c r="P123" i="31"/>
  <c r="V225" i="34" s="1"/>
  <c r="P114" i="31"/>
  <c r="V216" i="34" s="1"/>
  <c r="P112" i="31"/>
  <c r="V214" i="34" s="1"/>
  <c r="P119" i="31"/>
  <c r="V221" i="34" s="1"/>
  <c r="P111" i="31"/>
  <c r="V213" i="34" s="1"/>
  <c r="P113" i="31"/>
  <c r="V215" i="34" s="1"/>
  <c r="P124" i="31"/>
  <c r="V226" i="34" s="1"/>
  <c r="P116" i="31"/>
  <c r="V218" i="34" s="1"/>
  <c r="P117" i="31"/>
  <c r="V219" i="34" s="1"/>
  <c r="P120" i="31"/>
  <c r="V222" i="34" s="1"/>
  <c r="P125" i="31"/>
  <c r="V227" i="34" s="1"/>
  <c r="P121" i="31"/>
  <c r="V223" i="34" s="1"/>
  <c r="AA103" i="18"/>
  <c r="AA110"/>
  <c r="K44" i="34"/>
  <c r="Y85" i="17"/>
  <c r="AE44" i="34" s="1"/>
  <c r="K105"/>
  <c r="Y86" i="29"/>
  <c r="AE105" i="34" s="1"/>
  <c r="K93"/>
  <c r="Y74" i="29"/>
  <c r="AE93" i="34" s="1"/>
  <c r="Q114" i="31"/>
  <c r="W216" i="34" s="1"/>
  <c r="Q118" i="31"/>
  <c r="W220" i="34" s="1"/>
  <c r="Q123" i="31"/>
  <c r="W225" i="34" s="1"/>
  <c r="Q124" i="31"/>
  <c r="W226" i="34" s="1"/>
  <c r="Q119" i="31"/>
  <c r="W221" i="34" s="1"/>
  <c r="Q122" i="31"/>
  <c r="W224" i="34" s="1"/>
  <c r="Q117" i="31"/>
  <c r="W219" i="34" s="1"/>
  <c r="Q125" i="31"/>
  <c r="W227" i="34" s="1"/>
  <c r="Q112" i="31"/>
  <c r="W214" i="34" s="1"/>
  <c r="Q113" i="31"/>
  <c r="W215" i="34" s="1"/>
  <c r="Q121" i="31"/>
  <c r="W223" i="34" s="1"/>
  <c r="Q116" i="31"/>
  <c r="W218" i="34" s="1"/>
  <c r="Q120" i="31"/>
  <c r="W222" i="34" s="1"/>
  <c r="Q111" i="31"/>
  <c r="W213" i="34" s="1"/>
  <c r="Q115" i="31"/>
  <c r="W217" i="34" s="1"/>
  <c r="Y82" i="17"/>
  <c r="AE41" i="34" s="1"/>
  <c r="K41"/>
  <c r="K37"/>
  <c r="Y78" i="17"/>
  <c r="AE37" i="34" s="1"/>
  <c r="K46"/>
  <c r="Y87" i="17"/>
  <c r="AE46" i="34" s="1"/>
  <c r="Y79" i="17"/>
  <c r="AE38" i="34" s="1"/>
  <c r="K38"/>
  <c r="T124" i="31"/>
  <c r="Z226" i="34" s="1"/>
  <c r="T115" i="31"/>
  <c r="Z217" i="34" s="1"/>
  <c r="T111" i="31"/>
  <c r="Z213" i="34" s="1"/>
  <c r="T118" i="31"/>
  <c r="Z220" i="34" s="1"/>
  <c r="T113" i="31"/>
  <c r="Z215" i="34" s="1"/>
  <c r="T123" i="31"/>
  <c r="Z225" i="34" s="1"/>
  <c r="T125" i="31"/>
  <c r="Z227" i="34" s="1"/>
  <c r="T117" i="31"/>
  <c r="Z219" i="34" s="1"/>
  <c r="T122" i="31"/>
  <c r="Z224" i="34" s="1"/>
  <c r="T120" i="31"/>
  <c r="Z222" i="34" s="1"/>
  <c r="T121" i="31"/>
  <c r="Z223" i="34" s="1"/>
  <c r="T116" i="31"/>
  <c r="Z218" i="34" s="1"/>
  <c r="T114" i="31"/>
  <c r="Z216" i="34" s="1"/>
  <c r="T119" i="31"/>
  <c r="Z221" i="34" s="1"/>
  <c r="T112" i="31"/>
  <c r="Z214" i="34" s="1"/>
  <c r="V120" i="31"/>
  <c r="AB222" i="34" s="1"/>
  <c r="V116" i="31"/>
  <c r="AB218" i="34" s="1"/>
  <c r="V117" i="31"/>
  <c r="AB219" i="34" s="1"/>
  <c r="V115" i="31"/>
  <c r="AB217" i="34" s="1"/>
  <c r="V121" i="31"/>
  <c r="AB223" i="34" s="1"/>
  <c r="V118" i="31"/>
  <c r="AB220" i="34" s="1"/>
  <c r="V125" i="31"/>
  <c r="AB227" i="34" s="1"/>
  <c r="V111" i="31"/>
  <c r="V113"/>
  <c r="AB215" i="34" s="1"/>
  <c r="V123" i="31"/>
  <c r="AB225" i="34" s="1"/>
  <c r="V112" i="31"/>
  <c r="AB214" i="34" s="1"/>
  <c r="V119" i="31"/>
  <c r="AB221" i="34" s="1"/>
  <c r="V122" i="31"/>
  <c r="AB224" i="34" s="1"/>
  <c r="V124" i="31"/>
  <c r="AB226" i="34" s="1"/>
  <c r="V114" i="31"/>
  <c r="AB216" i="34" s="1"/>
  <c r="K104"/>
  <c r="Y85" i="29"/>
  <c r="AE104" i="34" s="1"/>
  <c r="K106"/>
  <c r="Y87" i="29"/>
  <c r="AE106" i="34" s="1"/>
  <c r="K102"/>
  <c r="Y83" i="29"/>
  <c r="AE102" i="34" s="1"/>
  <c r="K95"/>
  <c r="Y76" i="29"/>
  <c r="AE95" i="34" s="1"/>
  <c r="K107"/>
  <c r="Y88" i="29"/>
  <c r="AE107" i="34" s="1"/>
  <c r="R125" i="31"/>
  <c r="X227" i="34" s="1"/>
  <c r="R118" i="31"/>
  <c r="X220" i="34" s="1"/>
  <c r="R115" i="31"/>
  <c r="X217" i="34" s="1"/>
  <c r="R124" i="31"/>
  <c r="X226" i="34" s="1"/>
  <c r="R111" i="31"/>
  <c r="X213" i="34" s="1"/>
  <c r="R120" i="31"/>
  <c r="X222" i="34" s="1"/>
  <c r="R119" i="31"/>
  <c r="X221" i="34" s="1"/>
  <c r="R117" i="31"/>
  <c r="X219" i="34" s="1"/>
  <c r="R113" i="31"/>
  <c r="X215" i="34" s="1"/>
  <c r="R122" i="31"/>
  <c r="X224" i="34" s="1"/>
  <c r="R116" i="31"/>
  <c r="X218" i="34" s="1"/>
  <c r="R121" i="31"/>
  <c r="X223" i="34" s="1"/>
  <c r="R114" i="31"/>
  <c r="X216" i="34" s="1"/>
  <c r="R123" i="31"/>
  <c r="X225" i="34" s="1"/>
  <c r="R112" i="31"/>
  <c r="X214" i="34" s="1"/>
  <c r="AA102" i="18"/>
  <c r="K32" i="34"/>
  <c r="Y73" i="17"/>
  <c r="AE32" i="34" s="1"/>
  <c r="K39"/>
  <c r="Y80" i="17"/>
  <c r="AE39" i="34" s="1"/>
  <c r="W111" i="31"/>
  <c r="AC213" i="34" s="1"/>
  <c r="W121" i="31"/>
  <c r="AC223" i="34" s="1"/>
  <c r="W117" i="31"/>
  <c r="AC219" i="34" s="1"/>
  <c r="W123" i="31"/>
  <c r="AC225" i="34" s="1"/>
  <c r="W116" i="31"/>
  <c r="AC218" i="34" s="1"/>
  <c r="W112" i="31"/>
  <c r="AC214" i="34" s="1"/>
  <c r="W125" i="31"/>
  <c r="AC227" i="34" s="1"/>
  <c r="W122" i="31"/>
  <c r="AC224" i="34" s="1"/>
  <c r="W118" i="31"/>
  <c r="AC220" i="34" s="1"/>
  <c r="W113" i="31"/>
  <c r="AC215" i="34" s="1"/>
  <c r="W120" i="31"/>
  <c r="AC222" i="34" s="1"/>
  <c r="W114" i="31"/>
  <c r="AC216" i="34" s="1"/>
  <c r="W115" i="31"/>
  <c r="AC217" i="34" s="1"/>
  <c r="W124" i="31"/>
  <c r="AC226" i="34" s="1"/>
  <c r="W119" i="31"/>
  <c r="AC221" i="34" s="1"/>
  <c r="N117" i="31"/>
  <c r="T219" i="34" s="1"/>
  <c r="N125" i="31"/>
  <c r="T227" i="34" s="1"/>
  <c r="N113" i="31"/>
  <c r="T215" i="34" s="1"/>
  <c r="N118" i="31"/>
  <c r="T220" i="34" s="1"/>
  <c r="N116" i="31"/>
  <c r="T218" i="34" s="1"/>
  <c r="N115" i="31"/>
  <c r="T217" i="34" s="1"/>
  <c r="N112" i="31"/>
  <c r="T214" i="34" s="1"/>
  <c r="N119" i="31"/>
  <c r="T221" i="34" s="1"/>
  <c r="N111" i="31"/>
  <c r="T213" i="34" s="1"/>
  <c r="N124" i="31"/>
  <c r="T226" i="34" s="1"/>
  <c r="N120" i="31"/>
  <c r="T222" i="34" s="1"/>
  <c r="N123" i="31"/>
  <c r="T225" i="34" s="1"/>
  <c r="N121" i="31"/>
  <c r="T223" i="34" s="1"/>
  <c r="N114" i="31"/>
  <c r="T216" i="34" s="1"/>
  <c r="N122" i="31"/>
  <c r="T224" i="34" s="1"/>
  <c r="X111" i="31"/>
  <c r="AD213" i="34" s="1"/>
  <c r="X123" i="31"/>
  <c r="AD225" i="34" s="1"/>
  <c r="X121" i="31"/>
  <c r="AD223" i="34" s="1"/>
  <c r="X125" i="31"/>
  <c r="AD227" i="34" s="1"/>
  <c r="X115" i="31"/>
  <c r="AD217" i="34" s="1"/>
  <c r="X114" i="31"/>
  <c r="AD216" i="34" s="1"/>
  <c r="X120" i="31"/>
  <c r="AD222" i="34" s="1"/>
  <c r="X119" i="31"/>
  <c r="AD221" i="34" s="1"/>
  <c r="X113" i="31"/>
  <c r="AD215" i="34" s="1"/>
  <c r="X122" i="31"/>
  <c r="AD224" i="34" s="1"/>
  <c r="X112" i="31"/>
  <c r="AD214" i="34" s="1"/>
  <c r="X117" i="31"/>
  <c r="AD219" i="34" s="1"/>
  <c r="X118" i="31"/>
  <c r="AD220" i="34" s="1"/>
  <c r="X116" i="31"/>
  <c r="AD218" i="34" s="1"/>
  <c r="X124" i="31"/>
  <c r="AD226" i="34" s="1"/>
  <c r="S113" i="31"/>
  <c r="Y215" i="34" s="1"/>
  <c r="S115" i="31"/>
  <c r="Y217" i="34" s="1"/>
  <c r="S121" i="31"/>
  <c r="Y223" i="34" s="1"/>
  <c r="S123" i="31"/>
  <c r="Y225" i="34" s="1"/>
  <c r="S124" i="31"/>
  <c r="Y226" i="34" s="1"/>
  <c r="S119" i="31"/>
  <c r="Y221" i="34" s="1"/>
  <c r="S117" i="31"/>
  <c r="Y219" i="34" s="1"/>
  <c r="S118" i="31"/>
  <c r="Y220" i="34" s="1"/>
  <c r="S114" i="31"/>
  <c r="Y216" i="34" s="1"/>
  <c r="S122" i="31"/>
  <c r="Y224" i="34" s="1"/>
  <c r="S120" i="31"/>
  <c r="Y222" i="34" s="1"/>
  <c r="S111" i="31"/>
  <c r="Y213" i="34" s="1"/>
  <c r="S112" i="31"/>
  <c r="Y214" i="34" s="1"/>
  <c r="S125" i="31"/>
  <c r="Y227" i="34" s="1"/>
  <c r="S116" i="31"/>
  <c r="Y218" i="34" s="1"/>
  <c r="O111" i="31"/>
  <c r="U213" i="34" s="1"/>
  <c r="O124" i="31"/>
  <c r="U226" i="34" s="1"/>
  <c r="O119" i="31"/>
  <c r="U221" i="34" s="1"/>
  <c r="O121" i="31"/>
  <c r="U223" i="34" s="1"/>
  <c r="O116" i="31"/>
  <c r="U218" i="34" s="1"/>
  <c r="O112" i="31"/>
  <c r="U214" i="34" s="1"/>
  <c r="O115" i="31"/>
  <c r="U217" i="34" s="1"/>
  <c r="O113" i="31"/>
  <c r="U215" i="34" s="1"/>
  <c r="O114" i="31"/>
  <c r="U216" i="34" s="1"/>
  <c r="O120" i="31"/>
  <c r="U222" i="34" s="1"/>
  <c r="O123" i="31"/>
  <c r="U225" i="34" s="1"/>
  <c r="O118" i="31"/>
  <c r="U220" i="34" s="1"/>
  <c r="O122" i="31"/>
  <c r="U224" i="34" s="1"/>
  <c r="O117" i="31"/>
  <c r="U219" i="34" s="1"/>
  <c r="O125" i="31"/>
  <c r="U227" i="34" s="1"/>
  <c r="Y86" i="17"/>
  <c r="AE45" i="34" s="1"/>
  <c r="K45"/>
  <c r="Y76" i="17"/>
  <c r="AE35" i="34" s="1"/>
  <c r="K35"/>
  <c r="Y74" i="17"/>
  <c r="AE33" i="34" s="1"/>
  <c r="K33"/>
  <c r="U113" i="31"/>
  <c r="AA215" i="34" s="1"/>
  <c r="U120" i="31"/>
  <c r="AA222" i="34" s="1"/>
  <c r="U112" i="31"/>
  <c r="AA214" i="34" s="1"/>
  <c r="U121" i="31"/>
  <c r="AA223" i="34" s="1"/>
  <c r="U118" i="31"/>
  <c r="AA220" i="34" s="1"/>
  <c r="U115" i="31"/>
  <c r="AA217" i="34" s="1"/>
  <c r="U125" i="31"/>
  <c r="AA227" i="34" s="1"/>
  <c r="U117" i="31"/>
  <c r="AA219" i="34" s="1"/>
  <c r="U111" i="31"/>
  <c r="AA213" i="34" s="1"/>
  <c r="U119" i="31"/>
  <c r="AA221" i="34" s="1"/>
  <c r="U114" i="31"/>
  <c r="AA216" i="34" s="1"/>
  <c r="U124" i="31"/>
  <c r="AA226" i="34" s="1"/>
  <c r="U123" i="31"/>
  <c r="AA225" i="34" s="1"/>
  <c r="U116" i="31"/>
  <c r="AA218" i="34" s="1"/>
  <c r="U122" i="31"/>
  <c r="AA224" i="34" s="1"/>
  <c r="K99"/>
  <c r="Y80" i="29"/>
  <c r="AE99" i="34" s="1"/>
  <c r="K103"/>
  <c r="Y84" i="29"/>
  <c r="AE103" i="34" s="1"/>
  <c r="K100"/>
  <c r="Y81" i="29"/>
  <c r="AE100" i="34" s="1"/>
  <c r="K96"/>
  <c r="Y77" i="29"/>
  <c r="AE96" i="34" s="1"/>
  <c r="AA108" i="18"/>
  <c r="AA97"/>
  <c r="O102" i="31"/>
  <c r="U204" i="34" s="1"/>
  <c r="O106" i="31"/>
  <c r="U208" i="34" s="1"/>
  <c r="O105" i="31"/>
  <c r="U207" i="34" s="1"/>
  <c r="O104" i="31"/>
  <c r="U206" i="34" s="1"/>
  <c r="O110" i="31"/>
  <c r="U212" i="34" s="1"/>
  <c r="O103" i="31"/>
  <c r="U205" i="34" s="1"/>
  <c r="O96" i="31"/>
  <c r="U198" i="34" s="1"/>
  <c r="O97" i="31"/>
  <c r="U199" i="34" s="1"/>
  <c r="O108" i="31"/>
  <c r="U210" i="34" s="1"/>
  <c r="O107" i="31"/>
  <c r="U209" i="34" s="1"/>
  <c r="O100" i="31"/>
  <c r="U202" i="34" s="1"/>
  <c r="O109" i="31"/>
  <c r="U211" i="34" s="1"/>
  <c r="O98" i="31"/>
  <c r="U200" i="34" s="1"/>
  <c r="O99" i="31"/>
  <c r="U201" i="34" s="1"/>
  <c r="O101" i="31"/>
  <c r="U203" i="34" s="1"/>
  <c r="Y61" i="17"/>
  <c r="AE20" i="34" s="1"/>
  <c r="K20"/>
  <c r="Q98" i="31"/>
  <c r="W200" i="34" s="1"/>
  <c r="Q97" i="31"/>
  <c r="W199" i="34" s="1"/>
  <c r="Q110" i="31"/>
  <c r="W212" i="34" s="1"/>
  <c r="Q99" i="31"/>
  <c r="W201" i="34" s="1"/>
  <c r="Q109" i="31"/>
  <c r="W211" i="34" s="1"/>
  <c r="Q106" i="31"/>
  <c r="W208" i="34" s="1"/>
  <c r="Q100" i="31"/>
  <c r="W202" i="34" s="1"/>
  <c r="Q104" i="31"/>
  <c r="W206" i="34" s="1"/>
  <c r="Q101" i="31"/>
  <c r="W203" i="34" s="1"/>
  <c r="Q107" i="31"/>
  <c r="W209" i="34" s="1"/>
  <c r="Q96" i="31"/>
  <c r="W198" i="34" s="1"/>
  <c r="Q103" i="31"/>
  <c r="W205" i="34" s="1"/>
  <c r="Q108" i="31"/>
  <c r="W210" i="34" s="1"/>
  <c r="Q105" i="31"/>
  <c r="W207" i="34" s="1"/>
  <c r="Q102" i="31"/>
  <c r="W204" i="34" s="1"/>
  <c r="K79"/>
  <c r="Y60" i="29"/>
  <c r="AE79" i="34" s="1"/>
  <c r="U103" i="31"/>
  <c r="AA205" i="34" s="1"/>
  <c r="U109" i="31"/>
  <c r="AA211" i="34" s="1"/>
  <c r="U97" i="31"/>
  <c r="AA199" i="34" s="1"/>
  <c r="U105" i="31"/>
  <c r="AA207" i="34" s="1"/>
  <c r="U98" i="31"/>
  <c r="AA200" i="34" s="1"/>
  <c r="U100" i="31"/>
  <c r="AA202" i="34" s="1"/>
  <c r="U99" i="31"/>
  <c r="AA201" i="34" s="1"/>
  <c r="U102" i="31"/>
  <c r="AA204" i="34" s="1"/>
  <c r="U110" i="31"/>
  <c r="AA212" i="34" s="1"/>
  <c r="U106" i="31"/>
  <c r="AA208" i="34" s="1"/>
  <c r="U96" i="31"/>
  <c r="AA198" i="34" s="1"/>
  <c r="U104" i="31"/>
  <c r="AA206" i="34" s="1"/>
  <c r="U108" i="31"/>
  <c r="AA210" i="34" s="1"/>
  <c r="U107" i="31"/>
  <c r="AA209" i="34" s="1"/>
  <c r="U101" i="31"/>
  <c r="AA203" i="34" s="1"/>
  <c r="T109" i="31"/>
  <c r="Z211" i="34" s="1"/>
  <c r="T107" i="31"/>
  <c r="Z209" i="34" s="1"/>
  <c r="T101" i="31"/>
  <c r="Z203" i="34" s="1"/>
  <c r="T99" i="31"/>
  <c r="Z201" i="34" s="1"/>
  <c r="T100" i="31"/>
  <c r="Z202" i="34" s="1"/>
  <c r="T97" i="31"/>
  <c r="Z199" i="34" s="1"/>
  <c r="T96" i="31"/>
  <c r="Z198" i="34" s="1"/>
  <c r="T110" i="31"/>
  <c r="Z212" i="34" s="1"/>
  <c r="T105" i="31"/>
  <c r="Z207" i="34" s="1"/>
  <c r="T102" i="31"/>
  <c r="Z204" i="34" s="1"/>
  <c r="T103" i="31"/>
  <c r="Z205" i="34" s="1"/>
  <c r="T104" i="31"/>
  <c r="Z206" i="34" s="1"/>
  <c r="T98" i="31"/>
  <c r="Z200" i="34" s="1"/>
  <c r="T108" i="31"/>
  <c r="Z210" i="34" s="1"/>
  <c r="T106" i="31"/>
  <c r="Z208" i="34" s="1"/>
  <c r="Y65" i="17"/>
  <c r="AE24" i="34" s="1"/>
  <c r="K24"/>
  <c r="K90"/>
  <c r="Y71" i="29"/>
  <c r="AE90" i="34" s="1"/>
  <c r="K88"/>
  <c r="Y69" i="29"/>
  <c r="AE88" i="34" s="1"/>
  <c r="K78"/>
  <c r="Y59" i="29"/>
  <c r="AE78" i="34" s="1"/>
  <c r="V103" i="31"/>
  <c r="AB205" i="34" s="1"/>
  <c r="V106" i="31"/>
  <c r="AB208" i="34" s="1"/>
  <c r="V99" i="31"/>
  <c r="AB201" i="34" s="1"/>
  <c r="V100" i="31"/>
  <c r="AB202" i="34" s="1"/>
  <c r="V97" i="31"/>
  <c r="AB199" i="34" s="1"/>
  <c r="V98" i="31"/>
  <c r="AB200" i="34" s="1"/>
  <c r="V110" i="31"/>
  <c r="AB212" i="34" s="1"/>
  <c r="V108" i="31"/>
  <c r="AB210" i="34" s="1"/>
  <c r="V101" i="31"/>
  <c r="AB203" i="34" s="1"/>
  <c r="V109" i="31"/>
  <c r="AB211" i="34" s="1"/>
  <c r="V104" i="31"/>
  <c r="AB206" i="34" s="1"/>
  <c r="V107" i="31"/>
  <c r="AB209" i="34" s="1"/>
  <c r="V96" i="31"/>
  <c r="AB198" i="34" s="1"/>
  <c r="V102" i="31"/>
  <c r="AB204" i="34" s="1"/>
  <c r="V105" i="31"/>
  <c r="AB207" i="34" s="1"/>
  <c r="K29"/>
  <c r="Y70" i="17"/>
  <c r="AE29" i="34" s="1"/>
  <c r="Y71" i="17"/>
  <c r="AE30" i="34" s="1"/>
  <c r="K30"/>
  <c r="Y72" i="17"/>
  <c r="AE31" i="34" s="1"/>
  <c r="K31"/>
  <c r="Y68" i="17"/>
  <c r="AE27" i="34" s="1"/>
  <c r="K27"/>
  <c r="K81"/>
  <c r="Y62" i="29"/>
  <c r="AE81" i="34" s="1"/>
  <c r="K89"/>
  <c r="Y70" i="29"/>
  <c r="AE89" i="34" s="1"/>
  <c r="K91"/>
  <c r="Y72" i="29"/>
  <c r="AE91" i="34" s="1"/>
  <c r="K86"/>
  <c r="Y67" i="29"/>
  <c r="AE86" i="34" s="1"/>
  <c r="AA104" i="18"/>
  <c r="AA107"/>
  <c r="K207" i="34"/>
  <c r="AA96" i="18"/>
  <c r="AA105"/>
  <c r="R107" i="31"/>
  <c r="X209" i="34" s="1"/>
  <c r="R101" i="31"/>
  <c r="X203" i="34" s="1"/>
  <c r="R108" i="31"/>
  <c r="X210" i="34" s="1"/>
  <c r="R102" i="31"/>
  <c r="X204" i="34" s="1"/>
  <c r="R103" i="31"/>
  <c r="X205" i="34" s="1"/>
  <c r="R96" i="31"/>
  <c r="X198" i="34" s="1"/>
  <c r="R98" i="31"/>
  <c r="X200" i="34" s="1"/>
  <c r="R99" i="31"/>
  <c r="X201" i="34" s="1"/>
  <c r="R97" i="31"/>
  <c r="X199" i="34" s="1"/>
  <c r="R110" i="31"/>
  <c r="X212" i="34" s="1"/>
  <c r="R104" i="31"/>
  <c r="X206" i="34" s="1"/>
  <c r="R109" i="31"/>
  <c r="X211" i="34" s="1"/>
  <c r="R105" i="31"/>
  <c r="X207" i="34" s="1"/>
  <c r="R106" i="31"/>
  <c r="X208" i="34" s="1"/>
  <c r="R100" i="31"/>
  <c r="X202" i="34" s="1"/>
  <c r="K19"/>
  <c r="Y60" i="17"/>
  <c r="AE19" i="34" s="1"/>
  <c r="K28"/>
  <c r="Y69" i="17"/>
  <c r="AE28" i="34" s="1"/>
  <c r="Y66" i="17"/>
  <c r="AE25" i="34" s="1"/>
  <c r="K25"/>
  <c r="K80"/>
  <c r="Y61" i="29"/>
  <c r="AE80" i="34" s="1"/>
  <c r="K85"/>
  <c r="Y66" i="29"/>
  <c r="AE85" i="34" s="1"/>
  <c r="P99" i="31"/>
  <c r="V201" i="34" s="1"/>
  <c r="P105" i="31"/>
  <c r="V207" i="34" s="1"/>
  <c r="P102" i="31"/>
  <c r="V204" i="34" s="1"/>
  <c r="P96" i="31"/>
  <c r="V198" i="34" s="1"/>
  <c r="P103" i="31"/>
  <c r="V205" i="34" s="1"/>
  <c r="P109" i="31"/>
  <c r="V211" i="34" s="1"/>
  <c r="P98" i="31"/>
  <c r="V200" i="34" s="1"/>
  <c r="P101" i="31"/>
  <c r="V203" i="34" s="1"/>
  <c r="P104" i="31"/>
  <c r="V206" i="34" s="1"/>
  <c r="P107" i="31"/>
  <c r="V209" i="34" s="1"/>
  <c r="P100" i="31"/>
  <c r="V202" i="34" s="1"/>
  <c r="P108" i="31"/>
  <c r="V210" i="34" s="1"/>
  <c r="P110" i="31"/>
  <c r="V212" i="34" s="1"/>
  <c r="P97" i="31"/>
  <c r="V199" i="34" s="1"/>
  <c r="P106" i="31"/>
  <c r="V208" i="34" s="1"/>
  <c r="AA193" i="17"/>
  <c r="M24" i="31"/>
  <c r="K21" i="34"/>
  <c r="Y62" i="17"/>
  <c r="AE21" i="34" s="1"/>
  <c r="K87"/>
  <c r="Y68" i="29"/>
  <c r="AE87" i="34" s="1"/>
  <c r="N96" i="31"/>
  <c r="T198" i="34" s="1"/>
  <c r="N99" i="31"/>
  <c r="T201" i="34" s="1"/>
  <c r="N103" i="31"/>
  <c r="T205" i="34" s="1"/>
  <c r="N101" i="31"/>
  <c r="T203" i="34" s="1"/>
  <c r="N98" i="31"/>
  <c r="T200" i="34" s="1"/>
  <c r="N105" i="31"/>
  <c r="T207" i="34" s="1"/>
  <c r="N102" i="31"/>
  <c r="T204" i="34" s="1"/>
  <c r="N109" i="31"/>
  <c r="T211" i="34" s="1"/>
  <c r="N107" i="31"/>
  <c r="T209" i="34" s="1"/>
  <c r="N104" i="31"/>
  <c r="T206" i="34" s="1"/>
  <c r="N97" i="31"/>
  <c r="T199" i="34" s="1"/>
  <c r="N110" i="31"/>
  <c r="T212" i="34" s="1"/>
  <c r="N106" i="31"/>
  <c r="T208" i="34" s="1"/>
  <c r="N108" i="31"/>
  <c r="T210" i="34" s="1"/>
  <c r="N100" i="31"/>
  <c r="T202" i="34" s="1"/>
  <c r="W98" i="31"/>
  <c r="AC200" i="34" s="1"/>
  <c r="W102" i="31"/>
  <c r="AC204" i="34" s="1"/>
  <c r="W104" i="31"/>
  <c r="AC206" i="34" s="1"/>
  <c r="W108" i="31"/>
  <c r="AC210" i="34" s="1"/>
  <c r="W107" i="31"/>
  <c r="AC209" i="34" s="1"/>
  <c r="W97" i="31"/>
  <c r="AC199" i="34" s="1"/>
  <c r="W105" i="31"/>
  <c r="AC207" i="34" s="1"/>
  <c r="W100" i="31"/>
  <c r="AC202" i="34" s="1"/>
  <c r="W103" i="31"/>
  <c r="AC205" i="34" s="1"/>
  <c r="W106" i="31"/>
  <c r="AC208" i="34" s="1"/>
  <c r="W109" i="31"/>
  <c r="AC211" i="34" s="1"/>
  <c r="W96" i="31"/>
  <c r="AC198" i="34" s="1"/>
  <c r="W101" i="31"/>
  <c r="AC203" i="34" s="1"/>
  <c r="W110" i="31"/>
  <c r="AC212" i="34" s="1"/>
  <c r="W99" i="31"/>
  <c r="AC201" i="34" s="1"/>
  <c r="S110" i="31"/>
  <c r="Y212" i="34" s="1"/>
  <c r="S101" i="31"/>
  <c r="Y203" i="34" s="1"/>
  <c r="S98" i="31"/>
  <c r="Y200" i="34" s="1"/>
  <c r="S109" i="31"/>
  <c r="Y211" i="34" s="1"/>
  <c r="S97" i="31"/>
  <c r="Y199" i="34" s="1"/>
  <c r="S104" i="31"/>
  <c r="Y206" i="34" s="1"/>
  <c r="S99" i="31"/>
  <c r="Y201" i="34" s="1"/>
  <c r="S107" i="31"/>
  <c r="Y209" i="34" s="1"/>
  <c r="S106" i="31"/>
  <c r="Y208" i="34" s="1"/>
  <c r="S105" i="31"/>
  <c r="Y207" i="34" s="1"/>
  <c r="S102" i="31"/>
  <c r="Y204" i="34" s="1"/>
  <c r="S100" i="31"/>
  <c r="Y202" i="34" s="1"/>
  <c r="S96" i="31"/>
  <c r="Y198" i="34" s="1"/>
  <c r="S103" i="31"/>
  <c r="Y205" i="34" s="1"/>
  <c r="S108" i="31"/>
  <c r="Y210" i="34" s="1"/>
  <c r="X108" i="31"/>
  <c r="AD210" i="34" s="1"/>
  <c r="X103" i="31"/>
  <c r="AD205" i="34" s="1"/>
  <c r="X99" i="31"/>
  <c r="AD201" i="34" s="1"/>
  <c r="X96" i="31"/>
  <c r="AD198" i="34" s="1"/>
  <c r="X106" i="31"/>
  <c r="AD208" i="34" s="1"/>
  <c r="X109" i="31"/>
  <c r="AD211" i="34" s="1"/>
  <c r="X100" i="31"/>
  <c r="AD202" i="34" s="1"/>
  <c r="X105" i="31"/>
  <c r="AD207" i="34" s="1"/>
  <c r="X97" i="31"/>
  <c r="AD199" i="34" s="1"/>
  <c r="X102" i="31"/>
  <c r="AD204" i="34" s="1"/>
  <c r="X101" i="31"/>
  <c r="AD203" i="34" s="1"/>
  <c r="X104" i="31"/>
  <c r="AD206" i="34" s="1"/>
  <c r="X107" i="31"/>
  <c r="AD209" i="34" s="1"/>
  <c r="X110" i="31"/>
  <c r="AD212" i="34" s="1"/>
  <c r="X98" i="31"/>
  <c r="AD200" i="34" s="1"/>
  <c r="Y64" i="17"/>
  <c r="AE23" i="34" s="1"/>
  <c r="K23"/>
  <c r="Y67" i="17"/>
  <c r="AE26" i="34" s="1"/>
  <c r="K26"/>
  <c r="K18"/>
  <c r="Y59" i="17"/>
  <c r="AE18" i="34" s="1"/>
  <c r="K22"/>
  <c r="Y63" i="17"/>
  <c r="AE22" i="34" s="1"/>
  <c r="K84"/>
  <c r="Y65" i="29"/>
  <c r="AE84" i="34" s="1"/>
  <c r="K83"/>
  <c r="Y64" i="29"/>
  <c r="AE83" i="34" s="1"/>
  <c r="K82"/>
  <c r="Y63" i="29"/>
  <c r="AE82" i="34" s="1"/>
  <c r="AA106" i="18"/>
  <c r="AA101"/>
  <c r="AA99"/>
  <c r="AA98"/>
  <c r="Y190"/>
  <c r="Y188"/>
  <c r="Y201"/>
  <c r="Y197"/>
  <c r="Y207"/>
  <c r="Y191"/>
  <c r="Y193"/>
  <c r="Y203"/>
  <c r="Y195"/>
  <c r="Y211"/>
  <c r="Y215"/>
  <c r="K196" i="34"/>
  <c r="E74" i="31"/>
  <c r="F69"/>
  <c r="K195" i="34"/>
  <c r="K130"/>
  <c r="AA88" i="18"/>
  <c r="AA84"/>
  <c r="K126" i="34"/>
  <c r="K124"/>
  <c r="AA82" i="18"/>
  <c r="AA90"/>
  <c r="K132" i="34"/>
  <c r="K72"/>
  <c r="Y53" i="29"/>
  <c r="AE72" i="34" s="1"/>
  <c r="K68"/>
  <c r="Y49" i="29"/>
  <c r="AE68" i="34" s="1"/>
  <c r="K74"/>
  <c r="Y55" i="29"/>
  <c r="AE74" i="34" s="1"/>
  <c r="K67"/>
  <c r="Y48" i="29"/>
  <c r="AE67" i="34" s="1"/>
  <c r="K75"/>
  <c r="Y56" i="29"/>
  <c r="AE75" i="34" s="1"/>
  <c r="P183"/>
  <c r="J162" i="31"/>
  <c r="J142"/>
  <c r="J175"/>
  <c r="J159"/>
  <c r="J149"/>
  <c r="J158"/>
  <c r="J148"/>
  <c r="J185" s="1"/>
  <c r="J152"/>
  <c r="J167"/>
  <c r="J179"/>
  <c r="J155"/>
  <c r="J168"/>
  <c r="J160"/>
  <c r="J173"/>
  <c r="J178"/>
  <c r="J154"/>
  <c r="J151"/>
  <c r="J170"/>
  <c r="J161"/>
  <c r="J172"/>
  <c r="J171"/>
  <c r="J166"/>
  <c r="J164"/>
  <c r="J174"/>
  <c r="J156"/>
  <c r="J163"/>
  <c r="J176"/>
  <c r="J213" s="1"/>
  <c r="J153"/>
  <c r="J190" s="1"/>
  <c r="J169"/>
  <c r="J157"/>
  <c r="J150"/>
  <c r="J165"/>
  <c r="J177"/>
  <c r="J135" i="29"/>
  <c r="J136"/>
  <c r="J121"/>
  <c r="J127"/>
  <c r="J112"/>
  <c r="J115"/>
  <c r="J124"/>
  <c r="J141"/>
  <c r="J132"/>
  <c r="J142"/>
  <c r="J119"/>
  <c r="J140"/>
  <c r="J133"/>
  <c r="J116"/>
  <c r="J153" s="1"/>
  <c r="J129"/>
  <c r="J139"/>
  <c r="J137"/>
  <c r="J131"/>
  <c r="J125"/>
  <c r="J162" s="1"/>
  <c r="J130"/>
  <c r="J126"/>
  <c r="J105"/>
  <c r="J114"/>
  <c r="J123"/>
  <c r="J120"/>
  <c r="J138"/>
  <c r="J122"/>
  <c r="J159" s="1"/>
  <c r="J113"/>
  <c r="J134"/>
  <c r="J171" s="1"/>
  <c r="J128"/>
  <c r="P63" i="34"/>
  <c r="J111" i="29"/>
  <c r="J148" s="1"/>
  <c r="J117"/>
  <c r="J118"/>
  <c r="U151" i="18"/>
  <c r="U169"/>
  <c r="U158"/>
  <c r="U152"/>
  <c r="U174"/>
  <c r="U142"/>
  <c r="U148"/>
  <c r="U185" s="1"/>
  <c r="U149"/>
  <c r="U155"/>
  <c r="U172"/>
  <c r="U171"/>
  <c r="U162"/>
  <c r="U154"/>
  <c r="U167"/>
  <c r="U173"/>
  <c r="U159"/>
  <c r="U166"/>
  <c r="U161"/>
  <c r="U163"/>
  <c r="U177"/>
  <c r="U175"/>
  <c r="U212" s="1"/>
  <c r="U156"/>
  <c r="U165"/>
  <c r="U164"/>
  <c r="U160"/>
  <c r="U170"/>
  <c r="U207" s="1"/>
  <c r="U168"/>
  <c r="U178"/>
  <c r="U215" s="1"/>
  <c r="U150"/>
  <c r="U157"/>
  <c r="U194" s="1"/>
  <c r="AA123" i="34"/>
  <c r="U176" i="18"/>
  <c r="U179"/>
  <c r="U153"/>
  <c r="V120" i="29"/>
  <c r="V129"/>
  <c r="V118"/>
  <c r="V111"/>
  <c r="V148" s="1"/>
  <c r="V112"/>
  <c r="V121"/>
  <c r="V142"/>
  <c r="V135"/>
  <c r="V139"/>
  <c r="V138"/>
  <c r="V140"/>
  <c r="V126"/>
  <c r="V132"/>
  <c r="V141"/>
  <c r="V117"/>
  <c r="AB63" i="34"/>
  <c r="V131" i="29"/>
  <c r="V130"/>
  <c r="V167" s="1"/>
  <c r="V124"/>
  <c r="V133"/>
  <c r="V105"/>
  <c r="V136"/>
  <c r="V119"/>
  <c r="V156" s="1"/>
  <c r="V115"/>
  <c r="V113"/>
  <c r="V150" s="1"/>
  <c r="V137"/>
  <c r="V114"/>
  <c r="V116"/>
  <c r="V134"/>
  <c r="V123"/>
  <c r="V125"/>
  <c r="V162" s="1"/>
  <c r="V122"/>
  <c r="V127"/>
  <c r="V128"/>
  <c r="U123" i="34"/>
  <c r="O169" i="18"/>
  <c r="O159"/>
  <c r="O174"/>
  <c r="O151"/>
  <c r="O155"/>
  <c r="O175"/>
  <c r="O154"/>
  <c r="O150"/>
  <c r="O152"/>
  <c r="O172"/>
  <c r="O179"/>
  <c r="O176"/>
  <c r="O170"/>
  <c r="O167"/>
  <c r="O166"/>
  <c r="O177"/>
  <c r="O162"/>
  <c r="O163"/>
  <c r="O171"/>
  <c r="O158"/>
  <c r="O178"/>
  <c r="O173"/>
  <c r="O210" s="1"/>
  <c r="O157"/>
  <c r="O149"/>
  <c r="O160"/>
  <c r="O164"/>
  <c r="O201" s="1"/>
  <c r="O156"/>
  <c r="O168"/>
  <c r="O142"/>
  <c r="O165"/>
  <c r="O148"/>
  <c r="O185" s="1"/>
  <c r="O161"/>
  <c r="O153"/>
  <c r="O190" s="1"/>
  <c r="O111" i="17"/>
  <c r="O148" s="1"/>
  <c r="O132"/>
  <c r="O120"/>
  <c r="O141"/>
  <c r="O138"/>
  <c r="O113"/>
  <c r="O128"/>
  <c r="O126"/>
  <c r="O133"/>
  <c r="O130"/>
  <c r="O129"/>
  <c r="O119"/>
  <c r="O139"/>
  <c r="O176" s="1"/>
  <c r="O122"/>
  <c r="O123"/>
  <c r="O135"/>
  <c r="O117"/>
  <c r="O127"/>
  <c r="O114"/>
  <c r="O137"/>
  <c r="O116"/>
  <c r="O105"/>
  <c r="O134"/>
  <c r="O112"/>
  <c r="O142"/>
  <c r="U3" i="34"/>
  <c r="O115" i="17"/>
  <c r="O152" s="1"/>
  <c r="O121"/>
  <c r="O140"/>
  <c r="O177" s="1"/>
  <c r="O131"/>
  <c r="O168" s="1"/>
  <c r="O124"/>
  <c r="O161" s="1"/>
  <c r="O125"/>
  <c r="O118"/>
  <c r="O155" s="1"/>
  <c r="O136"/>
  <c r="S63" i="34"/>
  <c r="M120" i="29"/>
  <c r="M134"/>
  <c r="M136"/>
  <c r="M133"/>
  <c r="M139"/>
  <c r="M137"/>
  <c r="M125"/>
  <c r="M131"/>
  <c r="M111"/>
  <c r="M148" s="1"/>
  <c r="M132"/>
  <c r="M130"/>
  <c r="M117"/>
  <c r="M138"/>
  <c r="M128"/>
  <c r="M121"/>
  <c r="M118"/>
  <c r="M124"/>
  <c r="M114"/>
  <c r="M126"/>
  <c r="M163" s="1"/>
  <c r="M113"/>
  <c r="M112"/>
  <c r="M149" s="1"/>
  <c r="M129"/>
  <c r="M166" s="1"/>
  <c r="M135"/>
  <c r="M119"/>
  <c r="M156" s="1"/>
  <c r="M105"/>
  <c r="M122"/>
  <c r="M127"/>
  <c r="M164" s="1"/>
  <c r="M123"/>
  <c r="M115"/>
  <c r="M140"/>
  <c r="M116"/>
  <c r="M142"/>
  <c r="M179" s="1"/>
  <c r="M141"/>
  <c r="P23" i="31"/>
  <c r="H197" i="29"/>
  <c r="H137"/>
  <c r="H139"/>
  <c r="H128"/>
  <c r="H123"/>
  <c r="N63" i="34"/>
  <c r="H140" i="29"/>
  <c r="H177" s="1"/>
  <c r="H131"/>
  <c r="H111"/>
  <c r="H148" s="1"/>
  <c r="H119"/>
  <c r="H136"/>
  <c r="H141"/>
  <c r="H116"/>
  <c r="H125"/>
  <c r="H117"/>
  <c r="H112"/>
  <c r="H132"/>
  <c r="H127"/>
  <c r="H115"/>
  <c r="H138"/>
  <c r="H124"/>
  <c r="H161" s="1"/>
  <c r="H134"/>
  <c r="H135"/>
  <c r="H130"/>
  <c r="H114"/>
  <c r="H126"/>
  <c r="H163" s="1"/>
  <c r="H129"/>
  <c r="H121"/>
  <c r="H118"/>
  <c r="H142"/>
  <c r="H113"/>
  <c r="H105"/>
  <c r="H122"/>
  <c r="H120"/>
  <c r="H157" s="1"/>
  <c r="H133"/>
  <c r="I120"/>
  <c r="I134"/>
  <c r="I114"/>
  <c r="I122"/>
  <c r="I124"/>
  <c r="I118"/>
  <c r="I112"/>
  <c r="I116"/>
  <c r="I129"/>
  <c r="I128"/>
  <c r="I125"/>
  <c r="I123"/>
  <c r="I140"/>
  <c r="I133"/>
  <c r="I126"/>
  <c r="I130"/>
  <c r="I119"/>
  <c r="I142"/>
  <c r="I131"/>
  <c r="I132"/>
  <c r="I135"/>
  <c r="I141"/>
  <c r="I139"/>
  <c r="I117"/>
  <c r="I154" s="1"/>
  <c r="I111"/>
  <c r="I148" s="1"/>
  <c r="I138"/>
  <c r="I137"/>
  <c r="O63" i="34"/>
  <c r="I115" i="29"/>
  <c r="I113"/>
  <c r="I105"/>
  <c r="I136"/>
  <c r="I121"/>
  <c r="I158" s="1"/>
  <c r="I127"/>
  <c r="AD3" i="34"/>
  <c r="X122" i="17"/>
  <c r="X111"/>
  <c r="X148" s="1"/>
  <c r="X120"/>
  <c r="X116"/>
  <c r="X131"/>
  <c r="X123"/>
  <c r="X124"/>
  <c r="X133"/>
  <c r="X127"/>
  <c r="X137"/>
  <c r="X117"/>
  <c r="X130"/>
  <c r="X140"/>
  <c r="X126"/>
  <c r="X112"/>
  <c r="X121"/>
  <c r="X125"/>
  <c r="X139"/>
  <c r="X134"/>
  <c r="X132"/>
  <c r="X129"/>
  <c r="X128"/>
  <c r="X113"/>
  <c r="X150" s="1"/>
  <c r="X115"/>
  <c r="X135"/>
  <c r="X141"/>
  <c r="X136"/>
  <c r="X119"/>
  <c r="X105"/>
  <c r="X142"/>
  <c r="X118"/>
  <c r="X155" s="1"/>
  <c r="X114"/>
  <c r="X138"/>
  <c r="V123" i="34"/>
  <c r="P155" i="18"/>
  <c r="P162"/>
  <c r="P148"/>
  <c r="P185" s="1"/>
  <c r="P170"/>
  <c r="P171"/>
  <c r="P157"/>
  <c r="P166"/>
  <c r="P154"/>
  <c r="P164"/>
  <c r="P156"/>
  <c r="P153"/>
  <c r="P175"/>
  <c r="P179"/>
  <c r="P149"/>
  <c r="P163"/>
  <c r="P168"/>
  <c r="P161"/>
  <c r="P165"/>
  <c r="P173"/>
  <c r="P150"/>
  <c r="P151"/>
  <c r="P152"/>
  <c r="P172"/>
  <c r="P174"/>
  <c r="P160"/>
  <c r="P167"/>
  <c r="P176"/>
  <c r="P169"/>
  <c r="P206" s="1"/>
  <c r="P158"/>
  <c r="P177"/>
  <c r="P178"/>
  <c r="P159"/>
  <c r="P142"/>
  <c r="O23" i="31"/>
  <c r="G197" i="29"/>
  <c r="AB123" i="34"/>
  <c r="V170" i="18"/>
  <c r="V175"/>
  <c r="V163"/>
  <c r="V154"/>
  <c r="V149"/>
  <c r="V171"/>
  <c r="V172"/>
  <c r="V160"/>
  <c r="V148"/>
  <c r="V185" s="1"/>
  <c r="V153"/>
  <c r="V164"/>
  <c r="V152"/>
  <c r="V159"/>
  <c r="V158"/>
  <c r="V176"/>
  <c r="V156"/>
  <c r="V169"/>
  <c r="V167"/>
  <c r="V177"/>
  <c r="V165"/>
  <c r="V142"/>
  <c r="V166"/>
  <c r="V151"/>
  <c r="V157"/>
  <c r="V194" s="1"/>
  <c r="V178"/>
  <c r="V155"/>
  <c r="V150"/>
  <c r="V174"/>
  <c r="V162"/>
  <c r="V179"/>
  <c r="V161"/>
  <c r="V173"/>
  <c r="V168"/>
  <c r="K14" i="34"/>
  <c r="Y55" i="17"/>
  <c r="AE14" i="34" s="1"/>
  <c r="K9"/>
  <c r="Y50" i="17"/>
  <c r="AE9" i="34" s="1"/>
  <c r="K13"/>
  <c r="Y54" i="17"/>
  <c r="AE13" i="34" s="1"/>
  <c r="AA3"/>
  <c r="U114" i="17"/>
  <c r="U140"/>
  <c r="U135"/>
  <c r="U111"/>
  <c r="U148" s="1"/>
  <c r="U134"/>
  <c r="U139"/>
  <c r="U117"/>
  <c r="U130"/>
  <c r="U129"/>
  <c r="U112"/>
  <c r="U118"/>
  <c r="U155" s="1"/>
  <c r="U142"/>
  <c r="U105"/>
  <c r="U113"/>
  <c r="U133"/>
  <c r="U119"/>
  <c r="U125"/>
  <c r="U137"/>
  <c r="U136"/>
  <c r="U173" s="1"/>
  <c r="U128"/>
  <c r="U132"/>
  <c r="U131"/>
  <c r="U123"/>
  <c r="U121"/>
  <c r="U120"/>
  <c r="U122"/>
  <c r="U126"/>
  <c r="U124"/>
  <c r="U115"/>
  <c r="U152" s="1"/>
  <c r="U127"/>
  <c r="U116"/>
  <c r="U141"/>
  <c r="U138"/>
  <c r="L123" i="34"/>
  <c r="F170" i="18"/>
  <c r="F159"/>
  <c r="F171"/>
  <c r="F167"/>
  <c r="F142"/>
  <c r="F160"/>
  <c r="F178"/>
  <c r="F175"/>
  <c r="F155"/>
  <c r="F151"/>
  <c r="F164"/>
  <c r="F162"/>
  <c r="F179"/>
  <c r="F165"/>
  <c r="F169"/>
  <c r="F176"/>
  <c r="F174"/>
  <c r="F158"/>
  <c r="F161"/>
  <c r="F168"/>
  <c r="F205" s="1"/>
  <c r="F172"/>
  <c r="F152"/>
  <c r="F189" s="1"/>
  <c r="F149"/>
  <c r="F153"/>
  <c r="F173"/>
  <c r="F156"/>
  <c r="F157"/>
  <c r="F150"/>
  <c r="F148"/>
  <c r="F185" s="1"/>
  <c r="F166"/>
  <c r="F203" s="1"/>
  <c r="F163"/>
  <c r="F177"/>
  <c r="F214" s="1"/>
  <c r="F154"/>
  <c r="X114" i="29"/>
  <c r="X139"/>
  <c r="X128"/>
  <c r="X133"/>
  <c r="X116"/>
  <c r="X140"/>
  <c r="X177" s="1"/>
  <c r="X111"/>
  <c r="X148" s="1"/>
  <c r="X126"/>
  <c r="X122"/>
  <c r="X120"/>
  <c r="X132"/>
  <c r="X125"/>
  <c r="X118"/>
  <c r="X124"/>
  <c r="X117"/>
  <c r="X142"/>
  <c r="X131"/>
  <c r="X136"/>
  <c r="X119"/>
  <c r="X127"/>
  <c r="X164" s="1"/>
  <c r="X135"/>
  <c r="X115"/>
  <c r="X129"/>
  <c r="X166" s="1"/>
  <c r="X141"/>
  <c r="X113"/>
  <c r="X121"/>
  <c r="X158" s="1"/>
  <c r="X137"/>
  <c r="X112"/>
  <c r="X138"/>
  <c r="X130"/>
  <c r="AD63" i="34"/>
  <c r="X123" i="29"/>
  <c r="X105"/>
  <c r="X134"/>
  <c r="L115"/>
  <c r="L142"/>
  <c r="L117"/>
  <c r="L136"/>
  <c r="L137"/>
  <c r="L124"/>
  <c r="L133"/>
  <c r="L119"/>
  <c r="L128"/>
  <c r="L123"/>
  <c r="L126"/>
  <c r="L118"/>
  <c r="L114"/>
  <c r="L112"/>
  <c r="L130"/>
  <c r="R63" i="34"/>
  <c r="L122" i="29"/>
  <c r="L121"/>
  <c r="L138"/>
  <c r="L134"/>
  <c r="L141"/>
  <c r="L120"/>
  <c r="L139"/>
  <c r="L176" s="1"/>
  <c r="L140"/>
  <c r="L113"/>
  <c r="L127"/>
  <c r="L125"/>
  <c r="L129"/>
  <c r="L111"/>
  <c r="L148" s="1"/>
  <c r="L135"/>
  <c r="L132"/>
  <c r="L131"/>
  <c r="L105"/>
  <c r="L116"/>
  <c r="K192" i="34"/>
  <c r="K194"/>
  <c r="K186"/>
  <c r="K190"/>
  <c r="T63"/>
  <c r="N120" i="29"/>
  <c r="N121"/>
  <c r="N136"/>
  <c r="N111"/>
  <c r="N148" s="1"/>
  <c r="N113"/>
  <c r="N135"/>
  <c r="N132"/>
  <c r="N117"/>
  <c r="N139"/>
  <c r="N133"/>
  <c r="N125"/>
  <c r="N137"/>
  <c r="N128"/>
  <c r="N141"/>
  <c r="N123"/>
  <c r="N127"/>
  <c r="N112"/>
  <c r="N122"/>
  <c r="N159" s="1"/>
  <c r="N118"/>
  <c r="N126"/>
  <c r="N119"/>
  <c r="N129"/>
  <c r="N115"/>
  <c r="N130"/>
  <c r="N134"/>
  <c r="N142"/>
  <c r="N140"/>
  <c r="N138"/>
  <c r="N175" s="1"/>
  <c r="N131"/>
  <c r="N105"/>
  <c r="N114"/>
  <c r="N116"/>
  <c r="N124"/>
  <c r="J140" i="17"/>
  <c r="J137"/>
  <c r="J124"/>
  <c r="J133"/>
  <c r="J123"/>
  <c r="J114"/>
  <c r="J126"/>
  <c r="J134"/>
  <c r="J136"/>
  <c r="J122"/>
  <c r="J111"/>
  <c r="J148" s="1"/>
  <c r="J138"/>
  <c r="J119"/>
  <c r="J117"/>
  <c r="J130"/>
  <c r="J142"/>
  <c r="P3" i="34"/>
  <c r="J112" i="17"/>
  <c r="J141"/>
  <c r="J128"/>
  <c r="J139"/>
  <c r="J131"/>
  <c r="J120"/>
  <c r="J105"/>
  <c r="J127"/>
  <c r="J113"/>
  <c r="J150" s="1"/>
  <c r="J116"/>
  <c r="J132"/>
  <c r="J135"/>
  <c r="J115"/>
  <c r="J152" s="1"/>
  <c r="J121"/>
  <c r="J158" s="1"/>
  <c r="J125"/>
  <c r="J129"/>
  <c r="J118"/>
  <c r="J155" s="1"/>
  <c r="K135" i="29"/>
  <c r="K126"/>
  <c r="K111"/>
  <c r="K148" s="1"/>
  <c r="K129"/>
  <c r="K137"/>
  <c r="K131"/>
  <c r="K120"/>
  <c r="K132"/>
  <c r="K113"/>
  <c r="K130"/>
  <c r="K117"/>
  <c r="K127"/>
  <c r="K134"/>
  <c r="K112"/>
  <c r="K119"/>
  <c r="K139"/>
  <c r="K114"/>
  <c r="K151" s="1"/>
  <c r="K123"/>
  <c r="K125"/>
  <c r="Q63" i="34"/>
  <c r="K121" i="29"/>
  <c r="K128"/>
  <c r="K141"/>
  <c r="K105"/>
  <c r="K118"/>
  <c r="K133"/>
  <c r="K140"/>
  <c r="K142"/>
  <c r="K116"/>
  <c r="K124"/>
  <c r="K161" s="1"/>
  <c r="K136"/>
  <c r="K122"/>
  <c r="K115"/>
  <c r="K152" s="1"/>
  <c r="K138"/>
  <c r="AA85" i="18"/>
  <c r="K127" i="34"/>
  <c r="AA81" i="18"/>
  <c r="K123" i="34"/>
  <c r="E163" i="18"/>
  <c r="E162"/>
  <c r="E157"/>
  <c r="E168"/>
  <c r="E178"/>
  <c r="E148"/>
  <c r="E185" s="1"/>
  <c r="E154"/>
  <c r="E179"/>
  <c r="E170"/>
  <c r="E161"/>
  <c r="E151"/>
  <c r="E167"/>
  <c r="E155"/>
  <c r="E172"/>
  <c r="E171"/>
  <c r="E176"/>
  <c r="E153"/>
  <c r="E177"/>
  <c r="E152"/>
  <c r="E189" s="1"/>
  <c r="E228" s="1"/>
  <c r="E165"/>
  <c r="E174"/>
  <c r="E159"/>
  <c r="E169"/>
  <c r="E175"/>
  <c r="E164"/>
  <c r="E201" s="1"/>
  <c r="E240" s="1"/>
  <c r="E142"/>
  <c r="E160"/>
  <c r="E149"/>
  <c r="E173"/>
  <c r="E158"/>
  <c r="E150"/>
  <c r="E156"/>
  <c r="E166"/>
  <c r="K129" i="34"/>
  <c r="AA87" i="18"/>
  <c r="AA95"/>
  <c r="K137" i="34"/>
  <c r="E197" i="29"/>
  <c r="AA192"/>
  <c r="K66" i="34"/>
  <c r="Y47" i="29"/>
  <c r="AE66" i="34" s="1"/>
  <c r="K70"/>
  <c r="Y51" i="29"/>
  <c r="AE70" i="34" s="1"/>
  <c r="K69"/>
  <c r="Y50" i="29"/>
  <c r="AE69" i="34" s="1"/>
  <c r="Q136" i="29"/>
  <c r="Q137"/>
  <c r="Q138"/>
  <c r="Q113"/>
  <c r="Q112"/>
  <c r="Q105"/>
  <c r="Q123"/>
  <c r="Q139"/>
  <c r="Q115"/>
  <c r="Q120"/>
  <c r="Q125"/>
  <c r="Q126"/>
  <c r="Q133"/>
  <c r="Q121"/>
  <c r="Q128"/>
  <c r="Q114"/>
  <c r="Q151" s="1"/>
  <c r="Q130"/>
  <c r="Q124"/>
  <c r="Q141"/>
  <c r="Q140"/>
  <c r="Q177" s="1"/>
  <c r="Q117"/>
  <c r="Q111"/>
  <c r="Q148" s="1"/>
  <c r="Q131"/>
  <c r="Q135"/>
  <c r="Q134"/>
  <c r="Q171" s="1"/>
  <c r="Q119"/>
  <c r="Q118"/>
  <c r="Q122"/>
  <c r="Q127"/>
  <c r="Q129"/>
  <c r="W63" i="34"/>
  <c r="Q142" i="29"/>
  <c r="Q132"/>
  <c r="Q116"/>
  <c r="J197"/>
  <c r="R23" i="31"/>
  <c r="S3" i="34"/>
  <c r="M111" i="17"/>
  <c r="M148" s="1"/>
  <c r="M138"/>
  <c r="M116"/>
  <c r="M126"/>
  <c r="M113"/>
  <c r="M124"/>
  <c r="M115"/>
  <c r="M136"/>
  <c r="M139"/>
  <c r="M129"/>
  <c r="M140"/>
  <c r="M137"/>
  <c r="M112"/>
  <c r="M149" s="1"/>
  <c r="M135"/>
  <c r="M141"/>
  <c r="M178" s="1"/>
  <c r="M123"/>
  <c r="M134"/>
  <c r="M125"/>
  <c r="M162" s="1"/>
  <c r="M118"/>
  <c r="M105"/>
  <c r="M114"/>
  <c r="M151" s="1"/>
  <c r="M120"/>
  <c r="M127"/>
  <c r="M142"/>
  <c r="M122"/>
  <c r="M117"/>
  <c r="M128"/>
  <c r="M165" s="1"/>
  <c r="M121"/>
  <c r="M130"/>
  <c r="M131"/>
  <c r="M119"/>
  <c r="M156" s="1"/>
  <c r="M133"/>
  <c r="M132"/>
  <c r="K165" i="18"/>
  <c r="K170"/>
  <c r="K179"/>
  <c r="K162"/>
  <c r="K156"/>
  <c r="K171"/>
  <c r="K153"/>
  <c r="K158"/>
  <c r="K174"/>
  <c r="K157"/>
  <c r="K175"/>
  <c r="K155"/>
  <c r="K176"/>
  <c r="K154"/>
  <c r="Q123" i="34"/>
  <c r="K150" i="18"/>
  <c r="K151"/>
  <c r="K169"/>
  <c r="K166"/>
  <c r="K178"/>
  <c r="K148"/>
  <c r="K185" s="1"/>
  <c r="K161"/>
  <c r="K173"/>
  <c r="K159"/>
  <c r="K196" s="1"/>
  <c r="K164"/>
  <c r="K172"/>
  <c r="K209" s="1"/>
  <c r="K142"/>
  <c r="K149"/>
  <c r="K152"/>
  <c r="K189" s="1"/>
  <c r="K163"/>
  <c r="K167"/>
  <c r="K204" s="1"/>
  <c r="K160"/>
  <c r="K197" s="1"/>
  <c r="K177"/>
  <c r="K168"/>
  <c r="G124" i="29"/>
  <c r="G114"/>
  <c r="G123"/>
  <c r="G140"/>
  <c r="G141"/>
  <c r="G126"/>
  <c r="G122"/>
  <c r="G112"/>
  <c r="G133"/>
  <c r="G135"/>
  <c r="G117"/>
  <c r="G142"/>
  <c r="G120"/>
  <c r="G130"/>
  <c r="G105"/>
  <c r="G129"/>
  <c r="M63" i="34"/>
  <c r="G125" i="29"/>
  <c r="G119"/>
  <c r="G139"/>
  <c r="G113"/>
  <c r="G111"/>
  <c r="G148" s="1"/>
  <c r="G121"/>
  <c r="G137"/>
  <c r="G116"/>
  <c r="G115"/>
  <c r="G152" s="1"/>
  <c r="G132"/>
  <c r="G131"/>
  <c r="G118"/>
  <c r="G136"/>
  <c r="G134"/>
  <c r="G138"/>
  <c r="G175" s="1"/>
  <c r="G127"/>
  <c r="G128"/>
  <c r="Y46" i="17"/>
  <c r="AE5" i="34" s="1"/>
  <c r="K5"/>
  <c r="K10"/>
  <c r="Y51" i="17"/>
  <c r="AE10" i="34" s="1"/>
  <c r="Y53" i="17"/>
  <c r="AE12" i="34" s="1"/>
  <c r="K12"/>
  <c r="H156" i="31"/>
  <c r="H164"/>
  <c r="H149"/>
  <c r="H168"/>
  <c r="H178"/>
  <c r="H170"/>
  <c r="H166"/>
  <c r="H148"/>
  <c r="H185" s="1"/>
  <c r="H174"/>
  <c r="H151"/>
  <c r="N183" i="34"/>
  <c r="H154" i="31"/>
  <c r="H169"/>
  <c r="H160"/>
  <c r="H150"/>
  <c r="H187" s="1"/>
  <c r="H173"/>
  <c r="H167"/>
  <c r="H155"/>
  <c r="H158"/>
  <c r="H172"/>
  <c r="H157"/>
  <c r="H194" s="1"/>
  <c r="H152"/>
  <c r="H189" s="1"/>
  <c r="H175"/>
  <c r="H163"/>
  <c r="H142"/>
  <c r="H162"/>
  <c r="H153"/>
  <c r="H161"/>
  <c r="H159"/>
  <c r="H177"/>
  <c r="H179"/>
  <c r="H171"/>
  <c r="H176"/>
  <c r="H165"/>
  <c r="H202" s="1"/>
  <c r="AA38" i="17"/>
  <c r="Y196" i="18"/>
  <c r="Y192"/>
  <c r="Y187"/>
  <c r="Y214"/>
  <c r="Y210"/>
  <c r="Y198"/>
  <c r="Y199"/>
  <c r="T3" i="34"/>
  <c r="N121" i="17"/>
  <c r="N113"/>
  <c r="N111"/>
  <c r="N148" s="1"/>
  <c r="N135"/>
  <c r="N133"/>
  <c r="N142"/>
  <c r="N140"/>
  <c r="N116"/>
  <c r="N117"/>
  <c r="N137"/>
  <c r="N138"/>
  <c r="N131"/>
  <c r="N115"/>
  <c r="N134"/>
  <c r="N105"/>
  <c r="N129"/>
  <c r="N132"/>
  <c r="N120"/>
  <c r="N114"/>
  <c r="N119"/>
  <c r="N127"/>
  <c r="N125"/>
  <c r="N126"/>
  <c r="N124"/>
  <c r="N130"/>
  <c r="N122"/>
  <c r="N123"/>
  <c r="N139"/>
  <c r="N118"/>
  <c r="N155" s="1"/>
  <c r="N128"/>
  <c r="N141"/>
  <c r="N178" s="1"/>
  <c r="N136"/>
  <c r="N173" s="1"/>
  <c r="N112"/>
  <c r="P115"/>
  <c r="P116"/>
  <c r="P132"/>
  <c r="P134"/>
  <c r="P126"/>
  <c r="P131"/>
  <c r="P105"/>
  <c r="P130"/>
  <c r="P141"/>
  <c r="P114"/>
  <c r="P140"/>
  <c r="P129"/>
  <c r="P123"/>
  <c r="P119"/>
  <c r="P135"/>
  <c r="P111"/>
  <c r="P148" s="1"/>
  <c r="P124"/>
  <c r="P161" s="1"/>
  <c r="P125"/>
  <c r="P122"/>
  <c r="P128"/>
  <c r="P142"/>
  <c r="V3" i="34"/>
  <c r="P127" i="17"/>
  <c r="P112"/>
  <c r="P149" s="1"/>
  <c r="P136"/>
  <c r="P118"/>
  <c r="P121"/>
  <c r="P138"/>
  <c r="P113"/>
  <c r="P120"/>
  <c r="P157" s="1"/>
  <c r="P139"/>
  <c r="P133"/>
  <c r="P137"/>
  <c r="P117"/>
  <c r="P154" s="1"/>
  <c r="S123" i="34"/>
  <c r="M153" i="18"/>
  <c r="M176"/>
  <c r="M167"/>
  <c r="M154"/>
  <c r="M158"/>
  <c r="M171"/>
  <c r="M159"/>
  <c r="M168"/>
  <c r="M142"/>
  <c r="M165"/>
  <c r="M157"/>
  <c r="M179"/>
  <c r="M172"/>
  <c r="M151"/>
  <c r="M170"/>
  <c r="M160"/>
  <c r="M161"/>
  <c r="M150"/>
  <c r="M149"/>
  <c r="M163"/>
  <c r="M177"/>
  <c r="M162"/>
  <c r="M169"/>
  <c r="M152"/>
  <c r="M148"/>
  <c r="M185" s="1"/>
  <c r="M174"/>
  <c r="M155"/>
  <c r="M173"/>
  <c r="M175"/>
  <c r="M166"/>
  <c r="M203" s="1"/>
  <c r="M164"/>
  <c r="M156"/>
  <c r="M178"/>
  <c r="M215" s="1"/>
  <c r="F135" i="29"/>
  <c r="F114"/>
  <c r="F138"/>
  <c r="F119"/>
  <c r="F132"/>
  <c r="F140"/>
  <c r="F139"/>
  <c r="F111"/>
  <c r="F148" s="1"/>
  <c r="F133"/>
  <c r="F120"/>
  <c r="F136"/>
  <c r="L63" i="34"/>
  <c r="F128" i="29"/>
  <c r="F113"/>
  <c r="F115"/>
  <c r="F129"/>
  <c r="F112"/>
  <c r="F131"/>
  <c r="F116"/>
  <c r="F123"/>
  <c r="F126"/>
  <c r="F124"/>
  <c r="F122"/>
  <c r="F130"/>
  <c r="F167" s="1"/>
  <c r="F134"/>
  <c r="F171" s="1"/>
  <c r="F142"/>
  <c r="F179" s="1"/>
  <c r="F141"/>
  <c r="F121"/>
  <c r="F117"/>
  <c r="F118"/>
  <c r="F105"/>
  <c r="F137"/>
  <c r="F125"/>
  <c r="F127"/>
  <c r="AB3" i="34"/>
  <c r="V119" i="17"/>
  <c r="V131"/>
  <c r="V126"/>
  <c r="V137"/>
  <c r="V141"/>
  <c r="V136"/>
  <c r="V124"/>
  <c r="V128"/>
  <c r="V112"/>
  <c r="V118"/>
  <c r="V114"/>
  <c r="V125"/>
  <c r="V105"/>
  <c r="V140"/>
  <c r="V130"/>
  <c r="V123"/>
  <c r="V129"/>
  <c r="V133"/>
  <c r="V113"/>
  <c r="V135"/>
  <c r="V142"/>
  <c r="V111"/>
  <c r="V148" s="1"/>
  <c r="V115"/>
  <c r="V152" s="1"/>
  <c r="V117"/>
  <c r="V120"/>
  <c r="V157" s="1"/>
  <c r="V134"/>
  <c r="V171" s="1"/>
  <c r="V138"/>
  <c r="V132"/>
  <c r="V121"/>
  <c r="V158" s="1"/>
  <c r="V116"/>
  <c r="V122"/>
  <c r="V139"/>
  <c r="V127"/>
  <c r="W116"/>
  <c r="W126"/>
  <c r="W117"/>
  <c r="W120"/>
  <c r="W127"/>
  <c r="W131"/>
  <c r="W130"/>
  <c r="W133"/>
  <c r="W138"/>
  <c r="AC3" i="34"/>
  <c r="W141" i="17"/>
  <c r="W135"/>
  <c r="W137"/>
  <c r="W121"/>
  <c r="W105"/>
  <c r="W142"/>
  <c r="W122"/>
  <c r="W132"/>
  <c r="W169" s="1"/>
  <c r="W128"/>
  <c r="W129"/>
  <c r="W123"/>
  <c r="W139"/>
  <c r="W118"/>
  <c r="W155" s="1"/>
  <c r="W113"/>
  <c r="W140"/>
  <c r="W112"/>
  <c r="W119"/>
  <c r="W156" s="1"/>
  <c r="W114"/>
  <c r="W115"/>
  <c r="W134"/>
  <c r="W111"/>
  <c r="W148" s="1"/>
  <c r="W125"/>
  <c r="W136"/>
  <c r="W124"/>
  <c r="P123" i="34"/>
  <c r="J157" i="18"/>
  <c r="J174"/>
  <c r="J150"/>
  <c r="J161"/>
  <c r="J156"/>
  <c r="J163"/>
  <c r="J178"/>
  <c r="J169"/>
  <c r="J168"/>
  <c r="J149"/>
  <c r="J142"/>
  <c r="J152"/>
  <c r="J173"/>
  <c r="J148"/>
  <c r="J185" s="1"/>
  <c r="J151"/>
  <c r="J188" s="1"/>
  <c r="J176"/>
  <c r="J167"/>
  <c r="J172"/>
  <c r="J162"/>
  <c r="J165"/>
  <c r="J153"/>
  <c r="J155"/>
  <c r="J160"/>
  <c r="J171"/>
  <c r="J170"/>
  <c r="J177"/>
  <c r="J175"/>
  <c r="J179"/>
  <c r="J164"/>
  <c r="J158"/>
  <c r="J159"/>
  <c r="J154"/>
  <c r="J166"/>
  <c r="T23" i="31"/>
  <c r="L197" i="29"/>
  <c r="K197" i="34"/>
  <c r="K191"/>
  <c r="K187"/>
  <c r="K189"/>
  <c r="M123"/>
  <c r="G163" i="18"/>
  <c r="G142"/>
  <c r="G153"/>
  <c r="G168"/>
  <c r="G173"/>
  <c r="G149"/>
  <c r="G164"/>
  <c r="G171"/>
  <c r="G159"/>
  <c r="G158"/>
  <c r="G157"/>
  <c r="G156"/>
  <c r="G151"/>
  <c r="G162"/>
  <c r="G150"/>
  <c r="G161"/>
  <c r="G177"/>
  <c r="G172"/>
  <c r="G160"/>
  <c r="G169"/>
  <c r="G206" s="1"/>
  <c r="G155"/>
  <c r="G165"/>
  <c r="G179"/>
  <c r="G174"/>
  <c r="G154"/>
  <c r="G152"/>
  <c r="G170"/>
  <c r="G178"/>
  <c r="G148"/>
  <c r="G185" s="1"/>
  <c r="G175"/>
  <c r="G176"/>
  <c r="G166"/>
  <c r="G167"/>
  <c r="X123" i="34"/>
  <c r="R177" i="18"/>
  <c r="R161"/>
  <c r="R167"/>
  <c r="R142"/>
  <c r="R175"/>
  <c r="R164"/>
  <c r="R157"/>
  <c r="R148"/>
  <c r="R185" s="1"/>
  <c r="R171"/>
  <c r="R169"/>
  <c r="R155"/>
  <c r="R170"/>
  <c r="R159"/>
  <c r="R151"/>
  <c r="R168"/>
  <c r="R205" s="1"/>
  <c r="R150"/>
  <c r="R165"/>
  <c r="R179"/>
  <c r="R174"/>
  <c r="R163"/>
  <c r="R176"/>
  <c r="R213" s="1"/>
  <c r="R158"/>
  <c r="R153"/>
  <c r="R178"/>
  <c r="R149"/>
  <c r="R160"/>
  <c r="R154"/>
  <c r="R162"/>
  <c r="R173"/>
  <c r="R152"/>
  <c r="R189" s="1"/>
  <c r="R166"/>
  <c r="R172"/>
  <c r="R156"/>
  <c r="K136" i="34"/>
  <c r="AA94" i="18"/>
  <c r="AA86"/>
  <c r="K128" i="34"/>
  <c r="K125"/>
  <c r="AA83" i="18"/>
  <c r="AA89"/>
  <c r="K131" i="34"/>
  <c r="K77"/>
  <c r="Y58" i="29"/>
  <c r="AE77" i="34" s="1"/>
  <c r="K65"/>
  <c r="Y46" i="29"/>
  <c r="AE65" i="34" s="1"/>
  <c r="K71"/>
  <c r="Y52" i="29"/>
  <c r="AE71" i="34" s="1"/>
  <c r="K76"/>
  <c r="Y57" i="29"/>
  <c r="AE76" i="34" s="1"/>
  <c r="Y123"/>
  <c r="S168" i="18"/>
  <c r="S167"/>
  <c r="S177"/>
  <c r="S157"/>
  <c r="S156"/>
  <c r="S175"/>
  <c r="S171"/>
  <c r="S164"/>
  <c r="S178"/>
  <c r="S172"/>
  <c r="S161"/>
  <c r="S155"/>
  <c r="S151"/>
  <c r="S158"/>
  <c r="S154"/>
  <c r="S159"/>
  <c r="S173"/>
  <c r="S169"/>
  <c r="S160"/>
  <c r="S163"/>
  <c r="S150"/>
  <c r="S166"/>
  <c r="S149"/>
  <c r="S179"/>
  <c r="S174"/>
  <c r="S211" s="1"/>
  <c r="S165"/>
  <c r="S162"/>
  <c r="S199" s="1"/>
  <c r="S176"/>
  <c r="S170"/>
  <c r="S142"/>
  <c r="S152"/>
  <c r="S148"/>
  <c r="S185" s="1"/>
  <c r="S153"/>
  <c r="U23" i="31"/>
  <c r="M197" i="29"/>
  <c r="I169" i="31"/>
  <c r="I154"/>
  <c r="I150"/>
  <c r="I177"/>
  <c r="I167"/>
  <c r="I164"/>
  <c r="I171"/>
  <c r="I151"/>
  <c r="I156"/>
  <c r="I152"/>
  <c r="I162"/>
  <c r="I174"/>
  <c r="O183" i="34"/>
  <c r="I161" i="31"/>
  <c r="I153"/>
  <c r="I157"/>
  <c r="I178"/>
  <c r="I160"/>
  <c r="I148"/>
  <c r="I185" s="1"/>
  <c r="I149"/>
  <c r="I158"/>
  <c r="I165"/>
  <c r="I202" s="1"/>
  <c r="I163"/>
  <c r="I200" s="1"/>
  <c r="I168"/>
  <c r="I159"/>
  <c r="I172"/>
  <c r="I142"/>
  <c r="I175"/>
  <c r="I212" s="1"/>
  <c r="I170"/>
  <c r="I207" s="1"/>
  <c r="I173"/>
  <c r="I210" s="1"/>
  <c r="I155"/>
  <c r="I179"/>
  <c r="I166"/>
  <c r="I176"/>
  <c r="W118" i="29"/>
  <c r="W129"/>
  <c r="W135"/>
  <c r="AC63" i="34"/>
  <c r="W126" i="29"/>
  <c r="W105"/>
  <c r="W130"/>
  <c r="W141"/>
  <c r="W117"/>
  <c r="W136"/>
  <c r="W139"/>
  <c r="W116"/>
  <c r="W123"/>
  <c r="W138"/>
  <c r="W115"/>
  <c r="W114"/>
  <c r="W124"/>
  <c r="W161" s="1"/>
  <c r="W137"/>
  <c r="W174" s="1"/>
  <c r="W134"/>
  <c r="W122"/>
  <c r="W128"/>
  <c r="W121"/>
  <c r="W131"/>
  <c r="W168" s="1"/>
  <c r="W111"/>
  <c r="W148" s="1"/>
  <c r="W142"/>
  <c r="W132"/>
  <c r="W120"/>
  <c r="W119"/>
  <c r="W125"/>
  <c r="W162" s="1"/>
  <c r="W112"/>
  <c r="W113"/>
  <c r="W140"/>
  <c r="W127"/>
  <c r="W164" s="1"/>
  <c r="W133"/>
  <c r="Q165" i="18"/>
  <c r="Q152"/>
  <c r="Q159"/>
  <c r="Q171"/>
  <c r="Q178"/>
  <c r="Q151"/>
  <c r="Q179"/>
  <c r="Q161"/>
  <c r="Q158"/>
  <c r="Q164"/>
  <c r="Q154"/>
  <c r="Q173"/>
  <c r="Q157"/>
  <c r="Q142"/>
  <c r="Q170"/>
  <c r="Q166"/>
  <c r="Q150"/>
  <c r="Q167"/>
  <c r="Q174"/>
  <c r="Q163"/>
  <c r="Q177"/>
  <c r="Q175"/>
  <c r="W123" i="34"/>
  <c r="Q156" i="18"/>
  <c r="Q172"/>
  <c r="Q168"/>
  <c r="Q148"/>
  <c r="Q185" s="1"/>
  <c r="Q169"/>
  <c r="Q153"/>
  <c r="Q149"/>
  <c r="Q160"/>
  <c r="Q197" s="1"/>
  <c r="Q176"/>
  <c r="Q155"/>
  <c r="Q162"/>
  <c r="E120" i="17"/>
  <c r="E127"/>
  <c r="E121"/>
  <c r="E111"/>
  <c r="E113"/>
  <c r="E125"/>
  <c r="E116"/>
  <c r="E139"/>
  <c r="E141"/>
  <c r="E117"/>
  <c r="E124"/>
  <c r="E122"/>
  <c r="E133"/>
  <c r="E131"/>
  <c r="E142"/>
  <c r="E118"/>
  <c r="E119"/>
  <c r="E114"/>
  <c r="Y44"/>
  <c r="AA44" s="1"/>
  <c r="E123"/>
  <c r="E112"/>
  <c r="E138"/>
  <c r="E130"/>
  <c r="E129"/>
  <c r="E137"/>
  <c r="K3" i="34"/>
  <c r="E126" i="17"/>
  <c r="E135"/>
  <c r="E128"/>
  <c r="E136"/>
  <c r="E132"/>
  <c r="E140"/>
  <c r="E115"/>
  <c r="E105"/>
  <c r="E134"/>
  <c r="K6" i="34"/>
  <c r="Y47" i="17"/>
  <c r="AE6" i="34" s="1"/>
  <c r="K4"/>
  <c r="Y45" i="17"/>
  <c r="Y57"/>
  <c r="AE16" i="34" s="1"/>
  <c r="K16"/>
  <c r="Y48" i="17"/>
  <c r="AE7" i="34" s="1"/>
  <c r="K7"/>
  <c r="P139" i="29"/>
  <c r="P142"/>
  <c r="P125"/>
  <c r="V63" i="34"/>
  <c r="P141" i="29"/>
  <c r="P129"/>
  <c r="P126"/>
  <c r="P116"/>
  <c r="P114"/>
  <c r="P140"/>
  <c r="P115"/>
  <c r="P132"/>
  <c r="P120"/>
  <c r="P130"/>
  <c r="P167" s="1"/>
  <c r="P124"/>
  <c r="P133"/>
  <c r="P170" s="1"/>
  <c r="P131"/>
  <c r="P127"/>
  <c r="P121"/>
  <c r="P119"/>
  <c r="P118"/>
  <c r="P134"/>
  <c r="P136"/>
  <c r="P105"/>
  <c r="P138"/>
  <c r="P111"/>
  <c r="P148" s="1"/>
  <c r="P123"/>
  <c r="P137"/>
  <c r="P113"/>
  <c r="P135"/>
  <c r="P128"/>
  <c r="P117"/>
  <c r="P154" s="1"/>
  <c r="P112"/>
  <c r="P122"/>
  <c r="R131" i="17"/>
  <c r="R142"/>
  <c r="R139"/>
  <c r="R137"/>
  <c r="R124"/>
  <c r="R115"/>
  <c r="R119"/>
  <c r="R133"/>
  <c r="R116"/>
  <c r="R121"/>
  <c r="R118"/>
  <c r="R117"/>
  <c r="R140"/>
  <c r="R126"/>
  <c r="R134"/>
  <c r="R128"/>
  <c r="X3" i="34"/>
  <c r="R120" i="17"/>
  <c r="R132"/>
  <c r="R113"/>
  <c r="R112"/>
  <c r="R127"/>
  <c r="R164" s="1"/>
  <c r="R125"/>
  <c r="R111"/>
  <c r="R148" s="1"/>
  <c r="R123"/>
  <c r="R122"/>
  <c r="R159" s="1"/>
  <c r="R105"/>
  <c r="R136"/>
  <c r="R129"/>
  <c r="R141"/>
  <c r="R130"/>
  <c r="R138"/>
  <c r="R175" s="1"/>
  <c r="R114"/>
  <c r="R135"/>
  <c r="Q3" i="34"/>
  <c r="K123" i="17"/>
  <c r="K118"/>
  <c r="K124"/>
  <c r="K114"/>
  <c r="K133"/>
  <c r="K126"/>
  <c r="K119"/>
  <c r="K112"/>
  <c r="K139"/>
  <c r="K130"/>
  <c r="K128"/>
  <c r="K125"/>
  <c r="K138"/>
  <c r="K141"/>
  <c r="K117"/>
  <c r="K121"/>
  <c r="K115"/>
  <c r="K131"/>
  <c r="K137"/>
  <c r="K135"/>
  <c r="K113"/>
  <c r="K129"/>
  <c r="K136"/>
  <c r="K140"/>
  <c r="K105"/>
  <c r="K111"/>
  <c r="K148" s="1"/>
  <c r="K122"/>
  <c r="K142"/>
  <c r="K127"/>
  <c r="K120"/>
  <c r="K116"/>
  <c r="K132"/>
  <c r="K134"/>
  <c r="K171" s="1"/>
  <c r="Y205" i="18"/>
  <c r="Y216"/>
  <c r="Y212"/>
  <c r="Y194"/>
  <c r="Y202"/>
  <c r="Y206"/>
  <c r="L183" i="34"/>
  <c r="F153" i="31"/>
  <c r="F155"/>
  <c r="F149"/>
  <c r="F179"/>
  <c r="F156"/>
  <c r="F162"/>
  <c r="F171"/>
  <c r="F165"/>
  <c r="F166"/>
  <c r="F173"/>
  <c r="F154"/>
  <c r="F177"/>
  <c r="F151"/>
  <c r="F174"/>
  <c r="F161"/>
  <c r="F172"/>
  <c r="F170"/>
  <c r="F159"/>
  <c r="F167"/>
  <c r="F163"/>
  <c r="F148"/>
  <c r="F185" s="1"/>
  <c r="F157"/>
  <c r="F176"/>
  <c r="F160"/>
  <c r="F142"/>
  <c r="F150"/>
  <c r="F152"/>
  <c r="F169"/>
  <c r="F168"/>
  <c r="F178"/>
  <c r="F158"/>
  <c r="F164"/>
  <c r="F201" s="1"/>
  <c r="F175"/>
  <c r="K168"/>
  <c r="K155"/>
  <c r="K161"/>
  <c r="K176"/>
  <c r="K174"/>
  <c r="K153"/>
  <c r="K157"/>
  <c r="K165"/>
  <c r="K171"/>
  <c r="K170"/>
  <c r="K173"/>
  <c r="K148"/>
  <c r="K185" s="1"/>
  <c r="Q183" i="34"/>
  <c r="K156" i="31"/>
  <c r="K193" s="1"/>
  <c r="K179"/>
  <c r="K149"/>
  <c r="K142"/>
  <c r="K150"/>
  <c r="K175"/>
  <c r="K160"/>
  <c r="K151"/>
  <c r="K159"/>
  <c r="K166"/>
  <c r="K154"/>
  <c r="K164"/>
  <c r="K169"/>
  <c r="K172"/>
  <c r="K178"/>
  <c r="K162"/>
  <c r="K152"/>
  <c r="K177"/>
  <c r="K167"/>
  <c r="K158"/>
  <c r="K163"/>
  <c r="F131" i="17"/>
  <c r="F122"/>
  <c r="F128"/>
  <c r="F124"/>
  <c r="F119"/>
  <c r="F126"/>
  <c r="F117"/>
  <c r="F116"/>
  <c r="F132"/>
  <c r="F125"/>
  <c r="F114"/>
  <c r="F123"/>
  <c r="F140"/>
  <c r="F120"/>
  <c r="F118"/>
  <c r="F155" s="1"/>
  <c r="F121"/>
  <c r="F142"/>
  <c r="F179" s="1"/>
  <c r="F105"/>
  <c r="F135"/>
  <c r="F138"/>
  <c r="F139"/>
  <c r="L3" i="34"/>
  <c r="F115" i="17"/>
  <c r="F152" s="1"/>
  <c r="F111"/>
  <c r="F148" s="1"/>
  <c r="F137"/>
  <c r="F134"/>
  <c r="F113"/>
  <c r="F133"/>
  <c r="F130"/>
  <c r="F136"/>
  <c r="F127"/>
  <c r="F141"/>
  <c r="F129"/>
  <c r="F112"/>
  <c r="K183" i="34"/>
  <c r="E172" i="31"/>
  <c r="E149"/>
  <c r="E159"/>
  <c r="E168"/>
  <c r="E169"/>
  <c r="E142"/>
  <c r="E179"/>
  <c r="E148"/>
  <c r="E185" s="1"/>
  <c r="E164"/>
  <c r="E176"/>
  <c r="E177"/>
  <c r="E153"/>
  <c r="E173"/>
  <c r="E210" s="1"/>
  <c r="E249" s="1"/>
  <c r="E170"/>
  <c r="E178"/>
  <c r="E171"/>
  <c r="E162"/>
  <c r="E154"/>
  <c r="E165"/>
  <c r="E161"/>
  <c r="E174"/>
  <c r="E166"/>
  <c r="E156"/>
  <c r="E158"/>
  <c r="E160"/>
  <c r="E152"/>
  <c r="E163"/>
  <c r="E150"/>
  <c r="E155"/>
  <c r="E157"/>
  <c r="E151"/>
  <c r="E175"/>
  <c r="E167"/>
  <c r="O123" i="34"/>
  <c r="I148" i="18"/>
  <c r="I185" s="1"/>
  <c r="I160"/>
  <c r="I168"/>
  <c r="I170"/>
  <c r="I142"/>
  <c r="I154"/>
  <c r="I155"/>
  <c r="I172"/>
  <c r="I166"/>
  <c r="I152"/>
  <c r="I179"/>
  <c r="I153"/>
  <c r="I162"/>
  <c r="I157"/>
  <c r="I169"/>
  <c r="I178"/>
  <c r="I175"/>
  <c r="I174"/>
  <c r="I161"/>
  <c r="I158"/>
  <c r="I159"/>
  <c r="I150"/>
  <c r="I176"/>
  <c r="I163"/>
  <c r="I151"/>
  <c r="I149"/>
  <c r="I173"/>
  <c r="I164"/>
  <c r="I171"/>
  <c r="I156"/>
  <c r="I167"/>
  <c r="I165"/>
  <c r="I177"/>
  <c r="N23" i="31"/>
  <c r="F197" i="29"/>
  <c r="O3" i="34"/>
  <c r="I129" i="17"/>
  <c r="I142"/>
  <c r="I132"/>
  <c r="I127"/>
  <c r="I128"/>
  <c r="I122"/>
  <c r="I119"/>
  <c r="I120"/>
  <c r="I115"/>
  <c r="I137"/>
  <c r="I131"/>
  <c r="I130"/>
  <c r="I114"/>
  <c r="I139"/>
  <c r="I121"/>
  <c r="I138"/>
  <c r="I141"/>
  <c r="I113"/>
  <c r="I140"/>
  <c r="I112"/>
  <c r="I111"/>
  <c r="I148" s="1"/>
  <c r="I123"/>
  <c r="I160" s="1"/>
  <c r="I133"/>
  <c r="I170" s="1"/>
  <c r="I135"/>
  <c r="I126"/>
  <c r="I136"/>
  <c r="I124"/>
  <c r="I125"/>
  <c r="I116"/>
  <c r="I153" s="1"/>
  <c r="I134"/>
  <c r="I105"/>
  <c r="I118"/>
  <c r="I117"/>
  <c r="I154" s="1"/>
  <c r="M3" i="34"/>
  <c r="G129" i="17"/>
  <c r="G137"/>
  <c r="G122"/>
  <c r="G133"/>
  <c r="G124"/>
  <c r="G121"/>
  <c r="G126"/>
  <c r="G131"/>
  <c r="G135"/>
  <c r="G118"/>
  <c r="G111"/>
  <c r="G148" s="1"/>
  <c r="G114"/>
  <c r="G127"/>
  <c r="G139"/>
  <c r="G142"/>
  <c r="G116"/>
  <c r="G140"/>
  <c r="G136"/>
  <c r="G130"/>
  <c r="G115"/>
  <c r="G117"/>
  <c r="G132"/>
  <c r="G128"/>
  <c r="G141"/>
  <c r="G123"/>
  <c r="G120"/>
  <c r="G119"/>
  <c r="G105"/>
  <c r="G125"/>
  <c r="G162" s="1"/>
  <c r="G112"/>
  <c r="G113"/>
  <c r="G138"/>
  <c r="G134"/>
  <c r="O197" i="29"/>
  <c r="W23" i="31"/>
  <c r="O132" i="29"/>
  <c r="O115"/>
  <c r="O119"/>
  <c r="O117"/>
  <c r="O125"/>
  <c r="O129"/>
  <c r="O123"/>
  <c r="O105"/>
  <c r="O135"/>
  <c r="O118"/>
  <c r="O137"/>
  <c r="O114"/>
  <c r="O121"/>
  <c r="O140"/>
  <c r="O131"/>
  <c r="O126"/>
  <c r="O130"/>
  <c r="O113"/>
  <c r="O134"/>
  <c r="U63" i="34"/>
  <c r="O111" i="29"/>
  <c r="O148" s="1"/>
  <c r="O139"/>
  <c r="O116"/>
  <c r="O142"/>
  <c r="O141"/>
  <c r="O128"/>
  <c r="O138"/>
  <c r="O175" s="1"/>
  <c r="O120"/>
  <c r="O136"/>
  <c r="O173" s="1"/>
  <c r="O112"/>
  <c r="O127"/>
  <c r="O124"/>
  <c r="O133"/>
  <c r="O170" s="1"/>
  <c r="O122"/>
  <c r="Z123" i="34"/>
  <c r="T174" i="18"/>
  <c r="T168"/>
  <c r="T167"/>
  <c r="T170"/>
  <c r="T142"/>
  <c r="T179"/>
  <c r="T158"/>
  <c r="T149"/>
  <c r="T173"/>
  <c r="T172"/>
  <c r="T159"/>
  <c r="T175"/>
  <c r="T176"/>
  <c r="T161"/>
  <c r="T154"/>
  <c r="T162"/>
  <c r="T152"/>
  <c r="T171"/>
  <c r="T157"/>
  <c r="T151"/>
  <c r="T160"/>
  <c r="T169"/>
  <c r="T206" s="1"/>
  <c r="T163"/>
  <c r="T153"/>
  <c r="T148"/>
  <c r="T185" s="1"/>
  <c r="T177"/>
  <c r="T178"/>
  <c r="T166"/>
  <c r="T165"/>
  <c r="T156"/>
  <c r="T155"/>
  <c r="T192" s="1"/>
  <c r="T150"/>
  <c r="T187" s="1"/>
  <c r="T164"/>
  <c r="R119" i="29"/>
  <c r="R138"/>
  <c r="R122"/>
  <c r="R118"/>
  <c r="R136"/>
  <c r="R130"/>
  <c r="R117"/>
  <c r="R113"/>
  <c r="R139"/>
  <c r="R120"/>
  <c r="R125"/>
  <c r="R121"/>
  <c r="X63" i="34"/>
  <c r="R114" i="29"/>
  <c r="R135"/>
  <c r="R140"/>
  <c r="R132"/>
  <c r="R126"/>
  <c r="R111"/>
  <c r="R148" s="1"/>
  <c r="R115"/>
  <c r="R124"/>
  <c r="R128"/>
  <c r="R142"/>
  <c r="R105"/>
  <c r="R137"/>
  <c r="R174" s="1"/>
  <c r="R123"/>
  <c r="R133"/>
  <c r="R112"/>
  <c r="R131"/>
  <c r="R134"/>
  <c r="R141"/>
  <c r="R129"/>
  <c r="R127"/>
  <c r="R116"/>
  <c r="L169" i="31"/>
  <c r="L160"/>
  <c r="L150"/>
  <c r="L164"/>
  <c r="L154"/>
  <c r="L175"/>
  <c r="L167"/>
  <c r="L157"/>
  <c r="L174"/>
  <c r="L163"/>
  <c r="L176"/>
  <c r="L173"/>
  <c r="L178"/>
  <c r="L149"/>
  <c r="L170"/>
  <c r="L158"/>
  <c r="L195" s="1"/>
  <c r="L177"/>
  <c r="L142"/>
  <c r="L151"/>
  <c r="L188" s="1"/>
  <c r="L172"/>
  <c r="R183" i="34"/>
  <c r="L162" i="31"/>
  <c r="L156"/>
  <c r="L153"/>
  <c r="L152"/>
  <c r="L168"/>
  <c r="L171"/>
  <c r="L208" s="1"/>
  <c r="L161"/>
  <c r="L155"/>
  <c r="L192" s="1"/>
  <c r="L148"/>
  <c r="L185" s="1"/>
  <c r="L166"/>
  <c r="L165"/>
  <c r="L202" s="1"/>
  <c r="L179"/>
  <c r="L216" s="1"/>
  <c r="L159"/>
  <c r="Z3" i="34"/>
  <c r="T142" i="17"/>
  <c r="T139"/>
  <c r="T128"/>
  <c r="T141"/>
  <c r="T121"/>
  <c r="T113"/>
  <c r="T124"/>
  <c r="T115"/>
  <c r="T138"/>
  <c r="T137"/>
  <c r="T126"/>
  <c r="T131"/>
  <c r="T134"/>
  <c r="T112"/>
  <c r="T117"/>
  <c r="T105"/>
  <c r="T127"/>
  <c r="T114"/>
  <c r="T151" s="1"/>
  <c r="T111"/>
  <c r="T148" s="1"/>
  <c r="T140"/>
  <c r="T136"/>
  <c r="T132"/>
  <c r="T125"/>
  <c r="T162" s="1"/>
  <c r="T119"/>
  <c r="T135"/>
  <c r="T172" s="1"/>
  <c r="T122"/>
  <c r="T129"/>
  <c r="T166" s="1"/>
  <c r="T123"/>
  <c r="T120"/>
  <c r="T133"/>
  <c r="T170" s="1"/>
  <c r="T116"/>
  <c r="T130"/>
  <c r="T118"/>
  <c r="K188" i="34"/>
  <c r="K193"/>
  <c r="K184"/>
  <c r="K185"/>
  <c r="V23" i="31"/>
  <c r="N197" i="29"/>
  <c r="S23" i="31"/>
  <c r="K197" i="29"/>
  <c r="AA92" i="18"/>
  <c r="K134" i="34"/>
  <c r="AA93" i="18"/>
  <c r="K135" i="34"/>
  <c r="F69" i="18"/>
  <c r="E74"/>
  <c r="AA91"/>
  <c r="K133" i="34"/>
  <c r="G173" i="31"/>
  <c r="G159"/>
  <c r="G150"/>
  <c r="G178"/>
  <c r="G166"/>
  <c r="G148"/>
  <c r="G185" s="1"/>
  <c r="G172"/>
  <c r="G165"/>
  <c r="G155"/>
  <c r="G151"/>
  <c r="G160"/>
  <c r="G164"/>
  <c r="G161"/>
  <c r="G162"/>
  <c r="G153"/>
  <c r="G175"/>
  <c r="G163"/>
  <c r="G174"/>
  <c r="G169"/>
  <c r="G171"/>
  <c r="G157"/>
  <c r="G156"/>
  <c r="G177"/>
  <c r="G152"/>
  <c r="G176"/>
  <c r="G168"/>
  <c r="G158"/>
  <c r="G142"/>
  <c r="G154"/>
  <c r="M183" i="34"/>
  <c r="G179" i="31"/>
  <c r="G167"/>
  <c r="G149"/>
  <c r="G170"/>
  <c r="U138" i="29"/>
  <c r="U142"/>
  <c r="U141"/>
  <c r="U136"/>
  <c r="U111"/>
  <c r="U148" s="1"/>
  <c r="U121"/>
  <c r="U129"/>
  <c r="U116"/>
  <c r="U115"/>
  <c r="U118"/>
  <c r="U140"/>
  <c r="U119"/>
  <c r="U124"/>
  <c r="U134"/>
  <c r="U105"/>
  <c r="U120"/>
  <c r="U135"/>
  <c r="U133"/>
  <c r="U113"/>
  <c r="U114"/>
  <c r="U130"/>
  <c r="U112"/>
  <c r="U125"/>
  <c r="U128"/>
  <c r="U139"/>
  <c r="U176" s="1"/>
  <c r="U117"/>
  <c r="U131"/>
  <c r="U122"/>
  <c r="U123"/>
  <c r="AA63" i="34"/>
  <c r="U137" i="29"/>
  <c r="U126"/>
  <c r="U127"/>
  <c r="U132"/>
  <c r="Q112" i="17"/>
  <c r="Q131"/>
  <c r="Q130"/>
  <c r="Q139"/>
  <c r="Q135"/>
  <c r="Q113"/>
  <c r="Q129"/>
  <c r="Q133"/>
  <c r="Q132"/>
  <c r="W3" i="34"/>
  <c r="Q123" i="17"/>
  <c r="Q122"/>
  <c r="Q119"/>
  <c r="Q125"/>
  <c r="Q124"/>
  <c r="Q105"/>
  <c r="Q136"/>
  <c r="Q173" s="1"/>
  <c r="Q117"/>
  <c r="Q118"/>
  <c r="Q126"/>
  <c r="Q116"/>
  <c r="Q138"/>
  <c r="Q111"/>
  <c r="Q148" s="1"/>
  <c r="Q114"/>
  <c r="Q137"/>
  <c r="Q174" s="1"/>
  <c r="Q134"/>
  <c r="Q121"/>
  <c r="Q128"/>
  <c r="Q127"/>
  <c r="Q115"/>
  <c r="Q140"/>
  <c r="Q142"/>
  <c r="Q120"/>
  <c r="Q157" s="1"/>
  <c r="Q141"/>
  <c r="S115"/>
  <c r="S141"/>
  <c r="S113"/>
  <c r="S129"/>
  <c r="S133"/>
  <c r="S121"/>
  <c r="S112"/>
  <c r="S130"/>
  <c r="S131"/>
  <c r="S125"/>
  <c r="S135"/>
  <c r="S137"/>
  <c r="S120"/>
  <c r="S126"/>
  <c r="S114"/>
  <c r="S151" s="1"/>
  <c r="S105"/>
  <c r="S138"/>
  <c r="S117"/>
  <c r="S123"/>
  <c r="S136"/>
  <c r="S139"/>
  <c r="S128"/>
  <c r="S140"/>
  <c r="S142"/>
  <c r="Y3" i="34"/>
  <c r="S116" i="17"/>
  <c r="S132"/>
  <c r="S134"/>
  <c r="S127"/>
  <c r="S118"/>
  <c r="S155" s="1"/>
  <c r="S124"/>
  <c r="S161" s="1"/>
  <c r="S122"/>
  <c r="S119"/>
  <c r="S111"/>
  <c r="S148" s="1"/>
  <c r="K73" i="34"/>
  <c r="Y54" i="29"/>
  <c r="AE73" i="34" s="1"/>
  <c r="K64"/>
  <c r="Y45" i="29"/>
  <c r="AE64" i="34" s="1"/>
  <c r="K63"/>
  <c r="E135" i="29"/>
  <c r="E136"/>
  <c r="E115"/>
  <c r="E121"/>
  <c r="E111"/>
  <c r="E148" s="1"/>
  <c r="E123"/>
  <c r="E114"/>
  <c r="E130"/>
  <c r="E142"/>
  <c r="E126"/>
  <c r="E122"/>
  <c r="E120"/>
  <c r="E124"/>
  <c r="E113"/>
  <c r="E125"/>
  <c r="E140"/>
  <c r="E119"/>
  <c r="E137"/>
  <c r="E174" s="1"/>
  <c r="E131"/>
  <c r="E133"/>
  <c r="E117"/>
  <c r="E138"/>
  <c r="E141"/>
  <c r="E128"/>
  <c r="E132"/>
  <c r="E139"/>
  <c r="E134"/>
  <c r="E127"/>
  <c r="E116"/>
  <c r="E112"/>
  <c r="E129"/>
  <c r="E105"/>
  <c r="E118"/>
  <c r="E155" s="1"/>
  <c r="Y44"/>
  <c r="N123" i="34"/>
  <c r="H175" i="18"/>
  <c r="H169"/>
  <c r="H151"/>
  <c r="H166"/>
  <c r="H158"/>
  <c r="H177"/>
  <c r="H178"/>
  <c r="H159"/>
  <c r="H148"/>
  <c r="H185" s="1"/>
  <c r="H179"/>
  <c r="H171"/>
  <c r="H156"/>
  <c r="H149"/>
  <c r="H162"/>
  <c r="H152"/>
  <c r="H189" s="1"/>
  <c r="H163"/>
  <c r="H167"/>
  <c r="H176"/>
  <c r="H155"/>
  <c r="H165"/>
  <c r="H168"/>
  <c r="H170"/>
  <c r="H207" s="1"/>
  <c r="H174"/>
  <c r="H172"/>
  <c r="H161"/>
  <c r="H173"/>
  <c r="H160"/>
  <c r="H150"/>
  <c r="H153"/>
  <c r="H154"/>
  <c r="H157"/>
  <c r="H164"/>
  <c r="H201" s="1"/>
  <c r="H142"/>
  <c r="R123" i="34"/>
  <c r="L177" i="18"/>
  <c r="L153"/>
  <c r="L167"/>
  <c r="L175"/>
  <c r="L178"/>
  <c r="L154"/>
  <c r="L191" s="1"/>
  <c r="L171"/>
  <c r="L173"/>
  <c r="L172"/>
  <c r="L158"/>
  <c r="L179"/>
  <c r="L170"/>
  <c r="L148"/>
  <c r="L185" s="1"/>
  <c r="L159"/>
  <c r="L168"/>
  <c r="L205" s="1"/>
  <c r="L160"/>
  <c r="L162"/>
  <c r="L174"/>
  <c r="L155"/>
  <c r="L150"/>
  <c r="L157"/>
  <c r="L152"/>
  <c r="L149"/>
  <c r="L161"/>
  <c r="L166"/>
  <c r="L142"/>
  <c r="L151"/>
  <c r="L176"/>
  <c r="L213" s="1"/>
  <c r="L165"/>
  <c r="L156"/>
  <c r="L169"/>
  <c r="L206" s="1"/>
  <c r="L164"/>
  <c r="L163"/>
  <c r="L200" s="1"/>
  <c r="L130" i="17"/>
  <c r="L141"/>
  <c r="L115"/>
  <c r="L114"/>
  <c r="L136"/>
  <c r="L116"/>
  <c r="L112"/>
  <c r="L138"/>
  <c r="L119"/>
  <c r="L125"/>
  <c r="L124"/>
  <c r="L142"/>
  <c r="L132"/>
  <c r="R3" i="34"/>
  <c r="L120" i="17"/>
  <c r="L129"/>
  <c r="L111"/>
  <c r="L148" s="1"/>
  <c r="L135"/>
  <c r="L126"/>
  <c r="L133"/>
  <c r="L118"/>
  <c r="L127"/>
  <c r="L117"/>
  <c r="L131"/>
  <c r="L139"/>
  <c r="L140"/>
  <c r="L113"/>
  <c r="L150" s="1"/>
  <c r="L121"/>
  <c r="L137"/>
  <c r="L174" s="1"/>
  <c r="L128"/>
  <c r="L165" s="1"/>
  <c r="L123"/>
  <c r="L122"/>
  <c r="L105"/>
  <c r="L134"/>
  <c r="W156" i="18"/>
  <c r="W160"/>
  <c r="W149"/>
  <c r="W168"/>
  <c r="W163"/>
  <c r="W142"/>
  <c r="W153"/>
  <c r="W169"/>
  <c r="W155"/>
  <c r="W170"/>
  <c r="W159"/>
  <c r="W179"/>
  <c r="W176"/>
  <c r="W165"/>
  <c r="W151"/>
  <c r="W164"/>
  <c r="W177"/>
  <c r="W167"/>
  <c r="W152"/>
  <c r="W189" s="1"/>
  <c r="AC123" i="34"/>
  <c r="W166" i="18"/>
  <c r="W148"/>
  <c r="W185" s="1"/>
  <c r="W173"/>
  <c r="W154"/>
  <c r="W161"/>
  <c r="W162"/>
  <c r="W174"/>
  <c r="W172"/>
  <c r="W178"/>
  <c r="W215" s="1"/>
  <c r="W158"/>
  <c r="W171"/>
  <c r="W175"/>
  <c r="W157"/>
  <c r="W194" s="1"/>
  <c r="W150"/>
  <c r="T123" i="34"/>
  <c r="N164" i="18"/>
  <c r="N179"/>
  <c r="N163"/>
  <c r="N149"/>
  <c r="N169"/>
  <c r="N176"/>
  <c r="N142"/>
  <c r="N177"/>
  <c r="N166"/>
  <c r="N161"/>
  <c r="N165"/>
  <c r="N155"/>
  <c r="N151"/>
  <c r="N153"/>
  <c r="N150"/>
  <c r="N171"/>
  <c r="N162"/>
  <c r="N157"/>
  <c r="N175"/>
  <c r="N156"/>
  <c r="N158"/>
  <c r="N170"/>
  <c r="N160"/>
  <c r="N172"/>
  <c r="N167"/>
  <c r="N204" s="1"/>
  <c r="N148"/>
  <c r="N185" s="1"/>
  <c r="N154"/>
  <c r="N159"/>
  <c r="N168"/>
  <c r="N173"/>
  <c r="N178"/>
  <c r="N152"/>
  <c r="N174"/>
  <c r="S130" i="29"/>
  <c r="S135"/>
  <c r="S128"/>
  <c r="S116"/>
  <c r="S137"/>
  <c r="S134"/>
  <c r="Y63" i="34"/>
  <c r="S133" i="29"/>
  <c r="S120"/>
  <c r="S132"/>
  <c r="S141"/>
  <c r="S136"/>
  <c r="S127"/>
  <c r="S121"/>
  <c r="S111"/>
  <c r="S148" s="1"/>
  <c r="S139"/>
  <c r="S138"/>
  <c r="S175" s="1"/>
  <c r="S125"/>
  <c r="S129"/>
  <c r="S166" s="1"/>
  <c r="S140"/>
  <c r="S105"/>
  <c r="S122"/>
  <c r="S159" s="1"/>
  <c r="S142"/>
  <c r="S118"/>
  <c r="S126"/>
  <c r="S124"/>
  <c r="S113"/>
  <c r="S115"/>
  <c r="S119"/>
  <c r="S131"/>
  <c r="S114"/>
  <c r="S123"/>
  <c r="S112"/>
  <c r="S117"/>
  <c r="Q23" i="31"/>
  <c r="I197" i="29"/>
  <c r="Y58" i="17"/>
  <c r="AE17" i="34" s="1"/>
  <c r="K17"/>
  <c r="E197" i="17"/>
  <c r="AA197" s="1"/>
  <c r="M23" i="31"/>
  <c r="AA192" i="17"/>
  <c r="K11" i="34"/>
  <c r="Y52" i="17"/>
  <c r="AE11" i="34" s="1"/>
  <c r="K8"/>
  <c r="Y49" i="17"/>
  <c r="AE8" i="34" s="1"/>
  <c r="K15"/>
  <c r="Y56" i="17"/>
  <c r="AE15" i="34" s="1"/>
  <c r="P197" i="29"/>
  <c r="X23" i="31"/>
  <c r="T121" i="29"/>
  <c r="T114"/>
  <c r="T133"/>
  <c r="T124"/>
  <c r="T118"/>
  <c r="T141"/>
  <c r="T134"/>
  <c r="T132"/>
  <c r="T119"/>
  <c r="T116"/>
  <c r="T115"/>
  <c r="T130"/>
  <c r="T129"/>
  <c r="T135"/>
  <c r="Z63" i="34"/>
  <c r="T137" i="29"/>
  <c r="T127"/>
  <c r="T126"/>
  <c r="T123"/>
  <c r="T122"/>
  <c r="T131"/>
  <c r="T138"/>
  <c r="T140"/>
  <c r="T139"/>
  <c r="T105"/>
  <c r="T117"/>
  <c r="T154" s="1"/>
  <c r="T142"/>
  <c r="T112"/>
  <c r="T128"/>
  <c r="T165" s="1"/>
  <c r="T136"/>
  <c r="T173" s="1"/>
  <c r="T113"/>
  <c r="T120"/>
  <c r="T111"/>
  <c r="T148" s="1"/>
  <c r="T125"/>
  <c r="H125" i="17"/>
  <c r="H142"/>
  <c r="H136"/>
  <c r="H119"/>
  <c r="H140"/>
  <c r="H132"/>
  <c r="H135"/>
  <c r="H128"/>
  <c r="H113"/>
  <c r="N3" i="34"/>
  <c r="H122" i="17"/>
  <c r="H117"/>
  <c r="H105"/>
  <c r="H126"/>
  <c r="H133"/>
  <c r="H137"/>
  <c r="H121"/>
  <c r="H130"/>
  <c r="H118"/>
  <c r="H141"/>
  <c r="H120"/>
  <c r="H123"/>
  <c r="H111"/>
  <c r="H148" s="1"/>
  <c r="H138"/>
  <c r="H175" s="1"/>
  <c r="H134"/>
  <c r="H114"/>
  <c r="H139"/>
  <c r="H116"/>
  <c r="H131"/>
  <c r="H124"/>
  <c r="H129"/>
  <c r="H115"/>
  <c r="H112"/>
  <c r="H127"/>
  <c r="H164" s="1"/>
  <c r="AD123" i="34"/>
  <c r="X169" i="18"/>
  <c r="X152"/>
  <c r="X168"/>
  <c r="X149"/>
  <c r="X177"/>
  <c r="X154"/>
  <c r="X158"/>
  <c r="X151"/>
  <c r="X178"/>
  <c r="X172"/>
  <c r="X153"/>
  <c r="X164"/>
  <c r="X166"/>
  <c r="X148"/>
  <c r="X185" s="1"/>
  <c r="X161"/>
  <c r="X179"/>
  <c r="X162"/>
  <c r="X163"/>
  <c r="X170"/>
  <c r="X156"/>
  <c r="X157"/>
  <c r="X174"/>
  <c r="X176"/>
  <c r="X165"/>
  <c r="X202" s="1"/>
  <c r="X150"/>
  <c r="X142"/>
  <c r="X175"/>
  <c r="X155"/>
  <c r="X171"/>
  <c r="X160"/>
  <c r="X173"/>
  <c r="X159"/>
  <c r="X167"/>
  <c r="Y189"/>
  <c r="Y208"/>
  <c r="Y213"/>
  <c r="AA38" i="29"/>
  <c r="AA103" i="17" l="1"/>
  <c r="F197" i="18"/>
  <c r="AA103" i="29"/>
  <c r="Z54" i="31"/>
  <c r="M54"/>
  <c r="M63" s="1"/>
  <c r="M36"/>
  <c r="W170" i="29"/>
  <c r="U157"/>
  <c r="O207" i="18"/>
  <c r="F169" i="17"/>
  <c r="Q205" i="18"/>
  <c r="F176" i="29"/>
  <c r="G173"/>
  <c r="AA88" i="17"/>
  <c r="E175" i="29"/>
  <c r="P163"/>
  <c r="F213" i="18"/>
  <c r="O202"/>
  <c r="V174" i="29"/>
  <c r="N193" i="18"/>
  <c r="E211" i="31"/>
  <c r="E250" s="1"/>
  <c r="M174" i="17"/>
  <c r="J171"/>
  <c r="G164" i="29"/>
  <c r="M154" i="17"/>
  <c r="E195" i="18"/>
  <c r="E234" s="1"/>
  <c r="N155" i="29"/>
  <c r="V198" i="18"/>
  <c r="X175" i="17"/>
  <c r="O149"/>
  <c r="O197" i="18"/>
  <c r="H186"/>
  <c r="W214"/>
  <c r="AA73" i="17"/>
  <c r="H161"/>
  <c r="S151" i="29"/>
  <c r="I160"/>
  <c r="S177"/>
  <c r="G152" i="17"/>
  <c r="F170" i="29"/>
  <c r="P174" i="17"/>
  <c r="M172" i="29"/>
  <c r="U205" i="18"/>
  <c r="U210"/>
  <c r="J194" i="31"/>
  <c r="J200"/>
  <c r="J187"/>
  <c r="AB213" i="34"/>
  <c r="Z53" i="31"/>
  <c r="M35"/>
  <c r="M53"/>
  <c r="M62" s="1"/>
  <c r="N209" i="18"/>
  <c r="T196"/>
  <c r="I206"/>
  <c r="F210"/>
  <c r="J170" i="29"/>
  <c r="I196" i="31"/>
  <c r="AA88" i="29"/>
  <c r="B105" s="1"/>
  <c r="Z52" i="31"/>
  <c r="M34"/>
  <c r="M52"/>
  <c r="M61" s="1"/>
  <c r="F153" i="29"/>
  <c r="O214" i="18"/>
  <c r="L198"/>
  <c r="K186" i="31"/>
  <c r="P172" i="29"/>
  <c r="T171"/>
  <c r="L215" i="18"/>
  <c r="X208"/>
  <c r="X199"/>
  <c r="X214"/>
  <c r="X206"/>
  <c r="H152" i="17"/>
  <c r="H165"/>
  <c r="T176" i="29"/>
  <c r="T174"/>
  <c r="S149"/>
  <c r="S167"/>
  <c r="N208" i="18"/>
  <c r="N214"/>
  <c r="N186"/>
  <c r="L155" i="17"/>
  <c r="L211" i="18"/>
  <c r="H200"/>
  <c r="E162" i="29"/>
  <c r="Q179" i="17"/>
  <c r="Q151"/>
  <c r="Q163"/>
  <c r="Q176"/>
  <c r="U154" i="29"/>
  <c r="U158"/>
  <c r="G189" i="31"/>
  <c r="G208"/>
  <c r="G212"/>
  <c r="T164" i="17"/>
  <c r="L196" i="31"/>
  <c r="L199"/>
  <c r="R166" i="29"/>
  <c r="R152"/>
  <c r="R158"/>
  <c r="O155"/>
  <c r="O152"/>
  <c r="G160" i="17"/>
  <c r="G164"/>
  <c r="G166"/>
  <c r="I204" i="18"/>
  <c r="I213"/>
  <c r="E197" i="31"/>
  <c r="E236" s="1"/>
  <c r="E201"/>
  <c r="E240" s="1"/>
  <c r="F240" s="1"/>
  <c r="F158" i="17"/>
  <c r="F160"/>
  <c r="K187" i="31"/>
  <c r="K192"/>
  <c r="F189"/>
  <c r="F213"/>
  <c r="F204"/>
  <c r="F191"/>
  <c r="F208"/>
  <c r="F186"/>
  <c r="K153" i="17"/>
  <c r="K165"/>
  <c r="K161"/>
  <c r="R190" i="18"/>
  <c r="G204"/>
  <c r="J203"/>
  <c r="J207"/>
  <c r="J190"/>
  <c r="W166" i="17"/>
  <c r="F164" i="29"/>
  <c r="P153" i="17"/>
  <c r="N160"/>
  <c r="N163"/>
  <c r="N151"/>
  <c r="N175"/>
  <c r="H190" i="31"/>
  <c r="K188" i="18"/>
  <c r="K193"/>
  <c r="Q164" i="29"/>
  <c r="Q152"/>
  <c r="K175"/>
  <c r="J162" i="17"/>
  <c r="X149" i="29"/>
  <c r="X149" i="17"/>
  <c r="I201" i="18"/>
  <c r="U150" i="17"/>
  <c r="S167"/>
  <c r="X196" i="18"/>
  <c r="X192"/>
  <c r="X201"/>
  <c r="X186"/>
  <c r="H170" i="17"/>
  <c r="H159"/>
  <c r="H172"/>
  <c r="T179" i="29"/>
  <c r="T152"/>
  <c r="S160"/>
  <c r="S152"/>
  <c r="S155"/>
  <c r="S173"/>
  <c r="S170"/>
  <c r="N191" i="18"/>
  <c r="N212"/>
  <c r="N202"/>
  <c r="N200"/>
  <c r="W195"/>
  <c r="W199"/>
  <c r="W204"/>
  <c r="W202"/>
  <c r="W207"/>
  <c r="L158" i="17"/>
  <c r="L166"/>
  <c r="L151"/>
  <c r="L202" i="18"/>
  <c r="L199"/>
  <c r="L209"/>
  <c r="L214"/>
  <c r="H211"/>
  <c r="H192"/>
  <c r="H208"/>
  <c r="H215"/>
  <c r="E149" i="29"/>
  <c r="E173"/>
  <c r="S175" i="17"/>
  <c r="S168"/>
  <c r="S170"/>
  <c r="S152"/>
  <c r="Q158"/>
  <c r="Q155"/>
  <c r="U164" i="29"/>
  <c r="U160"/>
  <c r="U167"/>
  <c r="U152"/>
  <c r="U175"/>
  <c r="G195" i="31"/>
  <c r="G214"/>
  <c r="G206"/>
  <c r="G197"/>
  <c r="G187"/>
  <c r="T167" i="17"/>
  <c r="T160"/>
  <c r="T177"/>
  <c r="T152"/>
  <c r="L189" i="31"/>
  <c r="L214"/>
  <c r="L211"/>
  <c r="L191"/>
  <c r="R170" i="29"/>
  <c r="R179"/>
  <c r="R172"/>
  <c r="R162"/>
  <c r="R154"/>
  <c r="T214" i="18"/>
  <c r="T208"/>
  <c r="T198"/>
  <c r="O158" i="29"/>
  <c r="O172"/>
  <c r="O162"/>
  <c r="O169"/>
  <c r="G175" i="17"/>
  <c r="G168"/>
  <c r="G170"/>
  <c r="I173"/>
  <c r="I186" i="18"/>
  <c r="I189"/>
  <c r="I191"/>
  <c r="I197"/>
  <c r="R199"/>
  <c r="G209"/>
  <c r="J214"/>
  <c r="V169" i="17"/>
  <c r="P164"/>
  <c r="H208" i="31"/>
  <c r="G168" i="29"/>
  <c r="G174"/>
  <c r="G166"/>
  <c r="G149"/>
  <c r="K200" i="18"/>
  <c r="K198"/>
  <c r="E190"/>
  <c r="E229" s="1"/>
  <c r="E192"/>
  <c r="E231" s="1"/>
  <c r="E207"/>
  <c r="E246" s="1"/>
  <c r="K173" i="29"/>
  <c r="K156"/>
  <c r="K154"/>
  <c r="J164" i="17"/>
  <c r="X175" i="29"/>
  <c r="X155"/>
  <c r="F188" i="18"/>
  <c r="U159" i="17"/>
  <c r="U168"/>
  <c r="U149"/>
  <c r="V203" i="18"/>
  <c r="V195"/>
  <c r="V190"/>
  <c r="V212"/>
  <c r="I162" i="29"/>
  <c r="I149"/>
  <c r="H179"/>
  <c r="M160"/>
  <c r="M170"/>
  <c r="O171" i="17"/>
  <c r="O205" i="18"/>
  <c r="O213"/>
  <c r="V159" i="29"/>
  <c r="V152"/>
  <c r="V163"/>
  <c r="U196" i="18"/>
  <c r="U199"/>
  <c r="U186"/>
  <c r="J155" i="29"/>
  <c r="J165"/>
  <c r="J175"/>
  <c r="J168"/>
  <c r="J173"/>
  <c r="J201" i="31"/>
  <c r="J198"/>
  <c r="J215"/>
  <c r="G153" i="29"/>
  <c r="K216" i="18"/>
  <c r="M157" i="17"/>
  <c r="M166"/>
  <c r="Q178" i="29"/>
  <c r="Q160"/>
  <c r="E209" i="18"/>
  <c r="E248" s="1"/>
  <c r="E198"/>
  <c r="E237" s="1"/>
  <c r="K159" i="29"/>
  <c r="J168" i="17"/>
  <c r="J149"/>
  <c r="J154"/>
  <c r="J159"/>
  <c r="L164" i="29"/>
  <c r="X167"/>
  <c r="X157"/>
  <c r="F200" i="18"/>
  <c r="F206"/>
  <c r="F215"/>
  <c r="P213"/>
  <c r="X166" i="17"/>
  <c r="X177"/>
  <c r="X164"/>
  <c r="I173" i="29"/>
  <c r="I167"/>
  <c r="I153"/>
  <c r="I159"/>
  <c r="H150"/>
  <c r="H166"/>
  <c r="H176"/>
  <c r="M178"/>
  <c r="M152"/>
  <c r="M175"/>
  <c r="O156" i="17"/>
  <c r="O178"/>
  <c r="V168" i="29"/>
  <c r="V176"/>
  <c r="U191" i="18"/>
  <c r="J151" i="29"/>
  <c r="J161"/>
  <c r="J211" i="31"/>
  <c r="J209"/>
  <c r="J205"/>
  <c r="J189"/>
  <c r="G151" i="17"/>
  <c r="H178"/>
  <c r="T157" i="29"/>
  <c r="T149"/>
  <c r="T159"/>
  <c r="T167"/>
  <c r="T169"/>
  <c r="S163"/>
  <c r="N189" i="18"/>
  <c r="W210"/>
  <c r="L173" i="17"/>
  <c r="L193" i="18"/>
  <c r="L189"/>
  <c r="H187"/>
  <c r="H196"/>
  <c r="E166" i="29"/>
  <c r="E171"/>
  <c r="E178"/>
  <c r="E168"/>
  <c r="E159"/>
  <c r="S162" i="17"/>
  <c r="S178"/>
  <c r="Q165"/>
  <c r="Q170"/>
  <c r="U169" i="29"/>
  <c r="U171"/>
  <c r="U179"/>
  <c r="G204" i="31"/>
  <c r="G201"/>
  <c r="T171" i="17"/>
  <c r="T175"/>
  <c r="L205" i="31"/>
  <c r="R177" i="29"/>
  <c r="T200" i="18"/>
  <c r="T191"/>
  <c r="T204"/>
  <c r="O165" i="29"/>
  <c r="O176"/>
  <c r="G177" i="17"/>
  <c r="I158"/>
  <c r="I168"/>
  <c r="I156"/>
  <c r="I210" i="18"/>
  <c r="I216"/>
  <c r="S216"/>
  <c r="S194"/>
  <c r="R209"/>
  <c r="R215"/>
  <c r="R187"/>
  <c r="G195"/>
  <c r="J200"/>
  <c r="W177" i="17"/>
  <c r="W159"/>
  <c r="W164"/>
  <c r="V165"/>
  <c r="F159" i="29"/>
  <c r="F175"/>
  <c r="M210" i="18"/>
  <c r="M216"/>
  <c r="M191"/>
  <c r="P176" i="17"/>
  <c r="P172"/>
  <c r="N156"/>
  <c r="N168"/>
  <c r="N153"/>
  <c r="H205" i="31"/>
  <c r="K205" i="18"/>
  <c r="K191"/>
  <c r="K194"/>
  <c r="M169" i="17"/>
  <c r="M167"/>
  <c r="M159"/>
  <c r="M171"/>
  <c r="M176"/>
  <c r="Q153" i="29"/>
  <c r="Q166"/>
  <c r="Q156"/>
  <c r="Q161"/>
  <c r="Q174"/>
  <c r="E203" i="18"/>
  <c r="E242" s="1"/>
  <c r="F242" s="1"/>
  <c r="E210"/>
  <c r="E249" s="1"/>
  <c r="E215"/>
  <c r="E254" s="1"/>
  <c r="E200"/>
  <c r="E239" s="1"/>
  <c r="K177" i="29"/>
  <c r="K162"/>
  <c r="J166" i="17"/>
  <c r="J172"/>
  <c r="J176"/>
  <c r="J156"/>
  <c r="J160"/>
  <c r="N179" i="29"/>
  <c r="N166"/>
  <c r="N178"/>
  <c r="N170"/>
  <c r="N172"/>
  <c r="N158"/>
  <c r="L150"/>
  <c r="L178"/>
  <c r="L159"/>
  <c r="L165"/>
  <c r="L174"/>
  <c r="X150"/>
  <c r="X172"/>
  <c r="X168"/>
  <c r="X159"/>
  <c r="X153"/>
  <c r="F193" i="18"/>
  <c r="F195"/>
  <c r="F202"/>
  <c r="U164" i="17"/>
  <c r="U174"/>
  <c r="U176"/>
  <c r="U177"/>
  <c r="V216" i="18"/>
  <c r="V208"/>
  <c r="P214"/>
  <c r="P204"/>
  <c r="P189"/>
  <c r="P202"/>
  <c r="P186"/>
  <c r="P193"/>
  <c r="P199"/>
  <c r="X151" i="17"/>
  <c r="X156"/>
  <c r="X169"/>
  <c r="X158"/>
  <c r="X167"/>
  <c r="I174" i="29"/>
  <c r="I176"/>
  <c r="I168"/>
  <c r="I151"/>
  <c r="H171"/>
  <c r="H162"/>
  <c r="H156"/>
  <c r="H174"/>
  <c r="M150"/>
  <c r="M154"/>
  <c r="M168"/>
  <c r="O151" i="17"/>
  <c r="O160"/>
  <c r="O165"/>
  <c r="O157"/>
  <c r="O198" i="18"/>
  <c r="O186"/>
  <c r="O195"/>
  <c r="V170" i="29"/>
  <c r="V172"/>
  <c r="U213" i="18"/>
  <c r="U189"/>
  <c r="J152" i="29"/>
  <c r="J192" i="31"/>
  <c r="J212"/>
  <c r="Q216" i="18"/>
  <c r="K203"/>
  <c r="K179" i="29"/>
  <c r="K164"/>
  <c r="N151"/>
  <c r="L172"/>
  <c r="F208" i="18"/>
  <c r="U153" i="17"/>
  <c r="U172"/>
  <c r="V187" i="18"/>
  <c r="X172" i="17"/>
  <c r="H170" i="29"/>
  <c r="H154"/>
  <c r="L159" i="17"/>
  <c r="Q161"/>
  <c r="F211" i="31"/>
  <c r="F250" s="1"/>
  <c r="K168" i="17"/>
  <c r="R191" i="18"/>
  <c r="W151" i="17"/>
  <c r="K214" i="18"/>
  <c r="W206"/>
  <c r="Q191"/>
  <c r="Q196"/>
  <c r="I193" i="31"/>
  <c r="Q155" i="29"/>
  <c r="Q168"/>
  <c r="K169"/>
  <c r="N177"/>
  <c r="L157"/>
  <c r="X171"/>
  <c r="F186" i="18"/>
  <c r="U163" i="17"/>
  <c r="P209" i="18"/>
  <c r="X162" i="17"/>
  <c r="AE4" i="34"/>
  <c r="AA45" i="17"/>
  <c r="E176" i="29"/>
  <c r="S176" i="17"/>
  <c r="X187" i="18"/>
  <c r="X194"/>
  <c r="X203"/>
  <c r="X215"/>
  <c r="T161" i="29"/>
  <c r="S156"/>
  <c r="S174"/>
  <c r="W208" i="18"/>
  <c r="W160" i="17"/>
  <c r="K208" i="18"/>
  <c r="M155" i="29"/>
  <c r="H174" i="17"/>
  <c r="H156"/>
  <c r="N192" i="18"/>
  <c r="W186"/>
  <c r="E151" i="29"/>
  <c r="S153" i="17"/>
  <c r="Q159"/>
  <c r="G202" i="31"/>
  <c r="T179" i="17"/>
  <c r="R155" i="29"/>
  <c r="T215" i="18"/>
  <c r="T194"/>
  <c r="I177" i="17"/>
  <c r="E199" i="31"/>
  <c r="E238" s="1"/>
  <c r="E206"/>
  <c r="E245" s="1"/>
  <c r="F153" i="17"/>
  <c r="K206" i="31"/>
  <c r="K156" i="17"/>
  <c r="R178"/>
  <c r="R179"/>
  <c r="W171" i="29"/>
  <c r="W167"/>
  <c r="I195" i="31"/>
  <c r="W188" i="18"/>
  <c r="W196"/>
  <c r="L176" i="17"/>
  <c r="L169"/>
  <c r="L167"/>
  <c r="L195" i="18"/>
  <c r="H209"/>
  <c r="H193"/>
  <c r="S165" i="17"/>
  <c r="S158"/>
  <c r="U149" i="29"/>
  <c r="G215" i="31"/>
  <c r="T157" i="17"/>
  <c r="L212" i="31"/>
  <c r="R149" i="29"/>
  <c r="O159"/>
  <c r="O149"/>
  <c r="G171" i="17"/>
  <c r="G154"/>
  <c r="I161"/>
  <c r="I198" i="18"/>
  <c r="I192"/>
  <c r="E209" i="31"/>
  <c r="E248" s="1"/>
  <c r="K200"/>
  <c r="K189"/>
  <c r="K196"/>
  <c r="F195"/>
  <c r="R152" i="17"/>
  <c r="P174" i="29"/>
  <c r="P153"/>
  <c r="W150"/>
  <c r="W176"/>
  <c r="I215" i="31"/>
  <c r="I206"/>
  <c r="Y219" i="18"/>
  <c r="X191"/>
  <c r="H168" i="17"/>
  <c r="H162"/>
  <c r="T164" i="29"/>
  <c r="T155"/>
  <c r="S172"/>
  <c r="N211" i="18"/>
  <c r="N195"/>
  <c r="N199"/>
  <c r="W201"/>
  <c r="W216"/>
  <c r="L164" i="17"/>
  <c r="L162"/>
  <c r="L153"/>
  <c r="L188" i="18"/>
  <c r="L208"/>
  <c r="E170" i="29"/>
  <c r="E157"/>
  <c r="S160" i="17"/>
  <c r="S172"/>
  <c r="Q153"/>
  <c r="Q169"/>
  <c r="Q172"/>
  <c r="U174" i="29"/>
  <c r="U166"/>
  <c r="G186" i="31"/>
  <c r="G194"/>
  <c r="G200"/>
  <c r="T149" i="17"/>
  <c r="L203" i="31"/>
  <c r="R164" i="29"/>
  <c r="R168"/>
  <c r="R161"/>
  <c r="R176"/>
  <c r="T203" i="18"/>
  <c r="T190"/>
  <c r="T212"/>
  <c r="T186"/>
  <c r="O164" i="29"/>
  <c r="G149" i="17"/>
  <c r="G157"/>
  <c r="I155"/>
  <c r="I167"/>
  <c r="I164"/>
  <c r="I200" i="18"/>
  <c r="I215"/>
  <c r="I209"/>
  <c r="E194" i="31"/>
  <c r="E233" s="1"/>
  <c r="E189"/>
  <c r="E228" s="1"/>
  <c r="E203"/>
  <c r="E242" s="1"/>
  <c r="E191"/>
  <c r="E230" s="1"/>
  <c r="E207"/>
  <c r="E246" s="1"/>
  <c r="E213"/>
  <c r="E252" s="1"/>
  <c r="E186"/>
  <c r="E225" s="1"/>
  <c r="F166" i="17"/>
  <c r="F174"/>
  <c r="F176"/>
  <c r="F156"/>
  <c r="K214" i="31"/>
  <c r="K209"/>
  <c r="K203"/>
  <c r="K212"/>
  <c r="K216"/>
  <c r="K194"/>
  <c r="K198"/>
  <c r="F206"/>
  <c r="F197"/>
  <c r="F200"/>
  <c r="F209"/>
  <c r="F214"/>
  <c r="F216"/>
  <c r="K169" i="17"/>
  <c r="K179"/>
  <c r="K177"/>
  <c r="K172"/>
  <c r="K158"/>
  <c r="K162"/>
  <c r="K149"/>
  <c r="K151"/>
  <c r="R167"/>
  <c r="R162"/>
  <c r="R169"/>
  <c r="R171"/>
  <c r="R155"/>
  <c r="R156"/>
  <c r="R176"/>
  <c r="P149" i="29"/>
  <c r="P175"/>
  <c r="P155"/>
  <c r="P168"/>
  <c r="P157"/>
  <c r="P178"/>
  <c r="Q213" i="18"/>
  <c r="Q206"/>
  <c r="Q193"/>
  <c r="Q200"/>
  <c r="Q203"/>
  <c r="Q210"/>
  <c r="Q198"/>
  <c r="Q208"/>
  <c r="W177" i="29"/>
  <c r="W156"/>
  <c r="W159"/>
  <c r="W151"/>
  <c r="W153"/>
  <c r="I213" i="31"/>
  <c r="I209"/>
  <c r="I197"/>
  <c r="I189"/>
  <c r="I201"/>
  <c r="I191"/>
  <c r="S202" i="18"/>
  <c r="S206"/>
  <c r="S195"/>
  <c r="S212"/>
  <c r="R197"/>
  <c r="R216"/>
  <c r="R188"/>
  <c r="R201"/>
  <c r="G203"/>
  <c r="G198"/>
  <c r="G208"/>
  <c r="J216"/>
  <c r="J213"/>
  <c r="J189"/>
  <c r="J198"/>
  <c r="W165" i="17"/>
  <c r="W154"/>
  <c r="V170"/>
  <c r="V155"/>
  <c r="V173"/>
  <c r="F154" i="29"/>
  <c r="F149"/>
  <c r="M211" i="18"/>
  <c r="M199"/>
  <c r="M213"/>
  <c r="P150" i="17"/>
  <c r="P173"/>
  <c r="P160"/>
  <c r="P178"/>
  <c r="N165"/>
  <c r="N159"/>
  <c r="N162"/>
  <c r="N157"/>
  <c r="N171"/>
  <c r="N179"/>
  <c r="N150"/>
  <c r="H214" i="31"/>
  <c r="H199"/>
  <c r="H192"/>
  <c r="H197"/>
  <c r="H207"/>
  <c r="E188"/>
  <c r="E227" s="1"/>
  <c r="E196"/>
  <c r="E235" s="1"/>
  <c r="F173" i="17"/>
  <c r="K202" i="31"/>
  <c r="F212"/>
  <c r="F188"/>
  <c r="F193"/>
  <c r="K164" i="17"/>
  <c r="K176"/>
  <c r="R150"/>
  <c r="R154"/>
  <c r="P159" i="29"/>
  <c r="P164"/>
  <c r="P166"/>
  <c r="Q190" i="18"/>
  <c r="Q187"/>
  <c r="Q202"/>
  <c r="I187" i="31"/>
  <c r="S189" i="18"/>
  <c r="S186"/>
  <c r="S197"/>
  <c r="S191"/>
  <c r="S208"/>
  <c r="S214"/>
  <c r="R203"/>
  <c r="R211"/>
  <c r="R194"/>
  <c r="G191"/>
  <c r="G192"/>
  <c r="G214"/>
  <c r="G188"/>
  <c r="G196"/>
  <c r="G210"/>
  <c r="G200"/>
  <c r="J201"/>
  <c r="J210"/>
  <c r="J193"/>
  <c r="J194"/>
  <c r="W162" i="17"/>
  <c r="W150"/>
  <c r="W179"/>
  <c r="W172"/>
  <c r="W170"/>
  <c r="W157"/>
  <c r="V159"/>
  <c r="V175"/>
  <c r="V150"/>
  <c r="V167"/>
  <c r="V161"/>
  <c r="V163"/>
  <c r="F155" i="29"/>
  <c r="F161"/>
  <c r="F168"/>
  <c r="F150"/>
  <c r="F157"/>
  <c r="F177"/>
  <c r="M201" i="18"/>
  <c r="M192"/>
  <c r="M206"/>
  <c r="M186"/>
  <c r="M207"/>
  <c r="M194"/>
  <c r="M196"/>
  <c r="M204"/>
  <c r="P162" i="17"/>
  <c r="P151"/>
  <c r="P168"/>
  <c r="N177"/>
  <c r="H216" i="31"/>
  <c r="H212"/>
  <c r="H195"/>
  <c r="H203"/>
  <c r="H186"/>
  <c r="G171" i="29"/>
  <c r="G158"/>
  <c r="G156"/>
  <c r="G154"/>
  <c r="K213" i="18"/>
  <c r="M158" i="17"/>
  <c r="Q169" i="29"/>
  <c r="Q173"/>
  <c r="E186" i="18"/>
  <c r="E225" s="1"/>
  <c r="F225" s="1"/>
  <c r="K170" i="29"/>
  <c r="K165"/>
  <c r="K167"/>
  <c r="N161"/>
  <c r="N168"/>
  <c r="N149"/>
  <c r="N165"/>
  <c r="N176"/>
  <c r="L168"/>
  <c r="L177"/>
  <c r="L171"/>
  <c r="L155"/>
  <c r="X178"/>
  <c r="X170"/>
  <c r="F191" i="18"/>
  <c r="F209"/>
  <c r="U157" i="17"/>
  <c r="U162"/>
  <c r="U166"/>
  <c r="P197" i="18"/>
  <c r="P188"/>
  <c r="P208"/>
  <c r="P192"/>
  <c r="X161" i="17"/>
  <c r="I178" i="29"/>
  <c r="H159"/>
  <c r="H155"/>
  <c r="H169"/>
  <c r="M153"/>
  <c r="M158"/>
  <c r="M167"/>
  <c r="O173" i="17"/>
  <c r="O164"/>
  <c r="O193" i="18"/>
  <c r="O208"/>
  <c r="O203"/>
  <c r="O211"/>
  <c r="V151" i="29"/>
  <c r="V161"/>
  <c r="V177"/>
  <c r="U208" i="18"/>
  <c r="U195"/>
  <c r="J157" i="29"/>
  <c r="J163"/>
  <c r="J149"/>
  <c r="J207" i="31"/>
  <c r="X205" i="18"/>
  <c r="X204"/>
  <c r="Z51" i="31"/>
  <c r="M28"/>
  <c r="M33"/>
  <c r="M51"/>
  <c r="N188" i="18"/>
  <c r="N187"/>
  <c r="Y105" i="29"/>
  <c r="C10" s="1"/>
  <c r="AE63" i="34"/>
  <c r="S33" i="31"/>
  <c r="S38" s="1"/>
  <c r="S51"/>
  <c r="S28"/>
  <c r="N33"/>
  <c r="N38" s="1"/>
  <c r="N28"/>
  <c r="N51"/>
  <c r="Y140" i="17"/>
  <c r="E177"/>
  <c r="Y135"/>
  <c r="E172"/>
  <c r="Y112"/>
  <c r="E149"/>
  <c r="Y119"/>
  <c r="E156"/>
  <c r="Y133"/>
  <c r="E170"/>
  <c r="Y141"/>
  <c r="E178"/>
  <c r="Y113"/>
  <c r="E150"/>
  <c r="E157"/>
  <c r="Y120"/>
  <c r="H154"/>
  <c r="X193" i="18"/>
  <c r="X216"/>
  <c r="X188"/>
  <c r="H166" i="17"/>
  <c r="H176"/>
  <c r="H155"/>
  <c r="H173"/>
  <c r="T150" i="29"/>
  <c r="T177"/>
  <c r="T160"/>
  <c r="T170"/>
  <c r="S176"/>
  <c r="S153"/>
  <c r="N215" i="18"/>
  <c r="W187"/>
  <c r="W197"/>
  <c r="L168" i="17"/>
  <c r="L170"/>
  <c r="L179"/>
  <c r="L175"/>
  <c r="L203" i="18"/>
  <c r="L194"/>
  <c r="H194"/>
  <c r="H197"/>
  <c r="H188"/>
  <c r="E150" i="29"/>
  <c r="E163"/>
  <c r="E160"/>
  <c r="S156" i="17"/>
  <c r="S164"/>
  <c r="S157"/>
  <c r="Q177"/>
  <c r="Q160"/>
  <c r="Q166"/>
  <c r="Q167"/>
  <c r="U172" i="29"/>
  <c r="U161"/>
  <c r="G216" i="31"/>
  <c r="G190"/>
  <c r="G209"/>
  <c r="T168" i="17"/>
  <c r="T178"/>
  <c r="L215" i="31"/>
  <c r="L206"/>
  <c r="R178" i="29"/>
  <c r="R159"/>
  <c r="T193" i="18"/>
  <c r="T209"/>
  <c r="T216"/>
  <c r="T205"/>
  <c r="O178" i="29"/>
  <c r="O167"/>
  <c r="G178" i="17"/>
  <c r="G153"/>
  <c r="I171"/>
  <c r="I174"/>
  <c r="I159"/>
  <c r="I179"/>
  <c r="I193" i="18"/>
  <c r="I187"/>
  <c r="I211"/>
  <c r="I194"/>
  <c r="E204" i="31"/>
  <c r="E243" s="1"/>
  <c r="E192"/>
  <c r="E231" s="1"/>
  <c r="F178" i="17"/>
  <c r="F170"/>
  <c r="F175"/>
  <c r="F161"/>
  <c r="K207" i="31"/>
  <c r="K190"/>
  <c r="F198"/>
  <c r="K159" i="17"/>
  <c r="K173"/>
  <c r="K174"/>
  <c r="K154"/>
  <c r="R172"/>
  <c r="R157"/>
  <c r="R163"/>
  <c r="R158"/>
  <c r="P156" i="29"/>
  <c r="P169"/>
  <c r="Q211" i="18"/>
  <c r="Q207"/>
  <c r="W157" i="29"/>
  <c r="W152"/>
  <c r="W172"/>
  <c r="I203" i="31"/>
  <c r="I204"/>
  <c r="S203" i="18"/>
  <c r="S209"/>
  <c r="S204"/>
  <c r="R195"/>
  <c r="R206"/>
  <c r="R198"/>
  <c r="G215"/>
  <c r="G211"/>
  <c r="G193"/>
  <c r="G205"/>
  <c r="J191"/>
  <c r="J208"/>
  <c r="J202"/>
  <c r="J206"/>
  <c r="W178" i="17"/>
  <c r="W167"/>
  <c r="V153"/>
  <c r="V177"/>
  <c r="V168"/>
  <c r="F162" i="29"/>
  <c r="F163"/>
  <c r="F165"/>
  <c r="F169"/>
  <c r="F172"/>
  <c r="M187" i="18"/>
  <c r="M188"/>
  <c r="M202"/>
  <c r="M208"/>
  <c r="P179" i="17"/>
  <c r="P163"/>
  <c r="P152"/>
  <c r="N174"/>
  <c r="H188" i="31"/>
  <c r="H201"/>
  <c r="G169" i="29"/>
  <c r="G159"/>
  <c r="G160"/>
  <c r="K201" i="18"/>
  <c r="K211"/>
  <c r="K202"/>
  <c r="M170" i="17"/>
  <c r="M179"/>
  <c r="M160"/>
  <c r="M173"/>
  <c r="M163"/>
  <c r="Q154" i="29"/>
  <c r="Q167"/>
  <c r="Q170"/>
  <c r="Q149"/>
  <c r="AA197"/>
  <c r="E193" i="18"/>
  <c r="E232" s="1"/>
  <c r="F232" s="1"/>
  <c r="G232" s="1"/>
  <c r="H232" s="1"/>
  <c r="E212"/>
  <c r="E251" s="1"/>
  <c r="E202"/>
  <c r="E241" s="1"/>
  <c r="F241" s="1"/>
  <c r="E213"/>
  <c r="E252" s="1"/>
  <c r="E204"/>
  <c r="E243" s="1"/>
  <c r="E216"/>
  <c r="E255" s="1"/>
  <c r="E205"/>
  <c r="E244" s="1"/>
  <c r="F244" s="1"/>
  <c r="K160" i="29"/>
  <c r="K149"/>
  <c r="K168"/>
  <c r="K163"/>
  <c r="J169" i="17"/>
  <c r="J165"/>
  <c r="J179"/>
  <c r="J175"/>
  <c r="J170"/>
  <c r="N171" i="29"/>
  <c r="N156"/>
  <c r="N150"/>
  <c r="N157"/>
  <c r="L166"/>
  <c r="L156"/>
  <c r="L173"/>
  <c r="X160"/>
  <c r="X179"/>
  <c r="X162"/>
  <c r="X163"/>
  <c r="F211" i="18"/>
  <c r="F216"/>
  <c r="F192"/>
  <c r="F207"/>
  <c r="U175" i="17"/>
  <c r="U169"/>
  <c r="U171"/>
  <c r="U151"/>
  <c r="V205" i="18"/>
  <c r="V199"/>
  <c r="V206"/>
  <c r="V196"/>
  <c r="V186"/>
  <c r="V207"/>
  <c r="P195"/>
  <c r="P198"/>
  <c r="P216"/>
  <c r="P201"/>
  <c r="X173" i="17"/>
  <c r="X171"/>
  <c r="X157"/>
  <c r="I164" i="29"/>
  <c r="I150"/>
  <c r="I175"/>
  <c r="I179"/>
  <c r="I170"/>
  <c r="I165"/>
  <c r="I155"/>
  <c r="I171"/>
  <c r="H151"/>
  <c r="H153"/>
  <c r="H160"/>
  <c r="M162"/>
  <c r="M173"/>
  <c r="O159" i="17"/>
  <c r="O167"/>
  <c r="O150"/>
  <c r="O169"/>
  <c r="O194" i="18"/>
  <c r="O216"/>
  <c r="O191"/>
  <c r="V154" i="29"/>
  <c r="V179"/>
  <c r="V155"/>
  <c r="U200" i="18"/>
  <c r="J154" i="29"/>
  <c r="J174"/>
  <c r="J169"/>
  <c r="J172"/>
  <c r="J203" i="31"/>
  <c r="J210"/>
  <c r="J216"/>
  <c r="J195"/>
  <c r="Y115" i="17"/>
  <c r="E152"/>
  <c r="Y137"/>
  <c r="E174"/>
  <c r="Y114"/>
  <c r="E151"/>
  <c r="E154"/>
  <c r="Y117"/>
  <c r="O28" i="31"/>
  <c r="O33"/>
  <c r="O38" s="1"/>
  <c r="O51"/>
  <c r="U202" i="18"/>
  <c r="U201"/>
  <c r="H191"/>
  <c r="H190"/>
  <c r="G69"/>
  <c r="F74"/>
  <c r="V33" i="31"/>
  <c r="V38" s="1"/>
  <c r="V51"/>
  <c r="V28"/>
  <c r="I150" i="17"/>
  <c r="I149"/>
  <c r="E179"/>
  <c r="Y142"/>
  <c r="E153"/>
  <c r="Y116"/>
  <c r="U33" i="31"/>
  <c r="U38" s="1"/>
  <c r="U51"/>
  <c r="U28"/>
  <c r="T28"/>
  <c r="T51"/>
  <c r="T33"/>
  <c r="T38" s="1"/>
  <c r="C10" i="18"/>
  <c r="E143"/>
  <c r="F143" s="1"/>
  <c r="G143" s="1"/>
  <c r="H143" s="1"/>
  <c r="I143" s="1"/>
  <c r="J143" s="1"/>
  <c r="K143" s="1"/>
  <c r="L143" s="1"/>
  <c r="M143" s="1"/>
  <c r="N143" s="1"/>
  <c r="O143" s="1"/>
  <c r="P143" s="1"/>
  <c r="Q143" s="1"/>
  <c r="R143" s="1"/>
  <c r="S143" s="1"/>
  <c r="T143" s="1"/>
  <c r="U143" s="1"/>
  <c r="V143" s="1"/>
  <c r="W143" s="1"/>
  <c r="X143" s="1"/>
  <c r="E224"/>
  <c r="V215"/>
  <c r="V214"/>
  <c r="V201"/>
  <c r="V200"/>
  <c r="H153" i="17"/>
  <c r="L190" i="18"/>
  <c r="T158" i="17"/>
  <c r="G161"/>
  <c r="R192" i="18"/>
  <c r="K206"/>
  <c r="Q157" i="29"/>
  <c r="E211" i="18"/>
  <c r="E250" s="1"/>
  <c r="K157" i="29"/>
  <c r="J173" i="17"/>
  <c r="L152" i="29"/>
  <c r="X151"/>
  <c r="X170" i="17"/>
  <c r="O187" i="18"/>
  <c r="J179" i="29"/>
  <c r="H149" i="17"/>
  <c r="H157"/>
  <c r="H177"/>
  <c r="S154" i="29"/>
  <c r="S158"/>
  <c r="N203" i="18"/>
  <c r="W212"/>
  <c r="W191"/>
  <c r="L172" i="17"/>
  <c r="L178"/>
  <c r="L192" i="18"/>
  <c r="H204"/>
  <c r="H212"/>
  <c r="AA105" i="29"/>
  <c r="E167"/>
  <c r="S169" i="17"/>
  <c r="Q164"/>
  <c r="Q149"/>
  <c r="U162" i="29"/>
  <c r="G213" i="31"/>
  <c r="G198"/>
  <c r="G210"/>
  <c r="T169" i="17"/>
  <c r="T176"/>
  <c r="L204" i="31"/>
  <c r="R169" i="29"/>
  <c r="R156"/>
  <c r="O153"/>
  <c r="O174"/>
  <c r="G173" i="17"/>
  <c r="G158"/>
  <c r="I172"/>
  <c r="I157"/>
  <c r="I195" i="18"/>
  <c r="I207"/>
  <c r="E193" i="31"/>
  <c r="E232" s="1"/>
  <c r="E214"/>
  <c r="E253" s="1"/>
  <c r="F157" i="17"/>
  <c r="F159"/>
  <c r="K191" i="31"/>
  <c r="F203"/>
  <c r="K150" i="17"/>
  <c r="K160"/>
  <c r="R165"/>
  <c r="R174"/>
  <c r="P179" i="29"/>
  <c r="Q209" i="18"/>
  <c r="Q215"/>
  <c r="W163" i="29"/>
  <c r="I192" i="31"/>
  <c r="I190"/>
  <c r="I199"/>
  <c r="I208"/>
  <c r="S213" i="18"/>
  <c r="S200"/>
  <c r="S196"/>
  <c r="S192"/>
  <c r="S201"/>
  <c r="R200"/>
  <c r="R207"/>
  <c r="G212"/>
  <c r="G189"/>
  <c r="G199"/>
  <c r="G186"/>
  <c r="J195"/>
  <c r="J192"/>
  <c r="J209"/>
  <c r="J186"/>
  <c r="J211"/>
  <c r="W173" i="17"/>
  <c r="W152"/>
  <c r="W174"/>
  <c r="W175"/>
  <c r="W153"/>
  <c r="V176"/>
  <c r="V154"/>
  <c r="V172"/>
  <c r="V160"/>
  <c r="V162"/>
  <c r="V174"/>
  <c r="F178" i="29"/>
  <c r="F152"/>
  <c r="F173"/>
  <c r="M193" i="18"/>
  <c r="M189"/>
  <c r="M200"/>
  <c r="M197"/>
  <c r="M205"/>
  <c r="P158" i="17"/>
  <c r="P159"/>
  <c r="P177"/>
  <c r="P169"/>
  <c r="N176"/>
  <c r="N161"/>
  <c r="N166"/>
  <c r="N172"/>
  <c r="H198" i="31"/>
  <c r="H200"/>
  <c r="H209"/>
  <c r="H210"/>
  <c r="H191"/>
  <c r="AA46" i="17"/>
  <c r="G155" i="29"/>
  <c r="G150"/>
  <c r="G157"/>
  <c r="G170"/>
  <c r="G178"/>
  <c r="G161"/>
  <c r="K210" i="18"/>
  <c r="K212"/>
  <c r="K190"/>
  <c r="M168" i="17"/>
  <c r="M172"/>
  <c r="M161"/>
  <c r="M175"/>
  <c r="Q165" i="29"/>
  <c r="Q162"/>
  <c r="Q175"/>
  <c r="E196" i="18"/>
  <c r="E235" s="1"/>
  <c r="E214"/>
  <c r="E253" s="1"/>
  <c r="F253" s="1"/>
  <c r="E199"/>
  <c r="E238" s="1"/>
  <c r="K176" i="29"/>
  <c r="K166"/>
  <c r="J151" i="17"/>
  <c r="J174"/>
  <c r="N152" i="29"/>
  <c r="N160"/>
  <c r="N162"/>
  <c r="N169"/>
  <c r="N173"/>
  <c r="L153"/>
  <c r="L158"/>
  <c r="L149"/>
  <c r="L160"/>
  <c r="L161"/>
  <c r="L179"/>
  <c r="X152"/>
  <c r="X173"/>
  <c r="X161"/>
  <c r="X176"/>
  <c r="F194" i="18"/>
  <c r="F198"/>
  <c r="F201"/>
  <c r="F240" s="1"/>
  <c r="U160" i="17"/>
  <c r="U170"/>
  <c r="U154"/>
  <c r="V188" i="18"/>
  <c r="V213"/>
  <c r="V209"/>
  <c r="P215"/>
  <c r="P210"/>
  <c r="P200"/>
  <c r="P190"/>
  <c r="P203"/>
  <c r="X168" i="17"/>
  <c r="X159"/>
  <c r="I169" i="29"/>
  <c r="H172"/>
  <c r="H152"/>
  <c r="H173"/>
  <c r="M161"/>
  <c r="M176"/>
  <c r="M157"/>
  <c r="O162" i="17"/>
  <c r="O158"/>
  <c r="O174"/>
  <c r="O172"/>
  <c r="O163"/>
  <c r="O215" i="18"/>
  <c r="O199"/>
  <c r="O189"/>
  <c r="O192"/>
  <c r="O206"/>
  <c r="V164" i="29"/>
  <c r="V171"/>
  <c r="V169"/>
  <c r="V149"/>
  <c r="V157"/>
  <c r="U216" i="18"/>
  <c r="U187"/>
  <c r="U197"/>
  <c r="U203"/>
  <c r="U192"/>
  <c r="U211"/>
  <c r="U188"/>
  <c r="J166" i="29"/>
  <c r="J156"/>
  <c r="J158"/>
  <c r="J202" i="31"/>
  <c r="J191"/>
  <c r="J196"/>
  <c r="X51"/>
  <c r="X28"/>
  <c r="X33"/>
  <c r="N197" i="18"/>
  <c r="N196"/>
  <c r="T156" i="17"/>
  <c r="T155"/>
  <c r="E143" i="31"/>
  <c r="F143" s="1"/>
  <c r="G143" s="1"/>
  <c r="H143" s="1"/>
  <c r="I143" s="1"/>
  <c r="J143" s="1"/>
  <c r="K143" s="1"/>
  <c r="L143" s="1"/>
  <c r="Y128" i="17"/>
  <c r="E165"/>
  <c r="E175"/>
  <c r="Y138"/>
  <c r="Y131"/>
  <c r="E168"/>
  <c r="Y125"/>
  <c r="E162"/>
  <c r="E164"/>
  <c r="Y127"/>
  <c r="X154"/>
  <c r="X153"/>
  <c r="F74" i="31"/>
  <c r="G69"/>
  <c r="I176" i="17"/>
  <c r="I175"/>
  <c r="E173"/>
  <c r="Y136"/>
  <c r="Y130"/>
  <c r="E167"/>
  <c r="Y105"/>
  <c r="C10" s="1"/>
  <c r="AE3" i="34"/>
  <c r="Y124" i="17"/>
  <c r="E161"/>
  <c r="E158"/>
  <c r="Y121"/>
  <c r="X211" i="18"/>
  <c r="X210"/>
  <c r="Q51" i="31"/>
  <c r="Q28"/>
  <c r="Q33"/>
  <c r="Q38" s="1"/>
  <c r="Y148" i="29"/>
  <c r="W28" i="31"/>
  <c r="W51"/>
  <c r="W33"/>
  <c r="W38" s="1"/>
  <c r="E224"/>
  <c r="Y134" i="17"/>
  <c r="E171"/>
  <c r="E169"/>
  <c r="Y132"/>
  <c r="Y126"/>
  <c r="E163"/>
  <c r="E166"/>
  <c r="Y129"/>
  <c r="E160"/>
  <c r="Y123"/>
  <c r="Y118"/>
  <c r="E155"/>
  <c r="E159"/>
  <c r="Y122"/>
  <c r="E176"/>
  <c r="Y139"/>
  <c r="E148"/>
  <c r="Y111"/>
  <c r="G202" i="18"/>
  <c r="G201"/>
  <c r="R33" i="31"/>
  <c r="R38" s="1"/>
  <c r="R51"/>
  <c r="R28"/>
  <c r="V192" i="18"/>
  <c r="V191"/>
  <c r="P28" i="31"/>
  <c r="P33"/>
  <c r="P38" s="1"/>
  <c r="P51"/>
  <c r="S164" i="29"/>
  <c r="S157"/>
  <c r="W211" i="18"/>
  <c r="W190"/>
  <c r="L156" i="17"/>
  <c r="L196" i="18"/>
  <c r="H202"/>
  <c r="H203"/>
  <c r="E152" i="29"/>
  <c r="S154" i="17"/>
  <c r="S163"/>
  <c r="U170" i="29"/>
  <c r="U155"/>
  <c r="T173" i="17"/>
  <c r="L186" i="31"/>
  <c r="L200"/>
  <c r="L197"/>
  <c r="R150" i="29"/>
  <c r="T195" i="18"/>
  <c r="O150" i="29"/>
  <c r="O177"/>
  <c r="O166"/>
  <c r="G172" i="17"/>
  <c r="I169"/>
  <c r="I205" i="18"/>
  <c r="F167" i="17"/>
  <c r="F177"/>
  <c r="F168"/>
  <c r="K210" i="31"/>
  <c r="F202"/>
  <c r="P150" i="29"/>
  <c r="P151"/>
  <c r="P176"/>
  <c r="W178"/>
  <c r="I198" i="31"/>
  <c r="S198" i="18"/>
  <c r="R204"/>
  <c r="J204"/>
  <c r="J205"/>
  <c r="V151" i="17"/>
  <c r="F151" i="29"/>
  <c r="P155" i="17"/>
  <c r="P156"/>
  <c r="G176" i="29"/>
  <c r="G179"/>
  <c r="G177"/>
  <c r="K207" i="18"/>
  <c r="M150" i="17"/>
  <c r="Q158" i="29"/>
  <c r="K178"/>
  <c r="J177" i="17"/>
  <c r="L151" i="29"/>
  <c r="F196" i="18"/>
  <c r="V204"/>
  <c r="P194"/>
  <c r="X152" i="17"/>
  <c r="I163" i="29"/>
  <c r="H164"/>
  <c r="O166" i="17"/>
  <c r="O188" i="18"/>
  <c r="V153" i="29"/>
  <c r="U214" i="18"/>
  <c r="X197"/>
  <c r="X200"/>
  <c r="X209"/>
  <c r="X189"/>
  <c r="H171" i="17"/>
  <c r="H158"/>
  <c r="H150"/>
  <c r="T168" i="29"/>
  <c r="T166"/>
  <c r="T156"/>
  <c r="T158"/>
  <c r="S168"/>
  <c r="S161"/>
  <c r="S162"/>
  <c r="S169"/>
  <c r="S171"/>
  <c r="N205" i="18"/>
  <c r="N206"/>
  <c r="N201"/>
  <c r="W209"/>
  <c r="W205"/>
  <c r="L171" i="17"/>
  <c r="L177"/>
  <c r="L186" i="18"/>
  <c r="L216"/>
  <c r="L204"/>
  <c r="H198"/>
  <c r="H205"/>
  <c r="H195"/>
  <c r="E164" i="29"/>
  <c r="E165"/>
  <c r="E177"/>
  <c r="E158"/>
  <c r="S177" i="17"/>
  <c r="S149"/>
  <c r="S150"/>
  <c r="Q156"/>
  <c r="U168" i="29"/>
  <c r="U150"/>
  <c r="U177"/>
  <c r="U178"/>
  <c r="G191" i="31"/>
  <c r="G192"/>
  <c r="G203"/>
  <c r="T159" i="17"/>
  <c r="T174"/>
  <c r="T150"/>
  <c r="L193" i="31"/>
  <c r="L207"/>
  <c r="L213"/>
  <c r="L187"/>
  <c r="R173" i="29"/>
  <c r="T188" i="18"/>
  <c r="T199"/>
  <c r="T207"/>
  <c r="O171" i="29"/>
  <c r="O168"/>
  <c r="O160"/>
  <c r="O156"/>
  <c r="G169" i="17"/>
  <c r="G176"/>
  <c r="G155"/>
  <c r="G174"/>
  <c r="I162"/>
  <c r="I202" i="18"/>
  <c r="I190"/>
  <c r="E200" i="31"/>
  <c r="E239" s="1"/>
  <c r="E202"/>
  <c r="E241" s="1"/>
  <c r="E215"/>
  <c r="E254" s="1"/>
  <c r="E216"/>
  <c r="E255" s="1"/>
  <c r="F149" i="17"/>
  <c r="F171"/>
  <c r="F162"/>
  <c r="F163"/>
  <c r="K204" i="31"/>
  <c r="K215"/>
  <c r="K197"/>
  <c r="K213"/>
  <c r="F205"/>
  <c r="F207"/>
  <c r="F190"/>
  <c r="K152" i="17"/>
  <c r="K175"/>
  <c r="K170"/>
  <c r="R173"/>
  <c r="R170"/>
  <c r="P171" i="29"/>
  <c r="P177"/>
  <c r="Q192" i="18"/>
  <c r="Q214"/>
  <c r="Q194"/>
  <c r="Q195"/>
  <c r="W179" i="29"/>
  <c r="W165"/>
  <c r="W160"/>
  <c r="W154"/>
  <c r="W155"/>
  <c r="X212" i="18"/>
  <c r="X213"/>
  <c r="X207"/>
  <c r="X198"/>
  <c r="X190"/>
  <c r="X195"/>
  <c r="H151" i="17"/>
  <c r="H160"/>
  <c r="H167"/>
  <c r="H163"/>
  <c r="H169"/>
  <c r="H179"/>
  <c r="T162" i="29"/>
  <c r="T175"/>
  <c r="T163"/>
  <c r="T172"/>
  <c r="T153"/>
  <c r="T178"/>
  <c r="T151"/>
  <c r="S150"/>
  <c r="S179"/>
  <c r="S178"/>
  <c r="S165"/>
  <c r="N210" i="18"/>
  <c r="N207"/>
  <c r="N194"/>
  <c r="N190"/>
  <c r="N198"/>
  <c r="N213"/>
  <c r="N216"/>
  <c r="W198"/>
  <c r="W203"/>
  <c r="W213"/>
  <c r="W192"/>
  <c r="W200"/>
  <c r="W193"/>
  <c r="L160" i="17"/>
  <c r="L154"/>
  <c r="L163"/>
  <c r="L157"/>
  <c r="L161"/>
  <c r="L149"/>
  <c r="L152"/>
  <c r="L201" i="18"/>
  <c r="L187"/>
  <c r="L197"/>
  <c r="L207"/>
  <c r="L210"/>
  <c r="L212"/>
  <c r="H210"/>
  <c r="H213"/>
  <c r="H199"/>
  <c r="H216"/>
  <c r="H214"/>
  <c r="H206"/>
  <c r="E153" i="29"/>
  <c r="E169"/>
  <c r="E154"/>
  <c r="E156"/>
  <c r="E161"/>
  <c r="E179"/>
  <c r="E172"/>
  <c r="S159" i="17"/>
  <c r="S171"/>
  <c r="S179"/>
  <c r="S173"/>
  <c r="S174"/>
  <c r="S166"/>
  <c r="Q178"/>
  <c r="Q152"/>
  <c r="Q171"/>
  <c r="Q175"/>
  <c r="Q154"/>
  <c r="Q162"/>
  <c r="Q150"/>
  <c r="Q168"/>
  <c r="U163" i="29"/>
  <c r="U159"/>
  <c r="U165"/>
  <c r="U151"/>
  <c r="U156"/>
  <c r="U153"/>
  <c r="U173"/>
  <c r="G207" i="31"/>
  <c r="G205"/>
  <c r="G193"/>
  <c r="G211"/>
  <c r="G199"/>
  <c r="G188"/>
  <c r="G196"/>
  <c r="T153" i="17"/>
  <c r="T154"/>
  <c r="T163"/>
  <c r="T161"/>
  <c r="T165"/>
  <c r="L198" i="31"/>
  <c r="L190"/>
  <c r="L209"/>
  <c r="L210"/>
  <c r="L194"/>
  <c r="L201"/>
  <c r="R153" i="29"/>
  <c r="R171"/>
  <c r="R160"/>
  <c r="R165"/>
  <c r="R163"/>
  <c r="R151"/>
  <c r="R157"/>
  <c r="R167"/>
  <c r="R175"/>
  <c r="T201" i="18"/>
  <c r="T202"/>
  <c r="T197"/>
  <c r="T189"/>
  <c r="T213"/>
  <c r="T210"/>
  <c r="T211"/>
  <c r="O161" i="29"/>
  <c r="O157"/>
  <c r="O179"/>
  <c r="O163"/>
  <c r="O151"/>
  <c r="O154"/>
  <c r="G150" i="17"/>
  <c r="G156"/>
  <c r="G165"/>
  <c r="G167"/>
  <c r="G179"/>
  <c r="G163"/>
  <c r="G159"/>
  <c r="I163"/>
  <c r="I178"/>
  <c r="I151"/>
  <c r="I152"/>
  <c r="I165"/>
  <c r="I166"/>
  <c r="I214" i="18"/>
  <c r="I208"/>
  <c r="I188"/>
  <c r="I196"/>
  <c r="I212"/>
  <c r="I199"/>
  <c r="I203"/>
  <c r="E212" i="31"/>
  <c r="E251" s="1"/>
  <c r="E187"/>
  <c r="E226" s="1"/>
  <c r="E195"/>
  <c r="E234" s="1"/>
  <c r="F234" s="1"/>
  <c r="E198"/>
  <c r="E237" s="1"/>
  <c r="E208"/>
  <c r="E247" s="1"/>
  <c r="E190"/>
  <c r="E229" s="1"/>
  <c r="E205"/>
  <c r="E244" s="1"/>
  <c r="F164" i="17"/>
  <c r="F150"/>
  <c r="F172"/>
  <c r="F151"/>
  <c r="F154"/>
  <c r="F165"/>
  <c r="K195" i="31"/>
  <c r="K199"/>
  <c r="K201"/>
  <c r="K188"/>
  <c r="K208"/>
  <c r="K211"/>
  <c r="K205"/>
  <c r="F215"/>
  <c r="F187"/>
  <c r="F226" s="1"/>
  <c r="F194"/>
  <c r="F196"/>
  <c r="F210"/>
  <c r="F249" s="1"/>
  <c r="F199"/>
  <c r="F192"/>
  <c r="K157" i="17"/>
  <c r="K166"/>
  <c r="K178"/>
  <c r="K167"/>
  <c r="K163"/>
  <c r="K155"/>
  <c r="R151"/>
  <c r="R166"/>
  <c r="R160"/>
  <c r="R149"/>
  <c r="R177"/>
  <c r="R153"/>
  <c r="R161"/>
  <c r="R168"/>
  <c r="P165" i="29"/>
  <c r="P160"/>
  <c r="P173"/>
  <c r="P158"/>
  <c r="P161"/>
  <c r="P152"/>
  <c r="P162"/>
  <c r="Q199" i="18"/>
  <c r="Q186"/>
  <c r="Q212"/>
  <c r="Q204"/>
  <c r="Q201"/>
  <c r="Q188"/>
  <c r="Q189"/>
  <c r="W149" i="29"/>
  <c r="W169"/>
  <c r="W158"/>
  <c r="W175"/>
  <c r="W173"/>
  <c r="W166"/>
  <c r="I216" i="31"/>
  <c r="I205"/>
  <c r="I186"/>
  <c r="I194"/>
  <c r="I211"/>
  <c r="I188"/>
  <c r="I214"/>
  <c r="S190" i="18"/>
  <c r="S207"/>
  <c r="S187"/>
  <c r="S210"/>
  <c r="S188"/>
  <c r="S215"/>
  <c r="S193"/>
  <c r="S205"/>
  <c r="R193"/>
  <c r="R210"/>
  <c r="R186"/>
  <c r="R202"/>
  <c r="R196"/>
  <c r="R208"/>
  <c r="R212"/>
  <c r="R214"/>
  <c r="G213"/>
  <c r="G207"/>
  <c r="G216"/>
  <c r="G197"/>
  <c r="G187"/>
  <c r="G194"/>
  <c r="G190"/>
  <c r="J196"/>
  <c r="J212"/>
  <c r="J197"/>
  <c r="J199"/>
  <c r="J215"/>
  <c r="J187"/>
  <c r="W161" i="17"/>
  <c r="W171"/>
  <c r="W149"/>
  <c r="W176"/>
  <c r="W158"/>
  <c r="W168"/>
  <c r="W163"/>
  <c r="V164"/>
  <c r="V179"/>
  <c r="V166"/>
  <c r="V149"/>
  <c r="V178"/>
  <c r="V156"/>
  <c r="F174" i="29"/>
  <c r="F158"/>
  <c r="F160"/>
  <c r="F166"/>
  <c r="F156"/>
  <c r="M212" i="18"/>
  <c r="M214"/>
  <c r="M198"/>
  <c r="M209"/>
  <c r="M195"/>
  <c r="M190"/>
  <c r="P170" i="17"/>
  <c r="P175"/>
  <c r="P165"/>
  <c r="P166"/>
  <c r="P167"/>
  <c r="P171"/>
  <c r="N149"/>
  <c r="N167"/>
  <c r="N164"/>
  <c r="N169"/>
  <c r="N152"/>
  <c r="N154"/>
  <c r="N170"/>
  <c r="N158"/>
  <c r="H213" i="31"/>
  <c r="H196"/>
  <c r="H204"/>
  <c r="H206"/>
  <c r="H211"/>
  <c r="H215"/>
  <c r="H193"/>
  <c r="G165" i="29"/>
  <c r="G162"/>
  <c r="G167"/>
  <c r="G172"/>
  <c r="G163"/>
  <c r="G151"/>
  <c r="K186" i="18"/>
  <c r="K215"/>
  <c r="K187"/>
  <c r="K192"/>
  <c r="K195"/>
  <c r="K199"/>
  <c r="M164" i="17"/>
  <c r="M155"/>
  <c r="M177"/>
  <c r="M152"/>
  <c r="M153"/>
  <c r="Q179" i="29"/>
  <c r="Q159"/>
  <c r="Q172"/>
  <c r="Q163"/>
  <c r="Q176"/>
  <c r="Q150"/>
  <c r="E187" i="18"/>
  <c r="E226" s="1"/>
  <c r="E197"/>
  <c r="E236" s="1"/>
  <c r="F236" s="1"/>
  <c r="E206"/>
  <c r="E245" s="1"/>
  <c r="F228"/>
  <c r="E208"/>
  <c r="E247" s="1"/>
  <c r="E188"/>
  <c r="E227" s="1"/>
  <c r="E191"/>
  <c r="E230" s="1"/>
  <c r="E194"/>
  <c r="E233" s="1"/>
  <c r="B142"/>
  <c r="K153" i="29"/>
  <c r="K155"/>
  <c r="K158"/>
  <c r="K171"/>
  <c r="K150"/>
  <c r="K174"/>
  <c r="K172"/>
  <c r="J153" i="17"/>
  <c r="J157"/>
  <c r="J178"/>
  <c r="J167"/>
  <c r="J163"/>
  <c r="J161"/>
  <c r="N153" i="29"/>
  <c r="N167"/>
  <c r="N163"/>
  <c r="N164"/>
  <c r="N174"/>
  <c r="N154"/>
  <c r="L169"/>
  <c r="L162"/>
  <c r="L175"/>
  <c r="L167"/>
  <c r="L163"/>
  <c r="L170"/>
  <c r="L154"/>
  <c r="X174"/>
  <c r="X156"/>
  <c r="X154"/>
  <c r="X169"/>
  <c r="X165"/>
  <c r="F187" i="18"/>
  <c r="F190"/>
  <c r="F199"/>
  <c r="F212"/>
  <c r="F204"/>
  <c r="U178" i="17"/>
  <c r="U161"/>
  <c r="U158"/>
  <c r="U165"/>
  <c r="U156"/>
  <c r="U179"/>
  <c r="U167"/>
  <c r="V210" i="18"/>
  <c r="V211"/>
  <c r="V202"/>
  <c r="V193"/>
  <c r="V189"/>
  <c r="V197"/>
  <c r="P196"/>
  <c r="P211"/>
  <c r="P187"/>
  <c r="P205"/>
  <c r="P212"/>
  <c r="P191"/>
  <c r="P207"/>
  <c r="X179" i="17"/>
  <c r="X178"/>
  <c r="X165"/>
  <c r="X176"/>
  <c r="X163"/>
  <c r="X174"/>
  <c r="X160"/>
  <c r="I152" i="29"/>
  <c r="I172"/>
  <c r="I156"/>
  <c r="I177"/>
  <c r="I166"/>
  <c r="I161"/>
  <c r="I157"/>
  <c r="H158"/>
  <c r="H167"/>
  <c r="H175"/>
  <c r="H149"/>
  <c r="H178"/>
  <c r="H168"/>
  <c r="H165"/>
  <c r="M177"/>
  <c r="M159"/>
  <c r="M151"/>
  <c r="M165"/>
  <c r="M169"/>
  <c r="M174"/>
  <c r="M171"/>
  <c r="O179" i="17"/>
  <c r="O153"/>
  <c r="O154"/>
  <c r="O170"/>
  <c r="O175"/>
  <c r="O200" i="18"/>
  <c r="O204"/>
  <c r="O209"/>
  <c r="O212"/>
  <c r="O196"/>
  <c r="V165" i="29"/>
  <c r="V160"/>
  <c r="V173"/>
  <c r="V178"/>
  <c r="V175"/>
  <c r="V158"/>
  <c r="V166"/>
  <c r="U190" i="18"/>
  <c r="U193"/>
  <c r="U198"/>
  <c r="U204"/>
  <c r="U209"/>
  <c r="U206"/>
  <c r="J150" i="29"/>
  <c r="J160"/>
  <c r="J167"/>
  <c r="J176"/>
  <c r="J177"/>
  <c r="J178"/>
  <c r="J164"/>
  <c r="J214" i="31"/>
  <c r="J206"/>
  <c r="J193"/>
  <c r="J208"/>
  <c r="J188"/>
  <c r="J197"/>
  <c r="J204"/>
  <c r="J186"/>
  <c r="J199"/>
  <c r="M136" l="1"/>
  <c r="M131"/>
  <c r="M127"/>
  <c r="M134"/>
  <c r="M132"/>
  <c r="M137"/>
  <c r="M128"/>
  <c r="M129"/>
  <c r="M140"/>
  <c r="M139"/>
  <c r="M135"/>
  <c r="M126"/>
  <c r="M138"/>
  <c r="M133"/>
  <c r="M130"/>
  <c r="M72"/>
  <c r="N72" s="1"/>
  <c r="O72" s="1"/>
  <c r="P72" s="1"/>
  <c r="Q72" s="1"/>
  <c r="R72" s="1"/>
  <c r="S72" s="1"/>
  <c r="T72" s="1"/>
  <c r="U72" s="1"/>
  <c r="V72" s="1"/>
  <c r="W72" s="1"/>
  <c r="X72" s="1"/>
  <c r="Y136"/>
  <c r="AE238" i="34" s="1"/>
  <c r="Y134" i="31"/>
  <c r="AE236" i="34" s="1"/>
  <c r="Y127" i="31"/>
  <c r="AE229" i="34" s="1"/>
  <c r="Y130" i="31"/>
  <c r="AE232" i="34" s="1"/>
  <c r="Y140" i="31"/>
  <c r="AE242" i="34" s="1"/>
  <c r="Y132" i="31"/>
  <c r="AE234" i="34" s="1"/>
  <c r="Y126" i="31"/>
  <c r="AE228" i="34" s="1"/>
  <c r="Y133" i="31"/>
  <c r="AE235" i="34" s="1"/>
  <c r="Y138" i="31"/>
  <c r="AE240" i="34" s="1"/>
  <c r="Y128" i="31"/>
  <c r="AE230" i="34" s="1"/>
  <c r="Y135" i="31"/>
  <c r="AE237" i="34" s="1"/>
  <c r="Y131" i="31"/>
  <c r="AE233" i="34" s="1"/>
  <c r="Y139" i="31"/>
  <c r="AE241" i="34" s="1"/>
  <c r="Y137" i="31"/>
  <c r="AE239" i="34" s="1"/>
  <c r="Y129" i="31"/>
  <c r="AE231" i="34" s="1"/>
  <c r="G253" i="18"/>
  <c r="H253" s="1"/>
  <c r="I253" s="1"/>
  <c r="J253" s="1"/>
  <c r="K253" s="1"/>
  <c r="L253" s="1"/>
  <c r="M253" s="1"/>
  <c r="N253" s="1"/>
  <c r="O253" s="1"/>
  <c r="P253" s="1"/>
  <c r="Q253" s="1"/>
  <c r="R253" s="1"/>
  <c r="S253" s="1"/>
  <c r="T253" s="1"/>
  <c r="U253" s="1"/>
  <c r="V253" s="1"/>
  <c r="W253" s="1"/>
  <c r="X253" s="1"/>
  <c r="F252"/>
  <c r="F251" i="31"/>
  <c r="G251" s="1"/>
  <c r="H251" s="1"/>
  <c r="I251" s="1"/>
  <c r="J251" s="1"/>
  <c r="K251" s="1"/>
  <c r="L251" s="1"/>
  <c r="F255"/>
  <c r="F233"/>
  <c r="G233" s="1"/>
  <c r="H233" s="1"/>
  <c r="F246"/>
  <c r="G246" s="1"/>
  <c r="H246" s="1"/>
  <c r="I246" s="1"/>
  <c r="J246" s="1"/>
  <c r="K246" s="1"/>
  <c r="L246" s="1"/>
  <c r="F234" i="18"/>
  <c r="G234" s="1"/>
  <c r="H234" s="1"/>
  <c r="I234" s="1"/>
  <c r="J234" s="1"/>
  <c r="K234" s="1"/>
  <c r="L234" s="1"/>
  <c r="M234" s="1"/>
  <c r="N234" s="1"/>
  <c r="O234" s="1"/>
  <c r="P234" s="1"/>
  <c r="Q234" s="1"/>
  <c r="R234" s="1"/>
  <c r="S234" s="1"/>
  <c r="T234" s="1"/>
  <c r="U234" s="1"/>
  <c r="V234" s="1"/>
  <c r="W234" s="1"/>
  <c r="X234" s="1"/>
  <c r="F243" i="31"/>
  <c r="F236"/>
  <c r="F254" i="18"/>
  <c r="F231" i="31"/>
  <c r="G240" i="18"/>
  <c r="H240" s="1"/>
  <c r="I240" s="1"/>
  <c r="J240" s="1"/>
  <c r="K240" s="1"/>
  <c r="L240" s="1"/>
  <c r="M240" s="1"/>
  <c r="N240" s="1"/>
  <c r="O240" s="1"/>
  <c r="P240" s="1"/>
  <c r="Q240" s="1"/>
  <c r="R240" s="1"/>
  <c r="S240" s="1"/>
  <c r="T240" s="1"/>
  <c r="U240" s="1"/>
  <c r="V240" s="1"/>
  <c r="W240" s="1"/>
  <c r="X240" s="1"/>
  <c r="F231"/>
  <c r="F237"/>
  <c r="G237" s="1"/>
  <c r="H237" s="1"/>
  <c r="I237" s="1"/>
  <c r="J237" s="1"/>
  <c r="K237" s="1"/>
  <c r="L237" s="1"/>
  <c r="M237" s="1"/>
  <c r="N237" s="1"/>
  <c r="O237" s="1"/>
  <c r="P237" s="1"/>
  <c r="Q237" s="1"/>
  <c r="R237" s="1"/>
  <c r="S237" s="1"/>
  <c r="T237" s="1"/>
  <c r="U237" s="1"/>
  <c r="V237" s="1"/>
  <c r="W237" s="1"/>
  <c r="X237" s="1"/>
  <c r="G236" i="31"/>
  <c r="H236" s="1"/>
  <c r="I236" s="1"/>
  <c r="J236" s="1"/>
  <c r="K236" s="1"/>
  <c r="L236" s="1"/>
  <c r="F247"/>
  <c r="G247" s="1"/>
  <c r="F247" i="18"/>
  <c r="G247" s="1"/>
  <c r="H247" s="1"/>
  <c r="F248" i="31"/>
  <c r="G248" s="1"/>
  <c r="H248" s="1"/>
  <c r="I248" s="1"/>
  <c r="J248" s="1"/>
  <c r="K248" s="1"/>
  <c r="L248" s="1"/>
  <c r="F228"/>
  <c r="G228" s="1"/>
  <c r="H228" s="1"/>
  <c r="I228" s="1"/>
  <c r="J228" s="1"/>
  <c r="K228" s="1"/>
  <c r="L228" s="1"/>
  <c r="F249" i="18"/>
  <c r="G249" s="1"/>
  <c r="H249" s="1"/>
  <c r="I249" s="1"/>
  <c r="J249" s="1"/>
  <c r="K249" s="1"/>
  <c r="L249" s="1"/>
  <c r="M249" s="1"/>
  <c r="N249" s="1"/>
  <c r="O249" s="1"/>
  <c r="P249" s="1"/>
  <c r="Q249" s="1"/>
  <c r="R249" s="1"/>
  <c r="S249" s="1"/>
  <c r="T249" s="1"/>
  <c r="U249" s="1"/>
  <c r="V249" s="1"/>
  <c r="W249" s="1"/>
  <c r="X249" s="1"/>
  <c r="F230" i="31"/>
  <c r="G230" s="1"/>
  <c r="H230" s="1"/>
  <c r="I230" s="1"/>
  <c r="J230" s="1"/>
  <c r="K230" s="1"/>
  <c r="L230" s="1"/>
  <c r="M120"/>
  <c r="M113"/>
  <c r="M118"/>
  <c r="M114"/>
  <c r="M117"/>
  <c r="M123"/>
  <c r="M116"/>
  <c r="M122"/>
  <c r="M124"/>
  <c r="M115"/>
  <c r="M112"/>
  <c r="M125"/>
  <c r="M121"/>
  <c r="M119"/>
  <c r="M111"/>
  <c r="M71"/>
  <c r="N71" s="1"/>
  <c r="O71" s="1"/>
  <c r="P71" s="1"/>
  <c r="Q71" s="1"/>
  <c r="R71" s="1"/>
  <c r="S71" s="1"/>
  <c r="T71" s="1"/>
  <c r="U71" s="1"/>
  <c r="V71" s="1"/>
  <c r="W71" s="1"/>
  <c r="X71" s="1"/>
  <c r="Y118"/>
  <c r="AE220" i="34" s="1"/>
  <c r="Y113" i="31"/>
  <c r="AE215" i="34" s="1"/>
  <c r="Y122" i="31"/>
  <c r="AE224" i="34" s="1"/>
  <c r="Y123" i="31"/>
  <c r="AE225" i="34" s="1"/>
  <c r="Y116" i="31"/>
  <c r="AE218" i="34" s="1"/>
  <c r="Y112" i="31"/>
  <c r="AE214" i="34" s="1"/>
  <c r="Y115" i="31"/>
  <c r="AE217" i="34" s="1"/>
  <c r="Y125" i="31"/>
  <c r="AE227" i="34" s="1"/>
  <c r="Y119" i="31"/>
  <c r="AE221" i="34" s="1"/>
  <c r="Y111" i="31"/>
  <c r="AE213" i="34" s="1"/>
  <c r="Y114" i="31"/>
  <c r="AE216" i="34" s="1"/>
  <c r="Y121" i="31"/>
  <c r="AE223" i="34" s="1"/>
  <c r="Y120" i="31"/>
  <c r="AE222" i="34" s="1"/>
  <c r="Y124" i="31"/>
  <c r="AE226" i="34" s="1"/>
  <c r="Y117" i="31"/>
  <c r="AE219" i="34" s="1"/>
  <c r="Y110" i="31"/>
  <c r="AE212" i="34" s="1"/>
  <c r="Y99" i="31"/>
  <c r="AE201" i="34" s="1"/>
  <c r="Y106" i="31"/>
  <c r="AE208" i="34" s="1"/>
  <c r="Y98" i="31"/>
  <c r="AE200" i="34" s="1"/>
  <c r="Y97" i="31"/>
  <c r="AE199" i="34" s="1"/>
  <c r="Y109" i="31"/>
  <c r="AE211" i="34" s="1"/>
  <c r="Y96" i="31"/>
  <c r="AE198" i="34" s="1"/>
  <c r="Y101" i="31"/>
  <c r="AE203" i="34" s="1"/>
  <c r="Y107" i="31"/>
  <c r="AE209" i="34" s="1"/>
  <c r="Y104" i="31"/>
  <c r="AE206" i="34" s="1"/>
  <c r="Y103" i="31"/>
  <c r="AE205" i="34" s="1"/>
  <c r="Y108" i="31"/>
  <c r="AE210" i="34" s="1"/>
  <c r="Y105" i="31"/>
  <c r="AE207" i="34" s="1"/>
  <c r="Y100" i="31"/>
  <c r="AE202" i="34" s="1"/>
  <c r="Y102" i="31"/>
  <c r="AE204" i="34" s="1"/>
  <c r="F225" i="31"/>
  <c r="G225" s="1"/>
  <c r="H225" s="1"/>
  <c r="I225" s="1"/>
  <c r="J225" s="1"/>
  <c r="K225" s="1"/>
  <c r="L225" s="1"/>
  <c r="M102"/>
  <c r="M108"/>
  <c r="M96"/>
  <c r="M109"/>
  <c r="M106"/>
  <c r="M101"/>
  <c r="M107"/>
  <c r="M103"/>
  <c r="M104"/>
  <c r="M100"/>
  <c r="M97"/>
  <c r="M110"/>
  <c r="M99"/>
  <c r="M105"/>
  <c r="M98"/>
  <c r="M70"/>
  <c r="N70" s="1"/>
  <c r="O70" s="1"/>
  <c r="P70" s="1"/>
  <c r="Q70" s="1"/>
  <c r="R70" s="1"/>
  <c r="S70" s="1"/>
  <c r="T70" s="1"/>
  <c r="U70" s="1"/>
  <c r="V70" s="1"/>
  <c r="W70" s="1"/>
  <c r="X70" s="1"/>
  <c r="F230" i="18"/>
  <c r="G230" s="1"/>
  <c r="H230" s="1"/>
  <c r="I230" s="1"/>
  <c r="J230" s="1"/>
  <c r="K230" s="1"/>
  <c r="L230" s="1"/>
  <c r="M230" s="1"/>
  <c r="N230" s="1"/>
  <c r="O230" s="1"/>
  <c r="P230" s="1"/>
  <c r="Q230" s="1"/>
  <c r="R230" s="1"/>
  <c r="S230" s="1"/>
  <c r="T230" s="1"/>
  <c r="U230" s="1"/>
  <c r="V230" s="1"/>
  <c r="W230" s="1"/>
  <c r="X230" s="1"/>
  <c r="F245"/>
  <c r="G245" s="1"/>
  <c r="H245" s="1"/>
  <c r="I245" s="1"/>
  <c r="J245" s="1"/>
  <c r="K245" s="1"/>
  <c r="L245" s="1"/>
  <c r="M245" s="1"/>
  <c r="N245" s="1"/>
  <c r="O245" s="1"/>
  <c r="P245" s="1"/>
  <c r="Q245" s="1"/>
  <c r="R245" s="1"/>
  <c r="S245" s="1"/>
  <c r="T245" s="1"/>
  <c r="U245" s="1"/>
  <c r="V245" s="1"/>
  <c r="W245" s="1"/>
  <c r="X245" s="1"/>
  <c r="I232"/>
  <c r="J232" s="1"/>
  <c r="K232" s="1"/>
  <c r="L232" s="1"/>
  <c r="M232" s="1"/>
  <c r="N232" s="1"/>
  <c r="O232" s="1"/>
  <c r="P232" s="1"/>
  <c r="Q232" s="1"/>
  <c r="R232" s="1"/>
  <c r="S232" s="1"/>
  <c r="T232" s="1"/>
  <c r="U232" s="1"/>
  <c r="V232" s="1"/>
  <c r="W232" s="1"/>
  <c r="X232" s="1"/>
  <c r="M38" i="31"/>
  <c r="F252"/>
  <c r="G252" s="1"/>
  <c r="H252" s="1"/>
  <c r="I252" s="1"/>
  <c r="J252" s="1"/>
  <c r="K252" s="1"/>
  <c r="L252" s="1"/>
  <c r="F246" i="18"/>
  <c r="G246" s="1"/>
  <c r="H246" s="1"/>
  <c r="I246" s="1"/>
  <c r="J246" s="1"/>
  <c r="K246" s="1"/>
  <c r="L246" s="1"/>
  <c r="M246" s="1"/>
  <c r="N246" s="1"/>
  <c r="O246" s="1"/>
  <c r="P246" s="1"/>
  <c r="Q246" s="1"/>
  <c r="R246" s="1"/>
  <c r="S246" s="1"/>
  <c r="T246" s="1"/>
  <c r="U246" s="1"/>
  <c r="V246" s="1"/>
  <c r="W246" s="1"/>
  <c r="X246" s="1"/>
  <c r="G226" i="31"/>
  <c r="H226" s="1"/>
  <c r="I226" s="1"/>
  <c r="J226" s="1"/>
  <c r="K226" s="1"/>
  <c r="L226" s="1"/>
  <c r="F253"/>
  <c r="G253" s="1"/>
  <c r="H253" s="1"/>
  <c r="I253" s="1"/>
  <c r="J253" s="1"/>
  <c r="K253" s="1"/>
  <c r="L253" s="1"/>
  <c r="F227"/>
  <c r="G227" s="1"/>
  <c r="H227" s="1"/>
  <c r="I227" s="1"/>
  <c r="J227" s="1"/>
  <c r="K227" s="1"/>
  <c r="L227" s="1"/>
  <c r="F227" i="18"/>
  <c r="G227" s="1"/>
  <c r="H227" s="1"/>
  <c r="I227" s="1"/>
  <c r="J227" s="1"/>
  <c r="K227" s="1"/>
  <c r="L227" s="1"/>
  <c r="M227" s="1"/>
  <c r="N227" s="1"/>
  <c r="O227" s="1"/>
  <c r="P227" s="1"/>
  <c r="Q227" s="1"/>
  <c r="R227" s="1"/>
  <c r="S227" s="1"/>
  <c r="T227" s="1"/>
  <c r="U227" s="1"/>
  <c r="V227" s="1"/>
  <c r="W227" s="1"/>
  <c r="X227" s="1"/>
  <c r="G234" i="31"/>
  <c r="H234" s="1"/>
  <c r="I234" s="1"/>
  <c r="J234" s="1"/>
  <c r="K234" s="1"/>
  <c r="L234" s="1"/>
  <c r="G240"/>
  <c r="H240" s="1"/>
  <c r="I240" s="1"/>
  <c r="J240" s="1"/>
  <c r="K240" s="1"/>
  <c r="L240" s="1"/>
  <c r="F229" i="18"/>
  <c r="G229" s="1"/>
  <c r="H229" s="1"/>
  <c r="I229" s="1"/>
  <c r="J229" s="1"/>
  <c r="K229" s="1"/>
  <c r="L229" s="1"/>
  <c r="M229" s="1"/>
  <c r="N229" s="1"/>
  <c r="O229" s="1"/>
  <c r="P229" s="1"/>
  <c r="Q229" s="1"/>
  <c r="R229" s="1"/>
  <c r="S229" s="1"/>
  <c r="T229" s="1"/>
  <c r="U229" s="1"/>
  <c r="V229" s="1"/>
  <c r="W229" s="1"/>
  <c r="X229" s="1"/>
  <c r="F235" i="31"/>
  <c r="G235" s="1"/>
  <c r="H235" s="1"/>
  <c r="I235" s="1"/>
  <c r="J235" s="1"/>
  <c r="K235" s="1"/>
  <c r="L235" s="1"/>
  <c r="I218" i="18"/>
  <c r="G255" i="31"/>
  <c r="H255" s="1"/>
  <c r="F242"/>
  <c r="G242" s="1"/>
  <c r="H242" s="1"/>
  <c r="I242" s="1"/>
  <c r="J242" s="1"/>
  <c r="K242" s="1"/>
  <c r="L242" s="1"/>
  <c r="F232"/>
  <c r="G232" s="1"/>
  <c r="H232" s="1"/>
  <c r="I232" s="1"/>
  <c r="J232" s="1"/>
  <c r="K232" s="1"/>
  <c r="L232" s="1"/>
  <c r="G242" i="18"/>
  <c r="H242" s="1"/>
  <c r="I242" s="1"/>
  <c r="J242" s="1"/>
  <c r="K242" s="1"/>
  <c r="L242" s="1"/>
  <c r="M242" s="1"/>
  <c r="N242" s="1"/>
  <c r="O242" s="1"/>
  <c r="P242" s="1"/>
  <c r="Q242" s="1"/>
  <c r="R242" s="1"/>
  <c r="S242" s="1"/>
  <c r="T242" s="1"/>
  <c r="U242" s="1"/>
  <c r="V242" s="1"/>
  <c r="W242" s="1"/>
  <c r="X242" s="1"/>
  <c r="Y159" i="29"/>
  <c r="G228" i="18"/>
  <c r="H228" s="1"/>
  <c r="I228" s="1"/>
  <c r="J228" s="1"/>
  <c r="K228" s="1"/>
  <c r="L228" s="1"/>
  <c r="M228" s="1"/>
  <c r="N228" s="1"/>
  <c r="O228" s="1"/>
  <c r="P228" s="1"/>
  <c r="Q228" s="1"/>
  <c r="R228" s="1"/>
  <c r="S228" s="1"/>
  <c r="T228" s="1"/>
  <c r="U228" s="1"/>
  <c r="V228" s="1"/>
  <c r="W228" s="1"/>
  <c r="X228" s="1"/>
  <c r="G181" i="29"/>
  <c r="G249" i="31"/>
  <c r="H249" s="1"/>
  <c r="I249" s="1"/>
  <c r="J249" s="1"/>
  <c r="K249" s="1"/>
  <c r="L249" s="1"/>
  <c r="H247"/>
  <c r="I247" s="1"/>
  <c r="J247" s="1"/>
  <c r="K247" s="1"/>
  <c r="L247" s="1"/>
  <c r="G243"/>
  <c r="H243" s="1"/>
  <c r="I243" s="1"/>
  <c r="J243" s="1"/>
  <c r="K243" s="1"/>
  <c r="L243" s="1"/>
  <c r="F248" i="18"/>
  <c r="G248" s="1"/>
  <c r="H248" s="1"/>
  <c r="I248" s="1"/>
  <c r="J248" s="1"/>
  <c r="K248" s="1"/>
  <c r="L248" s="1"/>
  <c r="M248" s="1"/>
  <c r="N248" s="1"/>
  <c r="O248" s="1"/>
  <c r="P248" s="1"/>
  <c r="Q248" s="1"/>
  <c r="R248" s="1"/>
  <c r="S248" s="1"/>
  <c r="T248" s="1"/>
  <c r="U248" s="1"/>
  <c r="V248" s="1"/>
  <c r="W248" s="1"/>
  <c r="X248" s="1"/>
  <c r="F239"/>
  <c r="G239" s="1"/>
  <c r="H239" s="1"/>
  <c r="I239" s="1"/>
  <c r="J239" s="1"/>
  <c r="K239" s="1"/>
  <c r="L239" s="1"/>
  <c r="M239" s="1"/>
  <c r="N239" s="1"/>
  <c r="O239" s="1"/>
  <c r="P239" s="1"/>
  <c r="Q239" s="1"/>
  <c r="R239" s="1"/>
  <c r="S239" s="1"/>
  <c r="T239" s="1"/>
  <c r="U239" s="1"/>
  <c r="V239" s="1"/>
  <c r="W239" s="1"/>
  <c r="X239" s="1"/>
  <c r="J181" i="29"/>
  <c r="M181"/>
  <c r="I247" i="18"/>
  <c r="J247" s="1"/>
  <c r="K247" s="1"/>
  <c r="L247" s="1"/>
  <c r="M247" s="1"/>
  <c r="N247" s="1"/>
  <c r="O247" s="1"/>
  <c r="P247" s="1"/>
  <c r="Q247" s="1"/>
  <c r="R247" s="1"/>
  <c r="S247" s="1"/>
  <c r="T247" s="1"/>
  <c r="U247" s="1"/>
  <c r="V247" s="1"/>
  <c r="W247" s="1"/>
  <c r="X247" s="1"/>
  <c r="I218" i="31"/>
  <c r="W181" i="29"/>
  <c r="G231" i="31"/>
  <c r="H231" s="1"/>
  <c r="I231" s="1"/>
  <c r="J231" s="1"/>
  <c r="K231" s="1"/>
  <c r="L231" s="1"/>
  <c r="T181" i="17"/>
  <c r="P181"/>
  <c r="F245" i="31"/>
  <c r="G245" s="1"/>
  <c r="H245" s="1"/>
  <c r="I245" s="1"/>
  <c r="J245" s="1"/>
  <c r="K245" s="1"/>
  <c r="L245" s="1"/>
  <c r="Y175" i="29"/>
  <c r="F218" i="18"/>
  <c r="J181" i="17"/>
  <c r="G218" i="31"/>
  <c r="Q181" i="17"/>
  <c r="F181" i="29"/>
  <c r="K218" i="18"/>
  <c r="X181" i="17"/>
  <c r="G254" i="18"/>
  <c r="H254" s="1"/>
  <c r="I254" s="1"/>
  <c r="J254" s="1"/>
  <c r="K254" s="1"/>
  <c r="L254" s="1"/>
  <c r="M254" s="1"/>
  <c r="N254" s="1"/>
  <c r="O254" s="1"/>
  <c r="P254" s="1"/>
  <c r="Q254" s="1"/>
  <c r="R254" s="1"/>
  <c r="S254" s="1"/>
  <c r="T254" s="1"/>
  <c r="U254" s="1"/>
  <c r="V254" s="1"/>
  <c r="W254" s="1"/>
  <c r="X254" s="1"/>
  <c r="Y168" i="29"/>
  <c r="G218" i="18"/>
  <c r="J218" i="31"/>
  <c r="P218" i="18"/>
  <c r="V181" i="17"/>
  <c r="F238" i="31"/>
  <c r="G238" s="1"/>
  <c r="H238" s="1"/>
  <c r="I238" s="1"/>
  <c r="J238" s="1"/>
  <c r="K238" s="1"/>
  <c r="L238" s="1"/>
  <c r="S181" i="29"/>
  <c r="X218" i="18"/>
  <c r="Q218"/>
  <c r="Y151" i="29"/>
  <c r="O181"/>
  <c r="R181"/>
  <c r="Y161" i="17"/>
  <c r="Y162"/>
  <c r="M218" i="18"/>
  <c r="Y178" i="29"/>
  <c r="W181" i="17"/>
  <c r="H181"/>
  <c r="K181" i="29"/>
  <c r="N181"/>
  <c r="F233" i="18"/>
  <c r="G233" s="1"/>
  <c r="H233" s="1"/>
  <c r="I233" s="1"/>
  <c r="J233" s="1"/>
  <c r="K233" s="1"/>
  <c r="L233" s="1"/>
  <c r="M233" s="1"/>
  <c r="N233" s="1"/>
  <c r="O233" s="1"/>
  <c r="P233" s="1"/>
  <c r="Q233" s="1"/>
  <c r="R233" s="1"/>
  <c r="S233" s="1"/>
  <c r="T233" s="1"/>
  <c r="U233" s="1"/>
  <c r="V233" s="1"/>
  <c r="W233" s="1"/>
  <c r="X233" s="1"/>
  <c r="K218" i="31"/>
  <c r="L218" i="18"/>
  <c r="L181" i="17"/>
  <c r="N218" i="18"/>
  <c r="G231"/>
  <c r="H231" s="1"/>
  <c r="I231" s="1"/>
  <c r="J231" s="1"/>
  <c r="K231" s="1"/>
  <c r="L231" s="1"/>
  <c r="M231" s="1"/>
  <c r="N231" s="1"/>
  <c r="O231" s="1"/>
  <c r="P231" s="1"/>
  <c r="Q231" s="1"/>
  <c r="R231" s="1"/>
  <c r="S231" s="1"/>
  <c r="T231" s="1"/>
  <c r="U231" s="1"/>
  <c r="V231" s="1"/>
  <c r="W231" s="1"/>
  <c r="X231" s="1"/>
  <c r="V181" i="29"/>
  <c r="Y170"/>
  <c r="B105" i="17"/>
  <c r="Y173" i="29"/>
  <c r="I181"/>
  <c r="U181" i="17"/>
  <c r="S218" i="18"/>
  <c r="Y179" i="29"/>
  <c r="H218" i="18"/>
  <c r="W218"/>
  <c r="X181" i="29"/>
  <c r="N181" i="17"/>
  <c r="Y166" i="29"/>
  <c r="O181" i="17"/>
  <c r="Y149" i="29"/>
  <c r="Y157"/>
  <c r="Y171"/>
  <c r="Q181"/>
  <c r="H218" i="31"/>
  <c r="Y174" i="29"/>
  <c r="J218" i="18"/>
  <c r="R218"/>
  <c r="P181" i="29"/>
  <c r="R181" i="17"/>
  <c r="T218" i="18"/>
  <c r="F244" i="31"/>
  <c r="G244" s="1"/>
  <c r="H244" s="1"/>
  <c r="I244" s="1"/>
  <c r="J244" s="1"/>
  <c r="K244" s="1"/>
  <c r="L244" s="1"/>
  <c r="F181" i="17"/>
  <c r="F239" i="31"/>
  <c r="G239" s="1"/>
  <c r="H239" s="1"/>
  <c r="I239" s="1"/>
  <c r="J239" s="1"/>
  <c r="K239" s="1"/>
  <c r="L239" s="1"/>
  <c r="L218"/>
  <c r="U181" i="29"/>
  <c r="S181" i="17"/>
  <c r="L181" i="29"/>
  <c r="M181" i="17"/>
  <c r="Y176" i="29"/>
  <c r="U218" i="18"/>
  <c r="O218"/>
  <c r="Y155" i="29"/>
  <c r="K181" i="17"/>
  <c r="I181"/>
  <c r="Y162" i="29"/>
  <c r="G181" i="17"/>
  <c r="T181" i="29"/>
  <c r="E257" i="31"/>
  <c r="F224"/>
  <c r="Q56"/>
  <c r="Q60"/>
  <c r="M60"/>
  <c r="M56"/>
  <c r="F226" i="18"/>
  <c r="G226" s="1"/>
  <c r="H226" s="1"/>
  <c r="I226" s="1"/>
  <c r="J226" s="1"/>
  <c r="K226" s="1"/>
  <c r="L226" s="1"/>
  <c r="M226" s="1"/>
  <c r="N226" s="1"/>
  <c r="O226" s="1"/>
  <c r="P226" s="1"/>
  <c r="Q226" s="1"/>
  <c r="R226" s="1"/>
  <c r="S226" s="1"/>
  <c r="T226" s="1"/>
  <c r="U226" s="1"/>
  <c r="V226" s="1"/>
  <c r="W226" s="1"/>
  <c r="X226" s="1"/>
  <c r="I255" i="31"/>
  <c r="J255" s="1"/>
  <c r="K255" s="1"/>
  <c r="L255" s="1"/>
  <c r="Y153" i="17"/>
  <c r="H181" i="29"/>
  <c r="F243" i="18"/>
  <c r="G243" s="1"/>
  <c r="H243" s="1"/>
  <c r="I243" s="1"/>
  <c r="J243" s="1"/>
  <c r="K243" s="1"/>
  <c r="L243" s="1"/>
  <c r="M243" s="1"/>
  <c r="N243" s="1"/>
  <c r="O243" s="1"/>
  <c r="P243" s="1"/>
  <c r="Q243" s="1"/>
  <c r="R243" s="1"/>
  <c r="S243" s="1"/>
  <c r="T243" s="1"/>
  <c r="U243" s="1"/>
  <c r="V243" s="1"/>
  <c r="W243" s="1"/>
  <c r="X243" s="1"/>
  <c r="G225"/>
  <c r="H225" s="1"/>
  <c r="I225" s="1"/>
  <c r="J225" s="1"/>
  <c r="K225" s="1"/>
  <c r="L225" s="1"/>
  <c r="M225" s="1"/>
  <c r="N225" s="1"/>
  <c r="O225" s="1"/>
  <c r="P225" s="1"/>
  <c r="Q225" s="1"/>
  <c r="R225" s="1"/>
  <c r="S225" s="1"/>
  <c r="T225" s="1"/>
  <c r="U225" s="1"/>
  <c r="V225" s="1"/>
  <c r="W225" s="1"/>
  <c r="X225" s="1"/>
  <c r="Y150" i="29"/>
  <c r="G236" i="18"/>
  <c r="H236" s="1"/>
  <c r="I236" s="1"/>
  <c r="J236" s="1"/>
  <c r="K236" s="1"/>
  <c r="L236" s="1"/>
  <c r="M236" s="1"/>
  <c r="N236" s="1"/>
  <c r="O236" s="1"/>
  <c r="P236" s="1"/>
  <c r="Q236" s="1"/>
  <c r="R236" s="1"/>
  <c r="S236" s="1"/>
  <c r="T236" s="1"/>
  <c r="U236" s="1"/>
  <c r="V236" s="1"/>
  <c r="W236" s="1"/>
  <c r="X236" s="1"/>
  <c r="G250" i="31"/>
  <c r="H250" s="1"/>
  <c r="I250" s="1"/>
  <c r="J250" s="1"/>
  <c r="K250" s="1"/>
  <c r="L250" s="1"/>
  <c r="F254"/>
  <c r="G254" s="1"/>
  <c r="H254" s="1"/>
  <c r="I254" s="1"/>
  <c r="J254" s="1"/>
  <c r="K254" s="1"/>
  <c r="L254" s="1"/>
  <c r="Y172" i="29"/>
  <c r="Y154"/>
  <c r="F229" i="31"/>
  <c r="G229" s="1"/>
  <c r="H229" s="1"/>
  <c r="I229" s="1"/>
  <c r="J229" s="1"/>
  <c r="K229" s="1"/>
  <c r="L229" s="1"/>
  <c r="Y158" i="29"/>
  <c r="Y164"/>
  <c r="F241" i="31"/>
  <c r="G241" s="1"/>
  <c r="H241" s="1"/>
  <c r="I241" s="1"/>
  <c r="J241" s="1"/>
  <c r="K241" s="1"/>
  <c r="L241" s="1"/>
  <c r="Y176" i="17"/>
  <c r="Y166"/>
  <c r="Y169"/>
  <c r="Y158"/>
  <c r="Y173"/>
  <c r="Y164"/>
  <c r="F238" i="18"/>
  <c r="G238" s="1"/>
  <c r="H238" s="1"/>
  <c r="I238" s="1"/>
  <c r="J238" s="1"/>
  <c r="K238" s="1"/>
  <c r="L238" s="1"/>
  <c r="M238" s="1"/>
  <c r="N238" s="1"/>
  <c r="O238" s="1"/>
  <c r="P238" s="1"/>
  <c r="Q238" s="1"/>
  <c r="R238" s="1"/>
  <c r="S238" s="1"/>
  <c r="T238" s="1"/>
  <c r="U238" s="1"/>
  <c r="V238" s="1"/>
  <c r="W238" s="1"/>
  <c r="X238" s="1"/>
  <c r="F235"/>
  <c r="G235" s="1"/>
  <c r="H235" s="1"/>
  <c r="I235" s="1"/>
  <c r="J235" s="1"/>
  <c r="K235" s="1"/>
  <c r="L235" s="1"/>
  <c r="M235" s="1"/>
  <c r="N235" s="1"/>
  <c r="O235" s="1"/>
  <c r="P235" s="1"/>
  <c r="Q235" s="1"/>
  <c r="R235" s="1"/>
  <c r="S235" s="1"/>
  <c r="T235" s="1"/>
  <c r="U235" s="1"/>
  <c r="V235" s="1"/>
  <c r="W235" s="1"/>
  <c r="X235" s="1"/>
  <c r="F218" i="31"/>
  <c r="Y151" i="17"/>
  <c r="Y152"/>
  <c r="F255" i="18"/>
  <c r="G255" s="1"/>
  <c r="H255" s="1"/>
  <c r="I255" s="1"/>
  <c r="J255" s="1"/>
  <c r="K255" s="1"/>
  <c r="L255" s="1"/>
  <c r="M255" s="1"/>
  <c r="N255" s="1"/>
  <c r="O255" s="1"/>
  <c r="P255" s="1"/>
  <c r="Q255" s="1"/>
  <c r="R255" s="1"/>
  <c r="S255" s="1"/>
  <c r="T255" s="1"/>
  <c r="U255" s="1"/>
  <c r="V255" s="1"/>
  <c r="W255" s="1"/>
  <c r="X255" s="1"/>
  <c r="F251"/>
  <c r="G251" s="1"/>
  <c r="H251" s="1"/>
  <c r="I251" s="1"/>
  <c r="J251" s="1"/>
  <c r="K251" s="1"/>
  <c r="L251" s="1"/>
  <c r="M251" s="1"/>
  <c r="N251" s="1"/>
  <c r="O251" s="1"/>
  <c r="P251" s="1"/>
  <c r="Q251" s="1"/>
  <c r="R251" s="1"/>
  <c r="S251" s="1"/>
  <c r="T251" s="1"/>
  <c r="U251" s="1"/>
  <c r="V251" s="1"/>
  <c r="W251" s="1"/>
  <c r="X251" s="1"/>
  <c r="Y163" i="29"/>
  <c r="Y150" i="17"/>
  <c r="Y170"/>
  <c r="Y149"/>
  <c r="Y177"/>
  <c r="X56" i="31"/>
  <c r="X60"/>
  <c r="P60"/>
  <c r="P56"/>
  <c r="G74"/>
  <c r="H69"/>
  <c r="Z33"/>
  <c r="Z38" s="1"/>
  <c r="X38"/>
  <c r="F224" i="18"/>
  <c r="E257"/>
  <c r="T60" i="31"/>
  <c r="T56"/>
  <c r="V60"/>
  <c r="V56"/>
  <c r="O60"/>
  <c r="O56"/>
  <c r="Y90"/>
  <c r="AE192" i="34" s="1"/>
  <c r="Y84" i="31"/>
  <c r="AE186" i="34" s="1"/>
  <c r="Y83" i="31"/>
  <c r="AE185" i="34" s="1"/>
  <c r="Y95" i="31"/>
  <c r="AE197" i="34" s="1"/>
  <c r="Y93" i="31"/>
  <c r="AE195" i="34" s="1"/>
  <c r="Y92" i="31"/>
  <c r="AE194" i="34" s="1"/>
  <c r="Y85" i="31"/>
  <c r="AE187" i="34" s="1"/>
  <c r="Y82" i="31"/>
  <c r="AE184" i="34" s="1"/>
  <c r="Y89" i="31"/>
  <c r="AE191" i="34" s="1"/>
  <c r="Y88" i="31"/>
  <c r="AE190" i="34" s="1"/>
  <c r="Y87" i="31"/>
  <c r="AE189" i="34" s="1"/>
  <c r="Y94" i="31"/>
  <c r="AE196" i="34" s="1"/>
  <c r="Y86" i="31"/>
  <c r="AE188" i="34" s="1"/>
  <c r="Y81" i="31"/>
  <c r="Y91"/>
  <c r="AE193" i="34" s="1"/>
  <c r="Y169" i="29"/>
  <c r="Y163" i="17"/>
  <c r="E181" i="29"/>
  <c r="E182" s="1"/>
  <c r="Y167" i="17"/>
  <c r="Y156" i="29"/>
  <c r="Y165"/>
  <c r="Y152"/>
  <c r="Y155" i="17"/>
  <c r="E218" i="31"/>
  <c r="E219" s="1"/>
  <c r="Y168" i="17"/>
  <c r="Y165"/>
  <c r="AA105"/>
  <c r="F250" i="18"/>
  <c r="G250" s="1"/>
  <c r="H250" s="1"/>
  <c r="I250" s="1"/>
  <c r="J250" s="1"/>
  <c r="K250" s="1"/>
  <c r="L250" s="1"/>
  <c r="M250" s="1"/>
  <c r="N250" s="1"/>
  <c r="O250" s="1"/>
  <c r="P250" s="1"/>
  <c r="Q250" s="1"/>
  <c r="R250" s="1"/>
  <c r="S250" s="1"/>
  <c r="T250" s="1"/>
  <c r="U250" s="1"/>
  <c r="V250" s="1"/>
  <c r="W250" s="1"/>
  <c r="X250" s="1"/>
  <c r="Y179" i="17"/>
  <c r="Y154"/>
  <c r="G244" i="18"/>
  <c r="H244" s="1"/>
  <c r="I244" s="1"/>
  <c r="J244" s="1"/>
  <c r="K244" s="1"/>
  <c r="L244" s="1"/>
  <c r="M244" s="1"/>
  <c r="N244" s="1"/>
  <c r="O244" s="1"/>
  <c r="P244" s="1"/>
  <c r="Q244" s="1"/>
  <c r="R244" s="1"/>
  <c r="S244" s="1"/>
  <c r="T244" s="1"/>
  <c r="U244" s="1"/>
  <c r="V244" s="1"/>
  <c r="W244" s="1"/>
  <c r="X244" s="1"/>
  <c r="G241"/>
  <c r="H241" s="1"/>
  <c r="I241" s="1"/>
  <c r="J241" s="1"/>
  <c r="K241" s="1"/>
  <c r="L241" s="1"/>
  <c r="M241" s="1"/>
  <c r="N241" s="1"/>
  <c r="O241" s="1"/>
  <c r="P241" s="1"/>
  <c r="Q241" s="1"/>
  <c r="R241" s="1"/>
  <c r="S241" s="1"/>
  <c r="T241" s="1"/>
  <c r="U241" s="1"/>
  <c r="V241" s="1"/>
  <c r="W241" s="1"/>
  <c r="X241" s="1"/>
  <c r="F237" i="31"/>
  <c r="G237" s="1"/>
  <c r="H237" s="1"/>
  <c r="I237" s="1"/>
  <c r="J237" s="1"/>
  <c r="K237" s="1"/>
  <c r="L237" s="1"/>
  <c r="Y160" i="29"/>
  <c r="Y157" i="17"/>
  <c r="R56" i="31"/>
  <c r="R60"/>
  <c r="Y148" i="17"/>
  <c r="E181"/>
  <c r="E182" s="1"/>
  <c r="W60" i="31"/>
  <c r="W56"/>
  <c r="U60"/>
  <c r="U56"/>
  <c r="G74" i="18"/>
  <c r="H69"/>
  <c r="N56" i="31"/>
  <c r="N60"/>
  <c r="S60"/>
  <c r="S56"/>
  <c r="Y171" i="17"/>
  <c r="V218" i="18"/>
  <c r="I233" i="31"/>
  <c r="J233" s="1"/>
  <c r="K233" s="1"/>
  <c r="L233" s="1"/>
  <c r="Y161" i="29"/>
  <c r="Y153"/>
  <c r="Y177"/>
  <c r="Y159" i="17"/>
  <c r="Y160"/>
  <c r="Y175"/>
  <c r="Y167" i="29"/>
  <c r="E218" i="18"/>
  <c r="E219" s="1"/>
  <c r="Y174" i="17"/>
  <c r="G252" i="18"/>
  <c r="H252" s="1"/>
  <c r="I252" s="1"/>
  <c r="J252" s="1"/>
  <c r="K252" s="1"/>
  <c r="L252" s="1"/>
  <c r="M252" s="1"/>
  <c r="N252" s="1"/>
  <c r="O252" s="1"/>
  <c r="P252" s="1"/>
  <c r="Q252" s="1"/>
  <c r="R252" s="1"/>
  <c r="S252" s="1"/>
  <c r="T252" s="1"/>
  <c r="U252" s="1"/>
  <c r="V252" s="1"/>
  <c r="W252" s="1"/>
  <c r="X252" s="1"/>
  <c r="Y178" i="17"/>
  <c r="Y156"/>
  <c r="Y172"/>
  <c r="S240" i="34" l="1"/>
  <c r="AA138" i="31"/>
  <c r="S242" i="34"/>
  <c r="AA140" i="31"/>
  <c r="S234" i="34"/>
  <c r="AA132" i="31"/>
  <c r="S238" i="34"/>
  <c r="AA136" i="31"/>
  <c r="S239" i="34"/>
  <c r="AA137" i="31"/>
  <c r="S232" i="34"/>
  <c r="AA130" i="31"/>
  <c r="S237" i="34"/>
  <c r="AA135" i="31"/>
  <c r="S230" i="34"/>
  <c r="AA128" i="31"/>
  <c r="S229" i="34"/>
  <c r="AA127" i="31"/>
  <c r="S235" i="34"/>
  <c r="AA133" i="31"/>
  <c r="S241" i="34"/>
  <c r="AA139" i="31"/>
  <c r="S233" i="34"/>
  <c r="AA131" i="31"/>
  <c r="S228" i="34"/>
  <c r="AA126" i="31"/>
  <c r="S231" i="34"/>
  <c r="AA129" i="31"/>
  <c r="S236" i="34"/>
  <c r="AA134" i="31"/>
  <c r="S213" i="34"/>
  <c r="AA111" i="31"/>
  <c r="S214" i="34"/>
  <c r="AA112" i="31"/>
  <c r="S223" i="34"/>
  <c r="AA121" i="31"/>
  <c r="S226" i="34"/>
  <c r="AA124" i="31"/>
  <c r="S219" i="34"/>
  <c r="AA117" i="31"/>
  <c r="S222" i="34"/>
  <c r="AA120" i="31"/>
  <c r="S220" i="34"/>
  <c r="AA118" i="31"/>
  <c r="S221" i="34"/>
  <c r="AA119" i="31"/>
  <c r="S217" i="34"/>
  <c r="AA115" i="31"/>
  <c r="S225" i="34"/>
  <c r="AA123" i="31"/>
  <c r="S215" i="34"/>
  <c r="AA113" i="31"/>
  <c r="F219" i="18"/>
  <c r="S218" i="34"/>
  <c r="AA116" i="31"/>
  <c r="S227" i="34"/>
  <c r="AA125" i="31"/>
  <c r="S224" i="34"/>
  <c r="AA122" i="31"/>
  <c r="S216" i="34"/>
  <c r="AA114" i="31"/>
  <c r="S201" i="34"/>
  <c r="AA99" i="31"/>
  <c r="S206" i="34"/>
  <c r="AA104" i="31"/>
  <c r="S208" i="34"/>
  <c r="AA106" i="31"/>
  <c r="S204" i="34"/>
  <c r="AA102" i="31"/>
  <c r="S207" i="34"/>
  <c r="AA105" i="31"/>
  <c r="S203" i="34"/>
  <c r="AA101" i="31"/>
  <c r="S200" i="34"/>
  <c r="AA98" i="31"/>
  <c r="S199" i="34"/>
  <c r="AA97" i="31"/>
  <c r="S209" i="34"/>
  <c r="AA107" i="31"/>
  <c r="S198" i="34"/>
  <c r="AA96" i="31"/>
  <c r="S202" i="34"/>
  <c r="AA100" i="31"/>
  <c r="S210" i="34"/>
  <c r="AA108" i="31"/>
  <c r="S212" i="34"/>
  <c r="AA110" i="31"/>
  <c r="S205" i="34"/>
  <c r="AA103" i="31"/>
  <c r="S211" i="34"/>
  <c r="AA109" i="31"/>
  <c r="F182" i="29"/>
  <c r="G182" s="1"/>
  <c r="H182" s="1"/>
  <c r="I182" s="1"/>
  <c r="J182" s="1"/>
  <c r="K182" s="1"/>
  <c r="L182" s="1"/>
  <c r="M182" s="1"/>
  <c r="N182" s="1"/>
  <c r="O182" s="1"/>
  <c r="P182" s="1"/>
  <c r="Q182" s="1"/>
  <c r="R182" s="1"/>
  <c r="S182" s="1"/>
  <c r="T182" s="1"/>
  <c r="U182" s="1"/>
  <c r="V182" s="1"/>
  <c r="W182" s="1"/>
  <c r="X182" s="1"/>
  <c r="G219" i="18"/>
  <c r="H219" s="1"/>
  <c r="I219" s="1"/>
  <c r="J219" s="1"/>
  <c r="K219" s="1"/>
  <c r="L219" s="1"/>
  <c r="M219" s="1"/>
  <c r="N219" s="1"/>
  <c r="O219" s="1"/>
  <c r="P219" s="1"/>
  <c r="Q219" s="1"/>
  <c r="R219" s="1"/>
  <c r="S219" s="1"/>
  <c r="T219" s="1"/>
  <c r="U219" s="1"/>
  <c r="V219" s="1"/>
  <c r="W219" s="1"/>
  <c r="X219" s="1"/>
  <c r="F182" i="17"/>
  <c r="G182" s="1"/>
  <c r="H182" s="1"/>
  <c r="I182" s="1"/>
  <c r="J182" s="1"/>
  <c r="K182" s="1"/>
  <c r="L182" s="1"/>
  <c r="M182" s="1"/>
  <c r="N182" s="1"/>
  <c r="O182" s="1"/>
  <c r="P182" s="1"/>
  <c r="Q182" s="1"/>
  <c r="R182" s="1"/>
  <c r="S182" s="1"/>
  <c r="T182" s="1"/>
  <c r="U182" s="1"/>
  <c r="V182" s="1"/>
  <c r="W182" s="1"/>
  <c r="X182" s="1"/>
  <c r="Y182" i="29"/>
  <c r="M84" i="31"/>
  <c r="M85"/>
  <c r="M94"/>
  <c r="M88"/>
  <c r="M91"/>
  <c r="M93"/>
  <c r="M92"/>
  <c r="M83"/>
  <c r="M65"/>
  <c r="M87"/>
  <c r="M95"/>
  <c r="M89"/>
  <c r="M86"/>
  <c r="M81"/>
  <c r="M82"/>
  <c r="M90"/>
  <c r="Y161"/>
  <c r="Y166"/>
  <c r="Y162"/>
  <c r="Y170"/>
  <c r="Y174"/>
  <c r="Y176"/>
  <c r="Y173"/>
  <c r="Y175"/>
  <c r="Y155"/>
  <c r="Y169"/>
  <c r="Y153"/>
  <c r="Y160"/>
  <c r="Y178"/>
  <c r="Y164"/>
  <c r="Y168"/>
  <c r="Y171"/>
  <c r="Y208" s="1"/>
  <c r="Y247" s="1"/>
  <c r="Y158"/>
  <c r="Y151"/>
  <c r="AE183" i="34"/>
  <c r="Y142" i="31"/>
  <c r="Y150"/>
  <c r="Y163"/>
  <c r="Y156"/>
  <c r="Y149"/>
  <c r="Y159"/>
  <c r="Y167"/>
  <c r="Y204" s="1"/>
  <c r="Y243" s="1"/>
  <c r="Y179"/>
  <c r="Y177"/>
  <c r="Y157"/>
  <c r="Y148"/>
  <c r="Y185" s="1"/>
  <c r="Y154"/>
  <c r="Y191" s="1"/>
  <c r="Y230" s="1"/>
  <c r="Y165"/>
  <c r="Y172"/>
  <c r="Y152"/>
  <c r="Y189" s="1"/>
  <c r="Y228" s="1"/>
  <c r="H74"/>
  <c r="I69"/>
  <c r="X81"/>
  <c r="X91"/>
  <c r="AD193" i="34" s="1"/>
  <c r="X92" i="31"/>
  <c r="AD194" i="34" s="1"/>
  <c r="X87" i="31"/>
  <c r="AD189" i="34" s="1"/>
  <c r="X88" i="31"/>
  <c r="AD190" i="34" s="1"/>
  <c r="X85" i="31"/>
  <c r="AD187" i="34" s="1"/>
  <c r="X93" i="31"/>
  <c r="AD195" i="34" s="1"/>
  <c r="X83" i="31"/>
  <c r="AD185" i="34" s="1"/>
  <c r="X94" i="31"/>
  <c r="AD196" i="34" s="1"/>
  <c r="X90" i="31"/>
  <c r="AD192" i="34" s="1"/>
  <c r="X86" i="31"/>
  <c r="AD188" i="34" s="1"/>
  <c r="X65" i="31"/>
  <c r="X95"/>
  <c r="AD197" i="34" s="1"/>
  <c r="X84" i="31"/>
  <c r="AD186" i="34" s="1"/>
  <c r="X89" i="31"/>
  <c r="AD191" i="34" s="1"/>
  <c r="X82" i="31"/>
  <c r="AD184" i="34" s="1"/>
  <c r="F257" i="31"/>
  <c r="G224"/>
  <c r="Z56"/>
  <c r="N65"/>
  <c r="N88"/>
  <c r="T190" i="34" s="1"/>
  <c r="N90" i="31"/>
  <c r="T192" i="34" s="1"/>
  <c r="N83" i="31"/>
  <c r="T185" i="34" s="1"/>
  <c r="N81" i="31"/>
  <c r="N93"/>
  <c r="T195" i="34" s="1"/>
  <c r="N84" i="31"/>
  <c r="T186" i="34" s="1"/>
  <c r="N92" i="31"/>
  <c r="T194" i="34" s="1"/>
  <c r="N87" i="31"/>
  <c r="T189" i="34" s="1"/>
  <c r="N95" i="31"/>
  <c r="T197" i="34" s="1"/>
  <c r="N91" i="31"/>
  <c r="T193" i="34" s="1"/>
  <c r="N86" i="31"/>
  <c r="T188" i="34" s="1"/>
  <c r="N85" i="31"/>
  <c r="T187" i="34" s="1"/>
  <c r="N89" i="31"/>
  <c r="T191" i="34" s="1"/>
  <c r="N82" i="31"/>
  <c r="T184" i="34" s="1"/>
  <c r="N94" i="31"/>
  <c r="T196" i="34" s="1"/>
  <c r="V82" i="31"/>
  <c r="AB184" i="34" s="1"/>
  <c r="V92" i="31"/>
  <c r="AB194" i="34" s="1"/>
  <c r="V87" i="31"/>
  <c r="AB189" i="34" s="1"/>
  <c r="V91" i="31"/>
  <c r="AB193" i="34" s="1"/>
  <c r="V84" i="31"/>
  <c r="AB186" i="34" s="1"/>
  <c r="V86" i="31"/>
  <c r="AB188" i="34" s="1"/>
  <c r="V89" i="31"/>
  <c r="AB191" i="34" s="1"/>
  <c r="V95" i="31"/>
  <c r="AB197" i="34" s="1"/>
  <c r="V88" i="31"/>
  <c r="AB190" i="34" s="1"/>
  <c r="V93" i="31"/>
  <c r="AB195" i="34" s="1"/>
  <c r="V83" i="31"/>
  <c r="AB185" i="34" s="1"/>
  <c r="V90" i="31"/>
  <c r="AB192" i="34" s="1"/>
  <c r="V94" i="31"/>
  <c r="AB196" i="34" s="1"/>
  <c r="V85" i="31"/>
  <c r="AB187" i="34" s="1"/>
  <c r="V81" i="31"/>
  <c r="V65"/>
  <c r="W81"/>
  <c r="W85"/>
  <c r="AC187" i="34" s="1"/>
  <c r="W82" i="31"/>
  <c r="AC184" i="34" s="1"/>
  <c r="W93" i="31"/>
  <c r="AC195" i="34" s="1"/>
  <c r="W88" i="31"/>
  <c r="AC190" i="34" s="1"/>
  <c r="W65" i="31"/>
  <c r="W90"/>
  <c r="AC192" i="34" s="1"/>
  <c r="W94" i="31"/>
  <c r="AC196" i="34" s="1"/>
  <c r="W84" i="31"/>
  <c r="AC186" i="34" s="1"/>
  <c r="W86" i="31"/>
  <c r="AC188" i="34" s="1"/>
  <c r="W91" i="31"/>
  <c r="AC193" i="34" s="1"/>
  <c r="W83" i="31"/>
  <c r="AC185" i="34" s="1"/>
  <c r="W89" i="31"/>
  <c r="AC191" i="34" s="1"/>
  <c r="W95" i="31"/>
  <c r="AC197" i="34" s="1"/>
  <c r="W92" i="31"/>
  <c r="AC194" i="34" s="1"/>
  <c r="W87" i="31"/>
  <c r="AC189" i="34" s="1"/>
  <c r="O91" i="31"/>
  <c r="U193" i="34" s="1"/>
  <c r="O81" i="31"/>
  <c r="O83"/>
  <c r="U185" i="34" s="1"/>
  <c r="O90" i="31"/>
  <c r="U192" i="34" s="1"/>
  <c r="O84" i="31"/>
  <c r="U186" i="34" s="1"/>
  <c r="O87" i="31"/>
  <c r="U189" i="34" s="1"/>
  <c r="O92" i="31"/>
  <c r="U194" i="34" s="1"/>
  <c r="O95" i="31"/>
  <c r="U197" i="34" s="1"/>
  <c r="O93" i="31"/>
  <c r="U195" i="34" s="1"/>
  <c r="O94" i="31"/>
  <c r="U196" i="34" s="1"/>
  <c r="O85" i="31"/>
  <c r="U187" i="34" s="1"/>
  <c r="O89" i="31"/>
  <c r="U191" i="34" s="1"/>
  <c r="O86" i="31"/>
  <c r="U188" i="34" s="1"/>
  <c r="O65" i="31"/>
  <c r="O88"/>
  <c r="U190" i="34" s="1"/>
  <c r="O82" i="31"/>
  <c r="U184" i="34" s="1"/>
  <c r="T92" i="31"/>
  <c r="Z194" i="34" s="1"/>
  <c r="T82" i="31"/>
  <c r="Z184" i="34" s="1"/>
  <c r="T85" i="31"/>
  <c r="Z187" i="34" s="1"/>
  <c r="T83" i="31"/>
  <c r="Z185" i="34" s="1"/>
  <c r="T94" i="31"/>
  <c r="Z196" i="34" s="1"/>
  <c r="T91" i="31"/>
  <c r="Z193" i="34" s="1"/>
  <c r="T93" i="31"/>
  <c r="Z195" i="34" s="1"/>
  <c r="T81" i="31"/>
  <c r="T95"/>
  <c r="Z197" i="34" s="1"/>
  <c r="T89" i="31"/>
  <c r="Z191" i="34" s="1"/>
  <c r="T84" i="31"/>
  <c r="Z186" i="34" s="1"/>
  <c r="T65" i="31"/>
  <c r="T90"/>
  <c r="Z192" i="34" s="1"/>
  <c r="T88" i="31"/>
  <c r="Z190" i="34" s="1"/>
  <c r="T86" i="31"/>
  <c r="Z188" i="34" s="1"/>
  <c r="T87" i="31"/>
  <c r="Z189" i="34" s="1"/>
  <c r="P86" i="31"/>
  <c r="V188" i="34" s="1"/>
  <c r="P81" i="31"/>
  <c r="P94"/>
  <c r="V196" i="34" s="1"/>
  <c r="P65" i="31"/>
  <c r="P92"/>
  <c r="V194" i="34" s="1"/>
  <c r="P83" i="31"/>
  <c r="V185" i="34" s="1"/>
  <c r="P87" i="31"/>
  <c r="V189" i="34" s="1"/>
  <c r="P89" i="31"/>
  <c r="V191" i="34" s="1"/>
  <c r="P91" i="31"/>
  <c r="V193" i="34" s="1"/>
  <c r="P85" i="31"/>
  <c r="V187" i="34" s="1"/>
  <c r="P84" i="31"/>
  <c r="V186" i="34" s="1"/>
  <c r="P93" i="31"/>
  <c r="V195" i="34" s="1"/>
  <c r="P82" i="31"/>
  <c r="V184" i="34" s="1"/>
  <c r="P88" i="31"/>
  <c r="V190" i="34" s="1"/>
  <c r="P90" i="31"/>
  <c r="V192" i="34" s="1"/>
  <c r="P95" i="31"/>
  <c r="V197" i="34" s="1"/>
  <c r="Y181" i="17"/>
  <c r="F219" i="31"/>
  <c r="G219" s="1"/>
  <c r="H219" s="1"/>
  <c r="I219" s="1"/>
  <c r="J219" s="1"/>
  <c r="K219" s="1"/>
  <c r="L219" s="1"/>
  <c r="F257" i="18"/>
  <c r="G224"/>
  <c r="S65" i="31"/>
  <c r="S86"/>
  <c r="Y188" i="34" s="1"/>
  <c r="S87" i="31"/>
  <c r="Y189" i="34" s="1"/>
  <c r="S83" i="31"/>
  <c r="Y185" i="34" s="1"/>
  <c r="S88" i="31"/>
  <c r="Y190" i="34" s="1"/>
  <c r="S90" i="31"/>
  <c r="Y192" i="34" s="1"/>
  <c r="S93" i="31"/>
  <c r="Y195" i="34" s="1"/>
  <c r="S82" i="31"/>
  <c r="Y184" i="34" s="1"/>
  <c r="S84" i="31"/>
  <c r="Y186" i="34" s="1"/>
  <c r="S85" i="31"/>
  <c r="Y187" i="34" s="1"/>
  <c r="S92" i="31"/>
  <c r="Y194" i="34" s="1"/>
  <c r="S95" i="31"/>
  <c r="Y197" i="34" s="1"/>
  <c r="S94" i="31"/>
  <c r="Y196" i="34" s="1"/>
  <c r="S89" i="31"/>
  <c r="Y191" i="34" s="1"/>
  <c r="S81" i="31"/>
  <c r="S91"/>
  <c r="Y193" i="34" s="1"/>
  <c r="H74" i="18"/>
  <c r="I69"/>
  <c r="R94" i="31"/>
  <c r="X196" i="34" s="1"/>
  <c r="R82" i="31"/>
  <c r="X184" i="34" s="1"/>
  <c r="R85" i="31"/>
  <c r="X187" i="34" s="1"/>
  <c r="R65" i="31"/>
  <c r="R84"/>
  <c r="X186" i="34" s="1"/>
  <c r="R91" i="31"/>
  <c r="X193" i="34" s="1"/>
  <c r="R95" i="31"/>
  <c r="X197" i="34" s="1"/>
  <c r="R90" i="31"/>
  <c r="X192" i="34" s="1"/>
  <c r="R89" i="31"/>
  <c r="X191" i="34" s="1"/>
  <c r="R81" i="31"/>
  <c r="R92"/>
  <c r="X194" i="34" s="1"/>
  <c r="R86" i="31"/>
  <c r="X188" i="34" s="1"/>
  <c r="R87" i="31"/>
  <c r="X189" i="34" s="1"/>
  <c r="R83" i="31"/>
  <c r="X185" i="34" s="1"/>
  <c r="R93" i="31"/>
  <c r="X195" i="34" s="1"/>
  <c r="R88" i="31"/>
  <c r="X190" i="34" s="1"/>
  <c r="U82" i="31"/>
  <c r="AA184" i="34" s="1"/>
  <c r="U91" i="31"/>
  <c r="AA193" i="34" s="1"/>
  <c r="U84" i="31"/>
  <c r="AA186" i="34" s="1"/>
  <c r="U87" i="31"/>
  <c r="AA189" i="34" s="1"/>
  <c r="U83" i="31"/>
  <c r="AA185" i="34" s="1"/>
  <c r="U92" i="31"/>
  <c r="AA194" i="34" s="1"/>
  <c r="U88" i="31"/>
  <c r="AA190" i="34" s="1"/>
  <c r="U65" i="31"/>
  <c r="U81"/>
  <c r="U94"/>
  <c r="AA196" i="34" s="1"/>
  <c r="U93" i="31"/>
  <c r="AA195" i="34" s="1"/>
  <c r="U86" i="31"/>
  <c r="AA188" i="34" s="1"/>
  <c r="U89" i="31"/>
  <c r="AA191" i="34" s="1"/>
  <c r="U90" i="31"/>
  <c r="AA192" i="34" s="1"/>
  <c r="U85" i="31"/>
  <c r="AA187" i="34" s="1"/>
  <c r="U95" i="31"/>
  <c r="AA197" i="34" s="1"/>
  <c r="Q83" i="31"/>
  <c r="W185" i="34" s="1"/>
  <c r="Q88" i="31"/>
  <c r="W190" i="34" s="1"/>
  <c r="Q90" i="31"/>
  <c r="W192" i="34" s="1"/>
  <c r="Q95" i="31"/>
  <c r="W197" i="34" s="1"/>
  <c r="Q87" i="31"/>
  <c r="W189" i="34" s="1"/>
  <c r="Q85" i="31"/>
  <c r="W187" i="34" s="1"/>
  <c r="Q94" i="31"/>
  <c r="W196" i="34" s="1"/>
  <c r="Q89" i="31"/>
  <c r="W191" i="34" s="1"/>
  <c r="Q65" i="31"/>
  <c r="Q93"/>
  <c r="W195" i="34" s="1"/>
  <c r="Q81" i="31"/>
  <c r="Q86"/>
  <c r="W188" i="34" s="1"/>
  <c r="Q92" i="31"/>
  <c r="W194" i="34" s="1"/>
  <c r="Q82" i="31"/>
  <c r="W184" i="34" s="1"/>
  <c r="Q84" i="31"/>
  <c r="W186" i="34" s="1"/>
  <c r="Q91" i="31"/>
  <c r="W193" i="34" s="1"/>
  <c r="Y196" i="31" l="1"/>
  <c r="Y235" s="1"/>
  <c r="Y205"/>
  <c r="Y244" s="1"/>
  <c r="Y202"/>
  <c r="Y241" s="1"/>
  <c r="Y214"/>
  <c r="Y253" s="1"/>
  <c r="Y186"/>
  <c r="Y225" s="1"/>
  <c r="Y216"/>
  <c r="Y255" s="1"/>
  <c r="Y193"/>
  <c r="Y232" s="1"/>
  <c r="Y212"/>
  <c r="Y251" s="1"/>
  <c r="Y190"/>
  <c r="Y229" s="1"/>
  <c r="Y210"/>
  <c r="Y249" s="1"/>
  <c r="Y199"/>
  <c r="Y238" s="1"/>
  <c r="Y209"/>
  <c r="Y248" s="1"/>
  <c r="Y187"/>
  <c r="Y226" s="1"/>
  <c r="S193" i="34"/>
  <c r="AA91" i="31"/>
  <c r="S167"/>
  <c r="S179"/>
  <c r="S152"/>
  <c r="S150"/>
  <c r="S174"/>
  <c r="S151"/>
  <c r="S156"/>
  <c r="S165"/>
  <c r="S163"/>
  <c r="S155"/>
  <c r="S142"/>
  <c r="S157"/>
  <c r="S160"/>
  <c r="S149"/>
  <c r="S148"/>
  <c r="S185" s="1"/>
  <c r="S159"/>
  <c r="S162"/>
  <c r="S154"/>
  <c r="S173"/>
  <c r="S169"/>
  <c r="Y183" i="34"/>
  <c r="S161" i="31"/>
  <c r="S170"/>
  <c r="S175"/>
  <c r="S158"/>
  <c r="S177"/>
  <c r="S172"/>
  <c r="S153"/>
  <c r="S166"/>
  <c r="S171"/>
  <c r="S168"/>
  <c r="S176"/>
  <c r="S213" s="1"/>
  <c r="S164"/>
  <c r="S201" s="1"/>
  <c r="S178"/>
  <c r="S215" s="1"/>
  <c r="W154"/>
  <c r="W152"/>
  <c r="W149"/>
  <c r="W172"/>
  <c r="W168"/>
  <c r="W155"/>
  <c r="W176"/>
  <c r="W156"/>
  <c r="W166"/>
  <c r="W173"/>
  <c r="W150"/>
  <c r="W187" s="1"/>
  <c r="W178"/>
  <c r="W171"/>
  <c r="W158"/>
  <c r="W142"/>
  <c r="W157"/>
  <c r="W194" s="1"/>
  <c r="W153"/>
  <c r="W160"/>
  <c r="W162"/>
  <c r="W148"/>
  <c r="W185" s="1"/>
  <c r="W164"/>
  <c r="W175"/>
  <c r="W161"/>
  <c r="W167"/>
  <c r="W179"/>
  <c r="W177"/>
  <c r="W159"/>
  <c r="W174"/>
  <c r="W165"/>
  <c r="W202" s="1"/>
  <c r="AC183" i="34"/>
  <c r="W169" i="31"/>
  <c r="W170"/>
  <c r="W151"/>
  <c r="W163"/>
  <c r="N161"/>
  <c r="N148"/>
  <c r="N185" s="1"/>
  <c r="N169"/>
  <c r="N150"/>
  <c r="N156"/>
  <c r="N151"/>
  <c r="N171"/>
  <c r="N159"/>
  <c r="N153"/>
  <c r="T183" i="34"/>
  <c r="N152" i="31"/>
  <c r="N158"/>
  <c r="N176"/>
  <c r="N177"/>
  <c r="N170"/>
  <c r="N207" s="1"/>
  <c r="N157"/>
  <c r="N179"/>
  <c r="N172"/>
  <c r="N154"/>
  <c r="N166"/>
  <c r="N178"/>
  <c r="N168"/>
  <c r="N164"/>
  <c r="N165"/>
  <c r="N149"/>
  <c r="N160"/>
  <c r="N173"/>
  <c r="N155"/>
  <c r="N142"/>
  <c r="N175"/>
  <c r="N163"/>
  <c r="N174"/>
  <c r="N162"/>
  <c r="N199" s="1"/>
  <c r="N167"/>
  <c r="J69"/>
  <c r="I74"/>
  <c r="M178"/>
  <c r="M163"/>
  <c r="M165"/>
  <c r="M174"/>
  <c r="M175"/>
  <c r="M172"/>
  <c r="M154"/>
  <c r="M169"/>
  <c r="M166"/>
  <c r="M152"/>
  <c r="M164"/>
  <c r="M168"/>
  <c r="M155"/>
  <c r="M158"/>
  <c r="M167"/>
  <c r="M179"/>
  <c r="M148"/>
  <c r="M185" s="1"/>
  <c r="M177"/>
  <c r="M162"/>
  <c r="M151"/>
  <c r="M161"/>
  <c r="M153"/>
  <c r="M190" s="1"/>
  <c r="M229" s="1"/>
  <c r="M150"/>
  <c r="M160"/>
  <c r="M176"/>
  <c r="M213" s="1"/>
  <c r="M252" s="1"/>
  <c r="M173"/>
  <c r="M210" s="1"/>
  <c r="M249" s="1"/>
  <c r="M149"/>
  <c r="S183" i="34"/>
  <c r="M170" i="31"/>
  <c r="M171"/>
  <c r="M157"/>
  <c r="M142"/>
  <c r="M156"/>
  <c r="M193" s="1"/>
  <c r="M232" s="1"/>
  <c r="M159"/>
  <c r="M196" s="1"/>
  <c r="M235" s="1"/>
  <c r="AA81"/>
  <c r="S189" i="34"/>
  <c r="AA87" i="31"/>
  <c r="S195" i="34"/>
  <c r="AA93" i="31"/>
  <c r="S187" i="34"/>
  <c r="AA85" i="31"/>
  <c r="Y197"/>
  <c r="Y236" s="1"/>
  <c r="Y207"/>
  <c r="Y246" s="1"/>
  <c r="J69" i="18"/>
  <c r="I74"/>
  <c r="S186" i="34"/>
  <c r="AA84" i="31"/>
  <c r="U150"/>
  <c r="U178"/>
  <c r="U170"/>
  <c r="U160"/>
  <c r="U174"/>
  <c r="U149"/>
  <c r="U156"/>
  <c r="U166"/>
  <c r="U152"/>
  <c r="U153"/>
  <c r="U161"/>
  <c r="U164"/>
  <c r="U171"/>
  <c r="U175"/>
  <c r="U177"/>
  <c r="U169"/>
  <c r="U173"/>
  <c r="U154"/>
  <c r="U191" s="1"/>
  <c r="U172"/>
  <c r="U176"/>
  <c r="U159"/>
  <c r="U157"/>
  <c r="U168"/>
  <c r="U148"/>
  <c r="U185" s="1"/>
  <c r="U162"/>
  <c r="U163"/>
  <c r="U165"/>
  <c r="U158"/>
  <c r="U167"/>
  <c r="U179"/>
  <c r="U216" s="1"/>
  <c r="U142"/>
  <c r="AA183" i="34"/>
  <c r="U151" i="31"/>
  <c r="U188" s="1"/>
  <c r="U155"/>
  <c r="U192" s="1"/>
  <c r="R158"/>
  <c r="R167"/>
  <c r="R151"/>
  <c r="R177"/>
  <c r="R173"/>
  <c r="R150"/>
  <c r="R179"/>
  <c r="R165"/>
  <c r="R174"/>
  <c r="R142"/>
  <c r="R152"/>
  <c r="R189" s="1"/>
  <c r="R156"/>
  <c r="R169"/>
  <c r="X183" i="34"/>
  <c r="R160" i="31"/>
  <c r="R168"/>
  <c r="R157"/>
  <c r="R163"/>
  <c r="R171"/>
  <c r="R162"/>
  <c r="R175"/>
  <c r="R212" s="1"/>
  <c r="R153"/>
  <c r="R170"/>
  <c r="R178"/>
  <c r="R215" s="1"/>
  <c r="R176"/>
  <c r="R164"/>
  <c r="R161"/>
  <c r="R198" s="1"/>
  <c r="R166"/>
  <c r="R203" s="1"/>
  <c r="R154"/>
  <c r="R155"/>
  <c r="R172"/>
  <c r="R209" s="1"/>
  <c r="R149"/>
  <c r="R148"/>
  <c r="R185" s="1"/>
  <c r="R159"/>
  <c r="P142"/>
  <c r="P150"/>
  <c r="P149"/>
  <c r="P178"/>
  <c r="P163"/>
  <c r="P173"/>
  <c r="P175"/>
  <c r="P164"/>
  <c r="P166"/>
  <c r="P155"/>
  <c r="P162"/>
  <c r="P158"/>
  <c r="P151"/>
  <c r="P177"/>
  <c r="P160"/>
  <c r="P161"/>
  <c r="P159"/>
  <c r="P171"/>
  <c r="P153"/>
  <c r="P170"/>
  <c r="P157"/>
  <c r="P154"/>
  <c r="P165"/>
  <c r="P167"/>
  <c r="P172"/>
  <c r="P168"/>
  <c r="P148"/>
  <c r="P185" s="1"/>
  <c r="P176"/>
  <c r="P156"/>
  <c r="P179"/>
  <c r="P152"/>
  <c r="V183" i="34"/>
  <c r="P169" i="31"/>
  <c r="P174"/>
  <c r="P211" s="1"/>
  <c r="O158"/>
  <c r="O174"/>
  <c r="O176"/>
  <c r="O173"/>
  <c r="O167"/>
  <c r="O156"/>
  <c r="O155"/>
  <c r="O179"/>
  <c r="O165"/>
  <c r="O168"/>
  <c r="O150"/>
  <c r="O163"/>
  <c r="O152"/>
  <c r="O162"/>
  <c r="O151"/>
  <c r="O188" s="1"/>
  <c r="O149"/>
  <c r="U183" i="34"/>
  <c r="O142" i="31"/>
  <c r="O177"/>
  <c r="O153"/>
  <c r="O159"/>
  <c r="O196" s="1"/>
  <c r="O154"/>
  <c r="O160"/>
  <c r="O169"/>
  <c r="O161"/>
  <c r="O178"/>
  <c r="O171"/>
  <c r="O172"/>
  <c r="O164"/>
  <c r="O175"/>
  <c r="O212" s="1"/>
  <c r="O166"/>
  <c r="O148"/>
  <c r="O185" s="1"/>
  <c r="O170"/>
  <c r="O157"/>
  <c r="O194" s="1"/>
  <c r="S184" i="34"/>
  <c r="AA82" i="31"/>
  <c r="S197" i="34"/>
  <c r="AA95" i="31"/>
  <c r="S194" i="34"/>
  <c r="AA92" i="31"/>
  <c r="S196" i="34"/>
  <c r="AA94" i="31"/>
  <c r="Y194"/>
  <c r="Y233" s="1"/>
  <c r="Y195"/>
  <c r="Y234" s="1"/>
  <c r="Y215"/>
  <c r="Y254" s="1"/>
  <c r="Y192"/>
  <c r="Y231" s="1"/>
  <c r="Y211"/>
  <c r="Y250" s="1"/>
  <c r="Y198"/>
  <c r="Y237" s="1"/>
  <c r="T149"/>
  <c r="T153"/>
  <c r="T158"/>
  <c r="T176"/>
  <c r="T162"/>
  <c r="T172"/>
  <c r="Z183" i="34"/>
  <c r="T171" i="31"/>
  <c r="T160"/>
  <c r="T152"/>
  <c r="T168"/>
  <c r="T177"/>
  <c r="T214" s="1"/>
  <c r="T150"/>
  <c r="T187" s="1"/>
  <c r="T166"/>
  <c r="T170"/>
  <c r="T155"/>
  <c r="T163"/>
  <c r="T200" s="1"/>
  <c r="T159"/>
  <c r="T178"/>
  <c r="T142"/>
  <c r="T179"/>
  <c r="T173"/>
  <c r="T210" s="1"/>
  <c r="T169"/>
  <c r="T206" s="1"/>
  <c r="T174"/>
  <c r="T167"/>
  <c r="T151"/>
  <c r="T164"/>
  <c r="T175"/>
  <c r="T148"/>
  <c r="T185" s="1"/>
  <c r="T157"/>
  <c r="T165"/>
  <c r="T154"/>
  <c r="T161"/>
  <c r="T198" s="1"/>
  <c r="T156"/>
  <c r="S188" i="34"/>
  <c r="AA86" i="31"/>
  <c r="H224" i="18"/>
  <c r="G257"/>
  <c r="X150" i="31"/>
  <c r="X158"/>
  <c r="X142"/>
  <c r="X157"/>
  <c r="X174"/>
  <c r="X172"/>
  <c r="X162"/>
  <c r="X160"/>
  <c r="X173"/>
  <c r="AD183" i="34"/>
  <c r="X153" i="31"/>
  <c r="X159"/>
  <c r="X177"/>
  <c r="X155"/>
  <c r="X148"/>
  <c r="X185" s="1"/>
  <c r="X161"/>
  <c r="X198" s="1"/>
  <c r="X165"/>
  <c r="X178"/>
  <c r="X168"/>
  <c r="X152"/>
  <c r="X149"/>
  <c r="X156"/>
  <c r="X193" s="1"/>
  <c r="X169"/>
  <c r="X206" s="1"/>
  <c r="X154"/>
  <c r="X171"/>
  <c r="X167"/>
  <c r="X176"/>
  <c r="X166"/>
  <c r="X151"/>
  <c r="X188" s="1"/>
  <c r="X179"/>
  <c r="X216" s="1"/>
  <c r="X170"/>
  <c r="X175"/>
  <c r="X164"/>
  <c r="X163"/>
  <c r="Q176"/>
  <c r="Q151"/>
  <c r="Q177"/>
  <c r="Q167"/>
  <c r="Q163"/>
  <c r="Q157"/>
  <c r="Q160"/>
  <c r="Q159"/>
  <c r="Q149"/>
  <c r="Q156"/>
  <c r="Q150"/>
  <c r="Q172"/>
  <c r="W183" i="34"/>
  <c r="Q170" i="31"/>
  <c r="Q165"/>
  <c r="Q173"/>
  <c r="Q166"/>
  <c r="Q161"/>
  <c r="Q154"/>
  <c r="Q153"/>
  <c r="Q179"/>
  <c r="Q178"/>
  <c r="Q174"/>
  <c r="Q175"/>
  <c r="Q155"/>
  <c r="Q171"/>
  <c r="Q208" s="1"/>
  <c r="Q158"/>
  <c r="Q168"/>
  <c r="Q205" s="1"/>
  <c r="Q162"/>
  <c r="Q169"/>
  <c r="Q148"/>
  <c r="Q185" s="1"/>
  <c r="Q152"/>
  <c r="Q142"/>
  <c r="Q164"/>
  <c r="AB183" i="34"/>
  <c r="V170" i="31"/>
  <c r="V160"/>
  <c r="V161"/>
  <c r="V152"/>
  <c r="V163"/>
  <c r="V178"/>
  <c r="V158"/>
  <c r="V142"/>
  <c r="V168"/>
  <c r="V172"/>
  <c r="V167"/>
  <c r="V175"/>
  <c r="V157"/>
  <c r="V173"/>
  <c r="V150"/>
  <c r="V154"/>
  <c r="V156"/>
  <c r="V177"/>
  <c r="V149"/>
  <c r="V169"/>
  <c r="V162"/>
  <c r="V159"/>
  <c r="V155"/>
  <c r="V171"/>
  <c r="V179"/>
  <c r="V174"/>
  <c r="V211" s="1"/>
  <c r="V176"/>
  <c r="V148"/>
  <c r="V185" s="1"/>
  <c r="V166"/>
  <c r="V165"/>
  <c r="V164"/>
  <c r="V151"/>
  <c r="V153"/>
  <c r="G257"/>
  <c r="H224"/>
  <c r="Y224"/>
  <c r="S192" i="34"/>
  <c r="AA90" i="31"/>
  <c r="S191" i="34"/>
  <c r="AA89" i="31"/>
  <c r="S185" i="34"/>
  <c r="AA83" i="31"/>
  <c r="S190" i="34"/>
  <c r="AA88" i="31"/>
  <c r="Y200"/>
  <c r="Y239" s="1"/>
  <c r="Y188"/>
  <c r="Y227" s="1"/>
  <c r="Y201"/>
  <c r="Y240" s="1"/>
  <c r="Y206"/>
  <c r="Y245" s="1"/>
  <c r="Y213"/>
  <c r="Y252" s="1"/>
  <c r="Y203"/>
  <c r="Y242" s="1"/>
  <c r="M201" l="1"/>
  <c r="M240" s="1"/>
  <c r="N210"/>
  <c r="N249" s="1"/>
  <c r="N189"/>
  <c r="W216"/>
  <c r="R211"/>
  <c r="Q210"/>
  <c r="X194"/>
  <c r="T211"/>
  <c r="O206"/>
  <c r="O200"/>
  <c r="P208"/>
  <c r="P210"/>
  <c r="R199"/>
  <c r="R205"/>
  <c r="U200"/>
  <c r="U212"/>
  <c r="U190"/>
  <c r="M186"/>
  <c r="M225" s="1"/>
  <c r="M199"/>
  <c r="M238" s="1"/>
  <c r="N238" s="1"/>
  <c r="M204"/>
  <c r="M243" s="1"/>
  <c r="M191"/>
  <c r="M230" s="1"/>
  <c r="N200"/>
  <c r="N191"/>
  <c r="N206"/>
  <c r="W188"/>
  <c r="W208"/>
  <c r="W205"/>
  <c r="S205"/>
  <c r="S209"/>
  <c r="S193"/>
  <c r="R201"/>
  <c r="X207"/>
  <c r="X196"/>
  <c r="T191"/>
  <c r="O216"/>
  <c r="P216"/>
  <c r="P205"/>
  <c r="S212"/>
  <c r="V213"/>
  <c r="V192"/>
  <c r="V186"/>
  <c r="Q215"/>
  <c r="Q198"/>
  <c r="Q188"/>
  <c r="X212"/>
  <c r="X203"/>
  <c r="X189"/>
  <c r="O190"/>
  <c r="P191"/>
  <c r="P214"/>
  <c r="P187"/>
  <c r="R186"/>
  <c r="R193"/>
  <c r="R202"/>
  <c r="R214"/>
  <c r="U194"/>
  <c r="U186"/>
  <c r="U215"/>
  <c r="M194"/>
  <c r="M233" s="1"/>
  <c r="W201"/>
  <c r="W190"/>
  <c r="S207"/>
  <c r="S189"/>
  <c r="S203"/>
  <c r="S195"/>
  <c r="R213"/>
  <c r="V209"/>
  <c r="Q192"/>
  <c r="Q203"/>
  <c r="Q186"/>
  <c r="X205"/>
  <c r="T201"/>
  <c r="T205"/>
  <c r="O203"/>
  <c r="O208"/>
  <c r="O197"/>
  <c r="O192"/>
  <c r="P196"/>
  <c r="P203"/>
  <c r="P200"/>
  <c r="R207"/>
  <c r="R197"/>
  <c r="R188"/>
  <c r="U204"/>
  <c r="U199"/>
  <c r="U196"/>
  <c r="U210"/>
  <c r="U208"/>
  <c r="M208"/>
  <c r="M247" s="1"/>
  <c r="N204"/>
  <c r="N212"/>
  <c r="N197"/>
  <c r="N214"/>
  <c r="N188"/>
  <c r="W207"/>
  <c r="W211"/>
  <c r="W193"/>
  <c r="S198"/>
  <c r="S188"/>
  <c r="V202"/>
  <c r="V196"/>
  <c r="V204"/>
  <c r="Q201"/>
  <c r="Q193"/>
  <c r="T208"/>
  <c r="V210"/>
  <c r="T202"/>
  <c r="O214"/>
  <c r="V201"/>
  <c r="V195"/>
  <c r="V198"/>
  <c r="Q206"/>
  <c r="X191"/>
  <c r="O209"/>
  <c r="Q213"/>
  <c r="M214"/>
  <c r="M253" s="1"/>
  <c r="M189"/>
  <c r="M228" s="1"/>
  <c r="W215"/>
  <c r="S214"/>
  <c r="S191"/>
  <c r="T212"/>
  <c r="V190"/>
  <c r="V216"/>
  <c r="V207"/>
  <c r="Q212"/>
  <c r="Q196"/>
  <c r="X200"/>
  <c r="X215"/>
  <c r="X209"/>
  <c r="T188"/>
  <c r="O199"/>
  <c r="O205"/>
  <c r="P213"/>
  <c r="P198"/>
  <c r="R196"/>
  <c r="R192"/>
  <c r="U206"/>
  <c r="U203"/>
  <c r="M207"/>
  <c r="M246" s="1"/>
  <c r="N246" s="1"/>
  <c r="M198"/>
  <c r="M237" s="1"/>
  <c r="M212"/>
  <c r="M251" s="1"/>
  <c r="N186"/>
  <c r="N225" s="1"/>
  <c r="N215"/>
  <c r="N193"/>
  <c r="N232" s="1"/>
  <c r="W196"/>
  <c r="W198"/>
  <c r="W213"/>
  <c r="S199"/>
  <c r="S197"/>
  <c r="I224"/>
  <c r="H257"/>
  <c r="K69"/>
  <c r="J74"/>
  <c r="K69" i="18"/>
  <c r="J74"/>
  <c r="M143" i="31"/>
  <c r="N143" s="1"/>
  <c r="O143" s="1"/>
  <c r="P143" s="1"/>
  <c r="Q143" s="1"/>
  <c r="R143" s="1"/>
  <c r="S143" s="1"/>
  <c r="T143" s="1"/>
  <c r="U143" s="1"/>
  <c r="V143" s="1"/>
  <c r="W143" s="1"/>
  <c r="X143" s="1"/>
  <c r="C10"/>
  <c r="V187"/>
  <c r="Q207"/>
  <c r="Q194"/>
  <c r="X197"/>
  <c r="T192"/>
  <c r="T213"/>
  <c r="O186"/>
  <c r="O210"/>
  <c r="P192"/>
  <c r="B142"/>
  <c r="M187"/>
  <c r="M226" s="1"/>
  <c r="M202"/>
  <c r="M241" s="1"/>
  <c r="N201"/>
  <c r="N208"/>
  <c r="W203"/>
  <c r="W191"/>
  <c r="S210"/>
  <c r="Y257"/>
  <c r="V188"/>
  <c r="V208"/>
  <c r="V206"/>
  <c r="V191"/>
  <c r="V212"/>
  <c r="V189"/>
  <c r="Q195"/>
  <c r="Q211"/>
  <c r="Q191"/>
  <c r="Q202"/>
  <c r="Q187"/>
  <c r="Q197"/>
  <c r="Q214"/>
  <c r="X201"/>
  <c r="X208"/>
  <c r="X186"/>
  <c r="X202"/>
  <c r="X214"/>
  <c r="X210"/>
  <c r="X211"/>
  <c r="X187"/>
  <c r="T204"/>
  <c r="T216"/>
  <c r="T197"/>
  <c r="T199"/>
  <c r="T186"/>
  <c r="O207"/>
  <c r="O201"/>
  <c r="O198"/>
  <c r="O189"/>
  <c r="O202"/>
  <c r="O204"/>
  <c r="O195"/>
  <c r="P189"/>
  <c r="P202"/>
  <c r="P190"/>
  <c r="P197"/>
  <c r="P199"/>
  <c r="P212"/>
  <c r="P186"/>
  <c r="R191"/>
  <c r="R194"/>
  <c r="R206"/>
  <c r="R210"/>
  <c r="R195"/>
  <c r="U202"/>
  <c r="U205"/>
  <c r="U209"/>
  <c r="U214"/>
  <c r="U198"/>
  <c r="U193"/>
  <c r="U207"/>
  <c r="M197"/>
  <c r="M236" s="1"/>
  <c r="N236" s="1"/>
  <c r="O236" s="1"/>
  <c r="M188"/>
  <c r="M227" s="1"/>
  <c r="M216"/>
  <c r="M255" s="1"/>
  <c r="M205"/>
  <c r="M244" s="1"/>
  <c r="M206"/>
  <c r="M245" s="1"/>
  <c r="N245" s="1"/>
  <c r="M211"/>
  <c r="M250" s="1"/>
  <c r="N211"/>
  <c r="N192"/>
  <c r="N202"/>
  <c r="N203"/>
  <c r="N194"/>
  <c r="N195"/>
  <c r="N196"/>
  <c r="N235" s="1"/>
  <c r="O235" s="1"/>
  <c r="N187"/>
  <c r="W200"/>
  <c r="W214"/>
  <c r="W212"/>
  <c r="W197"/>
  <c r="W195"/>
  <c r="W210"/>
  <c r="W192"/>
  <c r="W189"/>
  <c r="S190"/>
  <c r="S206"/>
  <c r="S196"/>
  <c r="S194"/>
  <c r="S202"/>
  <c r="S187"/>
  <c r="Y219"/>
  <c r="V203"/>
  <c r="V199"/>
  <c r="V193"/>
  <c r="V194"/>
  <c r="V205"/>
  <c r="V200"/>
  <c r="Q189"/>
  <c r="Q190"/>
  <c r="Q209"/>
  <c r="Q204"/>
  <c r="X204"/>
  <c r="X192"/>
  <c r="X195"/>
  <c r="T193"/>
  <c r="T194"/>
  <c r="T196"/>
  <c r="T203"/>
  <c r="T189"/>
  <c r="T209"/>
  <c r="T190"/>
  <c r="O215"/>
  <c r="O191"/>
  <c r="O193"/>
  <c r="O211"/>
  <c r="P204"/>
  <c r="P207"/>
  <c r="P195"/>
  <c r="P201"/>
  <c r="P215"/>
  <c r="R190"/>
  <c r="R200"/>
  <c r="R187"/>
  <c r="R204"/>
  <c r="U195"/>
  <c r="U213"/>
  <c r="U201"/>
  <c r="U197"/>
  <c r="M192"/>
  <c r="M231" s="1"/>
  <c r="M203"/>
  <c r="M242" s="1"/>
  <c r="M215"/>
  <c r="M254" s="1"/>
  <c r="N216"/>
  <c r="N213"/>
  <c r="N252" s="1"/>
  <c r="N190"/>
  <c r="N229" s="1"/>
  <c r="N198"/>
  <c r="N237" s="1"/>
  <c r="W206"/>
  <c r="W199"/>
  <c r="W186"/>
  <c r="S200"/>
  <c r="S211"/>
  <c r="S204"/>
  <c r="I224" i="18"/>
  <c r="H257"/>
  <c r="V214" i="31"/>
  <c r="V215"/>
  <c r="V197"/>
  <c r="Q199"/>
  <c r="Q216"/>
  <c r="Q200"/>
  <c r="X213"/>
  <c r="X190"/>
  <c r="X199"/>
  <c r="T215"/>
  <c r="T207"/>
  <c r="T195"/>
  <c r="O187"/>
  <c r="O213"/>
  <c r="P206"/>
  <c r="P193"/>
  <c r="P209"/>
  <c r="P194"/>
  <c r="P188"/>
  <c r="R208"/>
  <c r="R216"/>
  <c r="U189"/>
  <c r="U211"/>
  <c r="U187"/>
  <c r="M195"/>
  <c r="M234" s="1"/>
  <c r="M209"/>
  <c r="M248" s="1"/>
  <c r="M200"/>
  <c r="M239" s="1"/>
  <c r="N205"/>
  <c r="N209"/>
  <c r="W204"/>
  <c r="W209"/>
  <c r="S208"/>
  <c r="S186"/>
  <c r="S192"/>
  <c r="S216"/>
  <c r="N239" l="1"/>
  <c r="O239" s="1"/>
  <c r="P239" s="1"/>
  <c r="Q239" s="1"/>
  <c r="R239" s="1"/>
  <c r="S239" s="1"/>
  <c r="T239" s="1"/>
  <c r="U239" s="1"/>
  <c r="V239" s="1"/>
  <c r="W239" s="1"/>
  <c r="X239" s="1"/>
  <c r="N228"/>
  <c r="N240"/>
  <c r="N243"/>
  <c r="O243" s="1"/>
  <c r="P243" s="1"/>
  <c r="Q243" s="1"/>
  <c r="R243" s="1"/>
  <c r="S243" s="1"/>
  <c r="T243" s="1"/>
  <c r="U243" s="1"/>
  <c r="V243" s="1"/>
  <c r="W243" s="1"/>
  <c r="X243" s="1"/>
  <c r="N247"/>
  <c r="O247" s="1"/>
  <c r="P247" s="1"/>
  <c r="Q247" s="1"/>
  <c r="R247" s="1"/>
  <c r="S247" s="1"/>
  <c r="T247" s="1"/>
  <c r="U247" s="1"/>
  <c r="V247" s="1"/>
  <c r="W247" s="1"/>
  <c r="X247" s="1"/>
  <c r="O245"/>
  <c r="P245" s="1"/>
  <c r="Q245" s="1"/>
  <c r="R245" s="1"/>
  <c r="S245" s="1"/>
  <c r="T245" s="1"/>
  <c r="U245" s="1"/>
  <c r="V245" s="1"/>
  <c r="W245" s="1"/>
  <c r="X245" s="1"/>
  <c r="N253"/>
  <c r="O253" s="1"/>
  <c r="P253" s="1"/>
  <c r="N234"/>
  <c r="O234" s="1"/>
  <c r="P234" s="1"/>
  <c r="Q234" s="1"/>
  <c r="R234" s="1"/>
  <c r="S234" s="1"/>
  <c r="T234" s="1"/>
  <c r="U234" s="1"/>
  <c r="V234" s="1"/>
  <c r="W234" s="1"/>
  <c r="X234" s="1"/>
  <c r="N231"/>
  <c r="O231" s="1"/>
  <c r="P231" s="1"/>
  <c r="Q231" s="1"/>
  <c r="R231" s="1"/>
  <c r="S231" s="1"/>
  <c r="T231" s="1"/>
  <c r="U231" s="1"/>
  <c r="V231" s="1"/>
  <c r="W231" s="1"/>
  <c r="X231" s="1"/>
  <c r="N233"/>
  <c r="O233" s="1"/>
  <c r="P233" s="1"/>
  <c r="Q233" s="1"/>
  <c r="R233" s="1"/>
  <c r="S233" s="1"/>
  <c r="T233" s="1"/>
  <c r="U233" s="1"/>
  <c r="V233" s="1"/>
  <c r="W233" s="1"/>
  <c r="X233" s="1"/>
  <c r="O246"/>
  <c r="P246" s="1"/>
  <c r="Q246" s="1"/>
  <c r="R246" s="1"/>
  <c r="S246" s="1"/>
  <c r="T246" s="1"/>
  <c r="U246" s="1"/>
  <c r="V246" s="1"/>
  <c r="W246" s="1"/>
  <c r="X246" s="1"/>
  <c r="O238"/>
  <c r="P238" s="1"/>
  <c r="Q238" s="1"/>
  <c r="R238" s="1"/>
  <c r="S238" s="1"/>
  <c r="T238" s="1"/>
  <c r="U238" s="1"/>
  <c r="V238" s="1"/>
  <c r="W238" s="1"/>
  <c r="X238" s="1"/>
  <c r="N230"/>
  <c r="O230" s="1"/>
  <c r="P230" s="1"/>
  <c r="Q230" s="1"/>
  <c r="R230" s="1"/>
  <c r="S230" s="1"/>
  <c r="T230" s="1"/>
  <c r="U230" s="1"/>
  <c r="V230" s="1"/>
  <c r="W230" s="1"/>
  <c r="X230" s="1"/>
  <c r="P235"/>
  <c r="Q235" s="1"/>
  <c r="R235" s="1"/>
  <c r="S235" s="1"/>
  <c r="T235" s="1"/>
  <c r="U235" s="1"/>
  <c r="V235" s="1"/>
  <c r="W235" s="1"/>
  <c r="X235" s="1"/>
  <c r="N227"/>
  <c r="O227" s="1"/>
  <c r="P227" s="1"/>
  <c r="Q227" s="1"/>
  <c r="R227" s="1"/>
  <c r="S227" s="1"/>
  <c r="T227" s="1"/>
  <c r="U227" s="1"/>
  <c r="V227" s="1"/>
  <c r="W227" s="1"/>
  <c r="X227" s="1"/>
  <c r="N254"/>
  <c r="O254" s="1"/>
  <c r="P254" s="1"/>
  <c r="Q254" s="1"/>
  <c r="R254" s="1"/>
  <c r="S254" s="1"/>
  <c r="T254" s="1"/>
  <c r="U254" s="1"/>
  <c r="V254" s="1"/>
  <c r="W254" s="1"/>
  <c r="X254" s="1"/>
  <c r="O229"/>
  <c r="P229" s="1"/>
  <c r="Q229" s="1"/>
  <c r="R229" s="1"/>
  <c r="S229" s="1"/>
  <c r="T229" s="1"/>
  <c r="U229" s="1"/>
  <c r="V229" s="1"/>
  <c r="W229" s="1"/>
  <c r="X229" s="1"/>
  <c r="N251"/>
  <c r="O251" s="1"/>
  <c r="O232"/>
  <c r="P232" s="1"/>
  <c r="Q232" s="1"/>
  <c r="R232" s="1"/>
  <c r="S232" s="1"/>
  <c r="T232" s="1"/>
  <c r="U232" s="1"/>
  <c r="V232" s="1"/>
  <c r="W232" s="1"/>
  <c r="X232" s="1"/>
  <c r="N250"/>
  <c r="O250" s="1"/>
  <c r="P250" s="1"/>
  <c r="Q250" s="1"/>
  <c r="R250" s="1"/>
  <c r="S250" s="1"/>
  <c r="T250" s="1"/>
  <c r="U250" s="1"/>
  <c r="V250" s="1"/>
  <c r="W250" s="1"/>
  <c r="X250" s="1"/>
  <c r="N255"/>
  <c r="O255" s="1"/>
  <c r="P255" s="1"/>
  <c r="Q255" s="1"/>
  <c r="R255" s="1"/>
  <c r="S255" s="1"/>
  <c r="T255" s="1"/>
  <c r="U255" s="1"/>
  <c r="V255" s="1"/>
  <c r="W255" s="1"/>
  <c r="X255" s="1"/>
  <c r="O225"/>
  <c r="P225" s="1"/>
  <c r="Q225" s="1"/>
  <c r="R225" s="1"/>
  <c r="S225" s="1"/>
  <c r="T225" s="1"/>
  <c r="U225" s="1"/>
  <c r="V225" s="1"/>
  <c r="W225" s="1"/>
  <c r="X225" s="1"/>
  <c r="O228"/>
  <c r="P228" s="1"/>
  <c r="Q228" s="1"/>
  <c r="R228" s="1"/>
  <c r="S228" s="1"/>
  <c r="T228" s="1"/>
  <c r="U228" s="1"/>
  <c r="V228" s="1"/>
  <c r="W228" s="1"/>
  <c r="X228" s="1"/>
  <c r="X218"/>
  <c r="V218"/>
  <c r="S218"/>
  <c r="O252"/>
  <c r="P252" s="1"/>
  <c r="Q252" s="1"/>
  <c r="R252" s="1"/>
  <c r="S252" s="1"/>
  <c r="T252" s="1"/>
  <c r="U252" s="1"/>
  <c r="V252" s="1"/>
  <c r="W252" s="1"/>
  <c r="X252" s="1"/>
  <c r="W218"/>
  <c r="N218"/>
  <c r="T218"/>
  <c r="Q218"/>
  <c r="O218"/>
  <c r="R218"/>
  <c r="Q253"/>
  <c r="R253" s="1"/>
  <c r="S253" s="1"/>
  <c r="T253" s="1"/>
  <c r="U253" s="1"/>
  <c r="V253" s="1"/>
  <c r="W253" s="1"/>
  <c r="X253" s="1"/>
  <c r="U218"/>
  <c r="O237"/>
  <c r="P237" s="1"/>
  <c r="Q237" s="1"/>
  <c r="R237" s="1"/>
  <c r="S237" s="1"/>
  <c r="T237" s="1"/>
  <c r="U237" s="1"/>
  <c r="V237" s="1"/>
  <c r="W237" s="1"/>
  <c r="X237" s="1"/>
  <c r="P218"/>
  <c r="K74"/>
  <c r="L69"/>
  <c r="J224" i="18"/>
  <c r="I257"/>
  <c r="O240" i="31"/>
  <c r="P240" s="1"/>
  <c r="Q240" s="1"/>
  <c r="R240" s="1"/>
  <c r="S240" s="1"/>
  <c r="T240" s="1"/>
  <c r="U240" s="1"/>
  <c r="V240" s="1"/>
  <c r="W240" s="1"/>
  <c r="X240" s="1"/>
  <c r="P251"/>
  <c r="Q251" s="1"/>
  <c r="R251" s="1"/>
  <c r="S251" s="1"/>
  <c r="T251" s="1"/>
  <c r="U251" s="1"/>
  <c r="V251" s="1"/>
  <c r="W251" s="1"/>
  <c r="X251" s="1"/>
  <c r="N226"/>
  <c r="O226" s="1"/>
  <c r="P226" s="1"/>
  <c r="Q226" s="1"/>
  <c r="R226" s="1"/>
  <c r="S226" s="1"/>
  <c r="T226" s="1"/>
  <c r="U226" s="1"/>
  <c r="V226" s="1"/>
  <c r="W226" s="1"/>
  <c r="X226" s="1"/>
  <c r="K74" i="18"/>
  <c r="L69"/>
  <c r="M218" i="31"/>
  <c r="M219" s="1"/>
  <c r="N244"/>
  <c r="O244" s="1"/>
  <c r="P244" s="1"/>
  <c r="Q244" s="1"/>
  <c r="R244" s="1"/>
  <c r="S244" s="1"/>
  <c r="T244" s="1"/>
  <c r="U244" s="1"/>
  <c r="V244" s="1"/>
  <c r="W244" s="1"/>
  <c r="X244" s="1"/>
  <c r="N241"/>
  <c r="O241" s="1"/>
  <c r="P241" s="1"/>
  <c r="Q241" s="1"/>
  <c r="R241" s="1"/>
  <c r="S241" s="1"/>
  <c r="T241" s="1"/>
  <c r="U241" s="1"/>
  <c r="V241" s="1"/>
  <c r="W241" s="1"/>
  <c r="X241" s="1"/>
  <c r="I257"/>
  <c r="J224"/>
  <c r="N242"/>
  <c r="O242" s="1"/>
  <c r="P242" s="1"/>
  <c r="Q242" s="1"/>
  <c r="R242" s="1"/>
  <c r="S242" s="1"/>
  <c r="T242" s="1"/>
  <c r="U242" s="1"/>
  <c r="V242" s="1"/>
  <c r="W242" s="1"/>
  <c r="X242" s="1"/>
  <c r="O249"/>
  <c r="P249" s="1"/>
  <c r="Q249" s="1"/>
  <c r="R249" s="1"/>
  <c r="S249" s="1"/>
  <c r="T249" s="1"/>
  <c r="U249" s="1"/>
  <c r="V249" s="1"/>
  <c r="W249" s="1"/>
  <c r="X249" s="1"/>
  <c r="N248"/>
  <c r="O248" s="1"/>
  <c r="P248" s="1"/>
  <c r="Q248" s="1"/>
  <c r="R248" s="1"/>
  <c r="S248" s="1"/>
  <c r="T248" s="1"/>
  <c r="U248" s="1"/>
  <c r="V248" s="1"/>
  <c r="W248" s="1"/>
  <c r="X248" s="1"/>
  <c r="P236"/>
  <c r="Q236" s="1"/>
  <c r="R236" s="1"/>
  <c r="S236" s="1"/>
  <c r="T236" s="1"/>
  <c r="U236" s="1"/>
  <c r="V236" s="1"/>
  <c r="W236" s="1"/>
  <c r="X236" s="1"/>
  <c r="N219" l="1"/>
  <c r="O219" s="1"/>
  <c r="P219" s="1"/>
  <c r="Q219" s="1"/>
  <c r="R219" s="1"/>
  <c r="S219" s="1"/>
  <c r="T219" s="1"/>
  <c r="U219" s="1"/>
  <c r="V219" s="1"/>
  <c r="W219" s="1"/>
  <c r="X219" s="1"/>
  <c r="L74" i="18"/>
  <c r="M69"/>
  <c r="M69" i="31"/>
  <c r="L74"/>
  <c r="K224" i="18"/>
  <c r="J257"/>
  <c r="K224" i="31"/>
  <c r="J257"/>
  <c r="N69" l="1"/>
  <c r="M74"/>
  <c r="K257"/>
  <c r="L224"/>
  <c r="K257" i="18"/>
  <c r="L224"/>
  <c r="M74"/>
  <c r="N69"/>
  <c r="O69" i="31" l="1"/>
  <c r="N74"/>
  <c r="O69" i="18"/>
  <c r="N74"/>
  <c r="M224"/>
  <c r="L257"/>
  <c r="M224" i="31"/>
  <c r="L257"/>
  <c r="M257" i="18" l="1"/>
  <c r="N224"/>
  <c r="P69" i="31"/>
  <c r="O74"/>
  <c r="N224"/>
  <c r="M257"/>
  <c r="O74" i="18"/>
  <c r="P69"/>
  <c r="O224" l="1"/>
  <c r="N257"/>
  <c r="O224" i="31"/>
  <c r="N257"/>
  <c r="Q69"/>
  <c r="P74"/>
  <c r="Q69" i="18"/>
  <c r="P74"/>
  <c r="R69" l="1"/>
  <c r="Q74"/>
  <c r="O257"/>
  <c r="P224"/>
  <c r="Q74" i="31"/>
  <c r="R69"/>
  <c r="O257"/>
  <c r="P224"/>
  <c r="S69" i="18" l="1"/>
  <c r="R74"/>
  <c r="S69" i="31"/>
  <c r="R74"/>
  <c r="Q224"/>
  <c r="P257"/>
  <c r="Q224" i="18"/>
  <c r="P257"/>
  <c r="T69" i="31" l="1"/>
  <c r="S74"/>
  <c r="Q257" i="18"/>
  <c r="R224"/>
  <c r="S74"/>
  <c r="T69"/>
  <c r="Q257" i="31"/>
  <c r="R224"/>
  <c r="U69" l="1"/>
  <c r="T74"/>
  <c r="T74" i="18"/>
  <c r="U69"/>
  <c r="R257"/>
  <c r="S224"/>
  <c r="S224" i="31"/>
  <c r="R257"/>
  <c r="T224" i="18" l="1"/>
  <c r="S257"/>
  <c r="S257" i="31"/>
  <c r="T224"/>
  <c r="V69"/>
  <c r="U74"/>
  <c r="U74" i="18"/>
  <c r="V69"/>
  <c r="V74" i="31" l="1"/>
  <c r="W69"/>
  <c r="U224" i="18"/>
  <c r="T257"/>
  <c r="W69"/>
  <c r="V74"/>
  <c r="U224" i="31"/>
  <c r="T257"/>
  <c r="X69" i="18" l="1"/>
  <c r="X74" s="1"/>
  <c r="W74"/>
  <c r="W74" i="31"/>
  <c r="X69"/>
  <c r="X74" s="1"/>
  <c r="U257" i="18"/>
  <c r="V224"/>
  <c r="V224" i="31"/>
  <c r="U257"/>
  <c r="W224" i="18" l="1"/>
  <c r="V257"/>
  <c r="V257" i="31"/>
  <c r="W224"/>
  <c r="X224" l="1"/>
  <c r="X257" s="1"/>
  <c r="W257"/>
  <c r="W257" i="18"/>
  <c r="X224"/>
  <c r="X257" s="1"/>
</calcChain>
</file>

<file path=xl/comments1.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6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64"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64"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6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9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99"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99"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9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2.xml><?xml version="1.0" encoding="utf-8"?>
<comments xmlns="http://schemas.openxmlformats.org/spreadsheetml/2006/main">
  <authors>
    <author xml:space="preserve"> </author>
  </authors>
  <commentList>
    <comment ref="K5"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5"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C6"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6"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6"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6" authorId="0">
      <text>
        <r>
          <rPr>
            <b/>
            <sz val="8"/>
            <color indexed="81"/>
            <rFont val="Tahoma"/>
            <family val="2"/>
          </rPr>
          <t xml:space="preserve"> :ProCost</t>
        </r>
        <r>
          <rPr>
            <sz val="8"/>
            <color indexed="81"/>
            <rFont val="Tahoma"/>
            <family val="2"/>
          </rPr>
          <t xml:space="preserve">
Physical life of the measure in years.  Must be &gt;=1.</t>
        </r>
      </text>
    </comment>
    <comment ref="G6"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6"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I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J6"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6"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6"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6"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6"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6"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6"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6" authorId="0">
      <text>
        <r>
          <rPr>
            <b/>
            <sz val="8"/>
            <color indexed="81"/>
            <rFont val="Tahoma"/>
            <family val="2"/>
          </rPr>
          <t xml:space="preserve"> :</t>
        </r>
        <r>
          <rPr>
            <sz val="8"/>
            <color indexed="81"/>
            <rFont val="Tahoma"/>
            <family val="2"/>
          </rPr>
          <t xml:space="preserve">
Annual gas savings, or increases, in therms.</t>
        </r>
      </text>
    </comment>
    <comment ref="R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K43"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43"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C4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4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4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44" authorId="0">
      <text>
        <r>
          <rPr>
            <b/>
            <sz val="8"/>
            <color indexed="81"/>
            <rFont val="Tahoma"/>
            <family val="2"/>
          </rPr>
          <t xml:space="preserve"> :ProCost</t>
        </r>
        <r>
          <rPr>
            <sz val="8"/>
            <color indexed="81"/>
            <rFont val="Tahoma"/>
            <family val="2"/>
          </rPr>
          <t xml:space="preserve">
Physical life of the measure in years.  Must be &gt;=1.</t>
        </r>
      </text>
    </comment>
    <comment ref="G4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44"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I4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J4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4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4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4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4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4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4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44" authorId="0">
      <text>
        <r>
          <rPr>
            <b/>
            <sz val="8"/>
            <color indexed="81"/>
            <rFont val="Tahoma"/>
            <family val="2"/>
          </rPr>
          <t xml:space="preserve"> :</t>
        </r>
        <r>
          <rPr>
            <sz val="8"/>
            <color indexed="81"/>
            <rFont val="Tahoma"/>
            <family val="2"/>
          </rPr>
          <t xml:space="preserve">
Annual gas savings, or increases, in therms.</t>
        </r>
      </text>
    </comment>
    <comment ref="R4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3.xml><?xml version="1.0" encoding="utf-8"?>
<comments xmlns="http://schemas.openxmlformats.org/spreadsheetml/2006/main">
  <authors>
    <author xml:space="preserve"> </author>
  </authors>
  <commentList>
    <comment ref="K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C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7" authorId="0">
      <text>
        <r>
          <rPr>
            <b/>
            <sz val="8"/>
            <color indexed="81"/>
            <rFont val="Tahoma"/>
            <family val="2"/>
          </rPr>
          <t xml:space="preserve"> :ProCost</t>
        </r>
        <r>
          <rPr>
            <sz val="8"/>
            <color indexed="81"/>
            <rFont val="Tahoma"/>
            <family val="2"/>
          </rPr>
          <t xml:space="preserve">
Physical life of the measure in years.  Must be &gt;=1.</t>
        </r>
      </text>
    </comment>
    <comment ref="G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I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J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7" authorId="0">
      <text>
        <r>
          <rPr>
            <b/>
            <sz val="8"/>
            <color indexed="81"/>
            <rFont val="Tahoma"/>
            <family val="2"/>
          </rPr>
          <t xml:space="preserve"> :</t>
        </r>
        <r>
          <rPr>
            <sz val="8"/>
            <color indexed="81"/>
            <rFont val="Tahoma"/>
            <family val="2"/>
          </rPr>
          <t xml:space="preserve">
Annual gas savings, or increases, in therms.</t>
        </r>
      </text>
    </comment>
    <comment ref="R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4.xml><?xml version="1.0" encoding="utf-8"?>
<comments xmlns="http://schemas.openxmlformats.org/spreadsheetml/2006/main">
  <authors>
    <author xml:space="preserve"> </author>
    <author>Tina Jayaweera</author>
  </authors>
  <commentList>
    <comment ref="AZ8"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BF8"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T9" authorId="1">
      <text>
        <r>
          <rPr>
            <b/>
            <sz val="9"/>
            <color indexed="81"/>
            <rFont val="Tahoma"/>
            <family val="2"/>
          </rPr>
          <t>Tina Jayaweera:</t>
        </r>
        <r>
          <rPr>
            <sz val="9"/>
            <color indexed="81"/>
            <rFont val="Tahoma"/>
            <family val="2"/>
          </rPr>
          <t xml:space="preserve">
If General Purpose, use 45 lm/W baseline. Else use current assumption</t>
        </r>
      </text>
    </comment>
    <comment ref="U9" authorId="1">
      <text>
        <r>
          <rPr>
            <b/>
            <sz val="9"/>
            <color indexed="81"/>
            <rFont val="Tahoma"/>
            <family val="2"/>
          </rPr>
          <t>Tina Jayaweera:</t>
        </r>
        <r>
          <rPr>
            <sz val="9"/>
            <color indexed="81"/>
            <rFont val="Tahoma"/>
            <family val="2"/>
          </rPr>
          <t xml:space="preserve">
Use CFL cost for general purpose, else use rbsa measure mix</t>
        </r>
      </text>
    </comment>
    <comment ref="V9" authorId="1">
      <text>
        <r>
          <rPr>
            <b/>
            <sz val="9"/>
            <color indexed="81"/>
            <rFont val="Tahoma"/>
            <family val="2"/>
          </rPr>
          <t>Tina Jayaweera:</t>
        </r>
        <r>
          <rPr>
            <sz val="9"/>
            <color indexed="81"/>
            <rFont val="Tahoma"/>
            <family val="2"/>
          </rPr>
          <t xml:space="preserve">
For general purpose, use CFL baseline</t>
        </r>
      </text>
    </comment>
    <comment ref="AR9"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AS9"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AT9"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AU9" authorId="0">
      <text>
        <r>
          <rPr>
            <b/>
            <sz val="8"/>
            <color indexed="81"/>
            <rFont val="Tahoma"/>
            <family val="2"/>
          </rPr>
          <t xml:space="preserve"> :ProCost</t>
        </r>
        <r>
          <rPr>
            <sz val="8"/>
            <color indexed="81"/>
            <rFont val="Tahoma"/>
            <family val="2"/>
          </rPr>
          <t xml:space="preserve">
Physical life of the measure in years.  Must be &gt;=1.</t>
        </r>
      </text>
    </comment>
    <comment ref="AV9"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AW9"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AX9"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AY9"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AZ9"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BA9"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BB9"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BC9"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BD9"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BE9"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BF9" authorId="0">
      <text>
        <r>
          <rPr>
            <b/>
            <sz val="8"/>
            <color indexed="81"/>
            <rFont val="Tahoma"/>
            <family val="2"/>
          </rPr>
          <t xml:space="preserve"> :</t>
        </r>
        <r>
          <rPr>
            <sz val="8"/>
            <color indexed="81"/>
            <rFont val="Tahoma"/>
            <family val="2"/>
          </rPr>
          <t xml:space="preserve">
Annual gas savings, or increases, in therms.</t>
        </r>
      </text>
    </comment>
    <comment ref="BG9"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sharedStrings.xml><?xml version="1.0" encoding="utf-8"?>
<sst xmlns="http://schemas.openxmlformats.org/spreadsheetml/2006/main" count="3932" uniqueCount="854">
  <si>
    <t>Parameter</t>
  </si>
  <si>
    <t>L</t>
  </si>
  <si>
    <t>X</t>
  </si>
  <si>
    <t>Data Set Name</t>
  </si>
  <si>
    <t>Measure Index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</si>
  <si>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</si>
  <si>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</si>
  <si>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</si>
  <si>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</si>
  <si>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</si>
  <si>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</si>
  <si>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</si>
  <si>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</si>
  <si>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</si>
  <si>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</si>
  <si>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</si>
  <si>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</si>
  <si>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</si>
  <si>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</si>
  <si>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</si>
  <si>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</si>
  <si>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</si>
  <si>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</si>
  <si>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</si>
  <si>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Savings</t>
  </si>
  <si>
    <t>Measure</t>
  </si>
  <si>
    <t>N/A</t>
  </si>
  <si>
    <t>Other</t>
  </si>
  <si>
    <t>Segment</t>
  </si>
  <si>
    <t>Single Family</t>
  </si>
  <si>
    <t>Manufactured</t>
  </si>
  <si>
    <t>Concat</t>
  </si>
  <si>
    <t>Multifamily - Low Rise</t>
  </si>
  <si>
    <t>Multifamily - High Rise</t>
  </si>
  <si>
    <t>Shaped Savings Results; By Category and sorted by TRC BC ratio</t>
  </si>
  <si>
    <t>Category</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</si>
  <si>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</si>
  <si>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</si>
  <si>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</si>
  <si>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</si>
  <si>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</si>
  <si>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</si>
  <si>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</si>
  <si>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</si>
  <si>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</si>
  <si>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</si>
  <si>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</si>
  <si>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</si>
  <si>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</si>
  <si>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</si>
  <si>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</si>
  <si>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</si>
  <si>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</si>
  <si>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</si>
  <si>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</si>
  <si>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</si>
  <si>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</si>
  <si>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</si>
  <si>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</si>
  <si>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Methodology</t>
  </si>
  <si>
    <t>New Homes only.  Also use this to calculate New Homes not addressed due to acheivability, and send that to the NR/Retrofit pool.</t>
  </si>
  <si>
    <t>='[7P Forecasts D1.xlsx]Res Forecast (Base Case)'!$D$5</t>
  </si>
  <si>
    <t>Vintage</t>
  </si>
  <si>
    <t>New</t>
  </si>
  <si>
    <t>Measure Bundle</t>
  </si>
  <si>
    <t>Report Year</t>
  </si>
  <si>
    <t># homes</t>
  </si>
  <si>
    <t>REG_TOTAL_STOCK_# HOMES</t>
  </si>
  <si>
    <t>Total Regional Stock</t>
  </si>
  <si>
    <t>Applicability</t>
  </si>
  <si>
    <t>Saturation</t>
  </si>
  <si>
    <t>Achievability =&gt;</t>
  </si>
  <si>
    <t>SUPPLY CURVE SAVINGS BY BUNDLE</t>
  </si>
  <si>
    <t>kWh per home</t>
  </si>
  <si>
    <t>lvlcost</t>
  </si>
  <si>
    <t>segment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</si>
  <si>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</si>
  <si>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</si>
  <si>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</si>
  <si>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</si>
  <si>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</si>
  <si>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</si>
  <si>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</si>
  <si>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</si>
  <si>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</si>
  <si>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</si>
  <si>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</si>
  <si>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</si>
  <si>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</si>
  <si>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</si>
  <si>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</si>
  <si>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</si>
  <si>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</si>
  <si>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</si>
  <si>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</si>
  <si>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</si>
  <si>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</si>
  <si>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</si>
  <si>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</si>
  <si>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</si>
  <si>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</si>
  <si>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</si>
  <si>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</si>
  <si>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</si>
  <si>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</si>
  <si>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</si>
  <si>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</si>
  <si>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</si>
  <si>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</si>
  <si>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</si>
  <si>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</si>
  <si>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</si>
  <si>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</si>
  <si>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</si>
  <si>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</si>
  <si>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</si>
  <si>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</si>
  <si>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</si>
  <si>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</si>
  <si>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</si>
  <si>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</si>
  <si>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</si>
  <si>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</si>
  <si>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</si>
  <si>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</si>
  <si>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</si>
  <si>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</si>
  <si>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</si>
  <si>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</si>
  <si>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</si>
  <si>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</si>
  <si>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</si>
  <si>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</si>
  <si>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</si>
  <si>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</si>
  <si>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</si>
  <si>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</si>
  <si>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</si>
  <si>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</si>
  <si>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</si>
  <si>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</si>
  <si>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&gt; 200 mills/kWh</t>
  </si>
  <si>
    <t>&gt;200</t>
  </si>
  <si>
    <t>&lt;=9999</t>
  </si>
  <si>
    <t>RECOMBINE MEASURE BUNDLES INTO SUPPLY CURVE INCREMENTAL</t>
  </si>
  <si>
    <t>SC_New</t>
  </si>
  <si>
    <t>Total per Year</t>
  </si>
  <si>
    <t>Total Cumulative</t>
  </si>
  <si>
    <t>CALCULATE # HOMES NOT ADDRESSED BY MEASURE AND ADD TO NR/RETROFIT POOL</t>
  </si>
  <si>
    <t># HOMES RESIDUAL &amp; AVAILABLE TO NR/RETROFIT POOL</t>
  </si>
  <si>
    <t>APPLICABLE NEW STOCK MINUS TREATED</t>
  </si>
  <si>
    <t>Homes</t>
  </si>
  <si>
    <t>Total Residual to NR/Retro Pool</t>
  </si>
  <si>
    <t>NR</t>
  </si>
  <si>
    <t># Homes FOR EXISTING STOCK</t>
  </si>
  <si>
    <t># Homes NOT TREATED FROM NEW STOCK AND THUS AVAILABLE FOR NR POOL FROM SC-NEW</t>
  </si>
  <si>
    <t>ONLY INCLUDE AFTER ONE EUL</t>
  </si>
  <si>
    <t>New Stock into NR/Retro Pool</t>
  </si>
  <si>
    <t>EXISTING STOCK AVAILABLE TO NR/RETROFIT POOL</t>
  </si>
  <si>
    <t>MAX</t>
  </si>
  <si>
    <t>APPLY MEASURE APPLICABILITY, SATURATION TURNOVER RATE FOR MAX ANNUAL # UNITS</t>
  </si>
  <si>
    <t>Turnover Rate</t>
  </si>
  <si>
    <t>INCREMENTAL ACHIEVABILITY</t>
  </si>
  <si>
    <t>CUMULATIVE ADOPTION</t>
  </si>
  <si>
    <t>Measure:</t>
  </si>
  <si>
    <t>Item</t>
  </si>
  <si>
    <t>Methods &amp; Sources</t>
  </si>
  <si>
    <t>Note</t>
  </si>
  <si>
    <t>7P Updates</t>
  </si>
  <si>
    <t>Measures Described</t>
  </si>
  <si>
    <t>Energy Savings Calculation Basis</t>
  </si>
  <si>
    <t>Applicable Stock</t>
  </si>
  <si>
    <t>Baseline Saturation</t>
  </si>
  <si>
    <t>Baseline HVAC Loads</t>
  </si>
  <si>
    <t>Permutations</t>
  </si>
  <si>
    <t>Costs</t>
  </si>
  <si>
    <t>Measure Life</t>
  </si>
  <si>
    <t>Savings Shape</t>
  </si>
  <si>
    <t>Achievable Ramp Rate</t>
  </si>
  <si>
    <t>Retro or LO</t>
  </si>
  <si>
    <t>Early Retrofit Parameters</t>
  </si>
  <si>
    <t>R or L</t>
  </si>
  <si>
    <t>Savings 2
(kWh)</t>
  </si>
  <si>
    <t>Remaining
Life (yrs)</t>
  </si>
  <si>
    <t>Salvage Value ($)</t>
  </si>
  <si>
    <t>aMW</t>
  </si>
  <si>
    <t xml:space="preserve">Methodology:  For the Natural Replacement case.  Start with 2015 Stock decayed over time for demolition and retirement.  Add the New stock not addressed by the New Building Programs.  Then apply natural turnover rate based on measure life. The rate is the annual fraction of the stock that is replaced in any year.  Also apply the achievable penetration rate by year and the measure applicability factor.  Achievable penetration includes program ramp up.  The applicability factor represents the portion of the available stock that the measure applies to which is 100percent minus the baseline fraction that is doing the measure absent program.  The product is the annual available # of homes.  Number of homes times savings per home for aMW potential available by year for each type.  Turnover Rate, Achievable Penetration Rate and Applicability Factor are looked up from ResMaster.  Savings available for the retrofit measure apply only to the non-NR residual # of homes at the 20th year.  </t>
  </si>
  <si>
    <t>Existing</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</si>
  <si>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</si>
  <si>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</si>
  <si>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</si>
  <si>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</si>
  <si>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</si>
  <si>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</si>
  <si>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</si>
  <si>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</si>
  <si>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</si>
  <si>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</si>
  <si>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</si>
  <si>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</si>
  <si>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</si>
  <si>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</si>
  <si>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</si>
  <si>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</si>
  <si>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</si>
  <si>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</si>
  <si>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</si>
  <si>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</si>
  <si>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</si>
  <si>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</si>
  <si>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</si>
  <si>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</si>
  <si>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</si>
  <si>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</si>
  <si>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</si>
  <si>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</si>
  <si>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</si>
  <si>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</si>
  <si>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</si>
  <si>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</si>
  <si>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</si>
  <si>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</si>
  <si>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</si>
  <si>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</si>
  <si>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</si>
  <si>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</si>
  <si>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</si>
  <si>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</si>
  <si>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</si>
  <si>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</si>
  <si>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</si>
  <si>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</si>
  <si>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</si>
  <si>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</si>
  <si>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</si>
  <si>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</si>
  <si>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</si>
  <si>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</si>
  <si>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</si>
  <si>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</si>
  <si>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</si>
  <si>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</si>
  <si>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</si>
  <si>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</si>
  <si>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</si>
  <si>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</si>
  <si>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</si>
  <si>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</si>
  <si>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</si>
  <si>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</si>
  <si>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</si>
  <si>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</si>
  <si>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</si>
  <si>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</si>
  <si>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</si>
  <si>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</si>
  <si>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</si>
  <si>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</si>
  <si>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</si>
  <si>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</si>
  <si>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</si>
  <si>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</si>
  <si>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</si>
  <si>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</si>
  <si>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</si>
  <si>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</si>
  <si>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</si>
  <si>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</si>
  <si>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</si>
  <si>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</si>
  <si>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</si>
  <si>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</si>
  <si>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</si>
  <si>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</si>
  <si>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</si>
  <si>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</si>
  <si>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</si>
  <si>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</si>
  <si>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</si>
  <si>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</si>
  <si>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</si>
  <si>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</si>
  <si>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</si>
  <si>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</si>
  <si>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</si>
  <si>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</si>
  <si>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</si>
  <si>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</si>
  <si>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</si>
  <si>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</si>
  <si>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</si>
  <si>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</si>
  <si>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</si>
  <si>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</si>
  <si>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</si>
  <si>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</si>
  <si>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</si>
  <si>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</si>
  <si>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</si>
  <si>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</si>
  <si>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</si>
  <si>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</si>
  <si>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</si>
  <si>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</si>
  <si>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</si>
  <si>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</si>
  <si>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</si>
  <si>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</si>
  <si>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</si>
  <si>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</si>
  <si>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</si>
  <si>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</si>
  <si>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</si>
  <si>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</si>
  <si>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</si>
  <si>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</si>
  <si>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</si>
  <si>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</si>
  <si>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</si>
  <si>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</si>
  <si>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</si>
  <si>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</si>
  <si>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</si>
  <si>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</si>
  <si>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</si>
  <si>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</si>
  <si>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</si>
  <si>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</si>
  <si>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</si>
  <si>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</si>
  <si>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</si>
  <si>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</si>
  <si>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</si>
  <si>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</si>
  <si>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</si>
  <si>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</si>
  <si>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</si>
  <si>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</si>
  <si>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</si>
  <si>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</si>
  <si>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</si>
  <si>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</si>
  <si>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</si>
  <si>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</si>
  <si>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</si>
  <si>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</si>
  <si>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</si>
  <si>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</si>
  <si>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</si>
  <si>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</si>
  <si>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</si>
  <si>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</si>
  <si>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</si>
  <si>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</si>
  <si>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</si>
  <si>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</si>
  <si>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</si>
  <si>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</si>
  <si>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</si>
  <si>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</si>
  <si>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Totals Basis</t>
  </si>
  <si>
    <t>Busbar Electric Savings in kWh</t>
  </si>
  <si>
    <t>Measures with B/C &gt; 1.00</t>
  </si>
  <si>
    <t>Categories with B/C &gt; 1.00</t>
  </si>
  <si>
    <t>Supply Curve Results:  By TRC Net Levelized Cost - Net of Benefits</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</si>
  <si>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</si>
  <si>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</si>
  <si>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</si>
  <si>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</si>
  <si>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</si>
  <si>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</si>
  <si>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</si>
  <si>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</si>
  <si>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</si>
  <si>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</si>
  <si>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</si>
  <si>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</si>
  <si>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</si>
  <si>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</si>
  <si>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</si>
  <si>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</si>
  <si>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</si>
  <si>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</si>
  <si>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</si>
  <si>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</si>
  <si>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</si>
  <si>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</si>
  <si>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</si>
  <si>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</si>
  <si>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</si>
  <si>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</si>
  <si>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</si>
  <si>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</si>
  <si>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</si>
  <si>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</si>
  <si>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</si>
  <si>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Lighting</t>
  </si>
  <si>
    <t>Delivery Mechanism</t>
  </si>
  <si>
    <t>Lamp Type</t>
  </si>
  <si>
    <t>Lumen</t>
  </si>
  <si>
    <t>Retail</t>
  </si>
  <si>
    <t>LED</t>
  </si>
  <si>
    <t>Decorative and Mini-Base</t>
  </si>
  <si>
    <t>250 to 664 lumens</t>
  </si>
  <si>
    <t>Compact Fluorescent</t>
  </si>
  <si>
    <t>General Purpose and Dimmable</t>
  </si>
  <si>
    <t>665 to 1439 lumens</t>
  </si>
  <si>
    <t>Globe</t>
  </si>
  <si>
    <t>1440 to 2600 lumens</t>
  </si>
  <si>
    <t>Reflectors and Outdoor</t>
  </si>
  <si>
    <t>Three-Way</t>
  </si>
  <si>
    <t>Baseline</t>
  </si>
  <si>
    <t>Efficient</t>
  </si>
  <si>
    <t>Storage/Takeback/Removal</t>
  </si>
  <si>
    <t>HVAC</t>
  </si>
  <si>
    <t>Electric Savings</t>
  </si>
  <si>
    <t>Gas Savings</t>
  </si>
  <si>
    <t>Index</t>
  </si>
  <si>
    <t>Efficient Technology</t>
  </si>
  <si>
    <t>Lumen Category</t>
  </si>
  <si>
    <t>Room Type</t>
  </si>
  <si>
    <t>Baseline Lookup Name</t>
  </si>
  <si>
    <t>Efficient Lookup Name</t>
  </si>
  <si>
    <t>Full Measure Name</t>
  </si>
  <si>
    <t>HOU</t>
  </si>
  <si>
    <t>Conditioned %</t>
  </si>
  <si>
    <t>Lumens</t>
  </si>
  <si>
    <t>Watts</t>
  </si>
  <si>
    <t>Lifetime (years)</t>
  </si>
  <si>
    <t>Efficacy</t>
  </si>
  <si>
    <t>Cost</t>
  </si>
  <si>
    <t>Lifetime (Hours)</t>
  </si>
  <si>
    <t>Savings Adjustment</t>
  </si>
  <si>
    <t>Lifetime Adjustment</t>
  </si>
  <si>
    <t>Electric Adjustment</t>
  </si>
  <si>
    <t>Gas (therms per kWh)</t>
  </si>
  <si>
    <t>UEC baseline (kWh)</t>
  </si>
  <si>
    <t>UEC efficient (kWh)</t>
  </si>
  <si>
    <t>Savings - before adjustments (kWh)</t>
  </si>
  <si>
    <t>Savings - adjusted for Storage/Takeback/Removal (kWh)</t>
  </si>
  <si>
    <t>Savings - adjusted for HVAC (kWh)</t>
  </si>
  <si>
    <t>Gas Savings (therms)</t>
  </si>
  <si>
    <t>ANY</t>
  </si>
  <si>
    <t>ResLIGHT</t>
  </si>
  <si>
    <t>ResSHWX</t>
  </si>
  <si>
    <t>Data Availability</t>
  </si>
  <si>
    <t>RBSA (Baseline wattage, HOU, conditioned space)</t>
  </si>
  <si>
    <t>CFLs</t>
  </si>
  <si>
    <t>LEDs</t>
  </si>
  <si>
    <t>RBSA Lookup Name</t>
  </si>
  <si>
    <t>Efficient Lamp Lookup</t>
  </si>
  <si>
    <t>Energy Star QPL (efficacy, lifetime)</t>
  </si>
  <si>
    <t>Simple Steps (cost)</t>
  </si>
  <si>
    <t>Baseline, RBSA Presence</t>
  </si>
  <si>
    <t>NUMBER OF RECORDS</t>
  </si>
  <si>
    <t>LAMP WEIGHT</t>
  </si>
  <si>
    <t>LAMP WEIGHT PERCENTAGE</t>
  </si>
  <si>
    <t>LAMP WATTAGE</t>
  </si>
  <si>
    <t>LAMP COST</t>
  </si>
  <si>
    <t>LAMP HOU</t>
  </si>
  <si>
    <t>LAMP LIFETIME</t>
  </si>
  <si>
    <t>CONDITIONED SPACE PERCENTAGE</t>
  </si>
  <si>
    <t>LOOKUP NAME</t>
  </si>
  <si>
    <t>Lumen Bin</t>
  </si>
  <si>
    <t>Space Type</t>
  </si>
  <si>
    <t>Direct Install</t>
  </si>
  <si>
    <t xml:space="preserve"> </t>
  </si>
  <si>
    <t>Not Direct Install</t>
  </si>
  <si>
    <t>Any</t>
  </si>
  <si>
    <t>RBSA - Non-DI Measures</t>
  </si>
  <si>
    <t>Lookup Name</t>
  </si>
  <si>
    <t>Number of Records</t>
  </si>
  <si>
    <t>Lamp Weight</t>
  </si>
  <si>
    <t>Lamp Weight Percentage</t>
  </si>
  <si>
    <t>Lamp Wattage</t>
  </si>
  <si>
    <t>Lamp Cost</t>
  </si>
  <si>
    <t>Life</t>
  </si>
  <si>
    <t>Conditioned</t>
  </si>
  <si>
    <t>RBSA - DI Measures</t>
  </si>
  <si>
    <t>LookupName</t>
  </si>
  <si>
    <t>Moderate and High-use Interior</t>
  </si>
  <si>
    <t>Low-use Interior</t>
  </si>
  <si>
    <t>Exterior</t>
  </si>
  <si>
    <t>Efficient Case - Simple Steps</t>
  </si>
  <si>
    <t>Tech Type</t>
  </si>
  <si>
    <t>Lamp Lumens</t>
  </si>
  <si>
    <t>Efficient Case - Energy Star QPL</t>
  </si>
  <si>
    <t>Simple Steps</t>
  </si>
  <si>
    <t>Energy Star</t>
  </si>
  <si>
    <t>Either</t>
  </si>
  <si>
    <t>Lookup Names</t>
  </si>
  <si>
    <t>Availability</t>
  </si>
  <si>
    <t>Technology</t>
  </si>
  <si>
    <t>250 to 664 lumens 
(45W eqv)</t>
  </si>
  <si>
    <t>665 to 1439 lumens 
(60 and 75W eqv)</t>
  </si>
  <si>
    <t>1440 to 2600 lumens 
(100W eqv)</t>
  </si>
  <si>
    <t xml:space="preserve">Note: RTF staff discussed this approach with Jason Tuenge on April 22, 2014. Tuenge recommended assuming 70 l/W for all LED categories, because the confidence bands (using the Energy Star QPL) for most lumen categories and lamp types contain this point.  Staff re-reviewed the Energy Star QPL, program data, and products available online, and still thought that there were distinctions in efficacy by product type and lamp type.  The difference in savings by using the efficacies used in the analysis, and using 70 l/W for all LEDs was less than 10% for almost all measure categories. </t>
  </si>
  <si>
    <t>CFL and LED Efficacy, Simple Steps</t>
  </si>
  <si>
    <t>Jason Tuenge, "SSL Pricing and Efficacy Trend Analysis for Utility Program Planning", PNNL 22908, October 2013</t>
  </si>
  <si>
    <t>http://apps1.eere.energy.gov/buildings/publications/pdfs/ssl/ssl_trend-analysis_2013.pdf</t>
  </si>
  <si>
    <t>2014 efficacy</t>
  </si>
  <si>
    <t>Average if both values exist, otherwise, use single value if it exists</t>
  </si>
  <si>
    <t>http://earthled.com/products/switch-switch-3-way-led-light-bulb?utm_source=googlepla&amp;utm_medium=cpc&amp;gclid=CJPS7K3W0r0CFdBqfgodRRAASQ#.U0Ta-_ldWaQ</t>
  </si>
  <si>
    <t>watts</t>
  </si>
  <si>
    <t>lumens</t>
  </si>
  <si>
    <t>efficacy</t>
  </si>
  <si>
    <t>http://www.amazon.com/EcoSmart-10-Watt-3-Way-White-018564/dp/B00GOMFSTG/ref=sr_1_1?ie=UTF8&amp;qid=1397021529&amp;sr=8-1&amp;keywords=led+3+way+bulb</t>
  </si>
  <si>
    <t>Fill in gaps</t>
  </si>
  <si>
    <t>Note: At the April 23, 2014 RTF meeting, the RTF voted to not include UES values for product categories with no products in the Energy Star Qualified Product List or in Programs.</t>
  </si>
  <si>
    <t>http://www.amazon.com/SWITCH-Lighting-A23WY1FUS27A4-R-Classic-Replacement/dp/B00CF6J3EG/ref=sr_1_2?ie=UTF8&amp;qid=1397021529&amp;sr=8-2&amp;keywords=led+3+way+bulb#productDetails</t>
  </si>
  <si>
    <t>[no products]</t>
  </si>
  <si>
    <t>CFL - Use 90% of General Purpose efficacy for Decorative and Globe, 1440 to 2600 lumen categories</t>
  </si>
  <si>
    <t>LED - use PNNL 2014 forecast for the two higher lumen categories</t>
  </si>
  <si>
    <t>LED - for 1440 to 2600 lumen GP and Globe, use existing product specs (~85 l/W)</t>
  </si>
  <si>
    <t>Sources for High-Lumen General Purpose LEDs</t>
  </si>
  <si>
    <t>http://www.homedepot.com/p/Cree-100W-Equivalent-Soft-White-2700K-A21-Dimmable-LED-Light-Bulb-5-Pack-BA21-16027OMF-12DE26-1U100/205083140</t>
  </si>
  <si>
    <t>CFL and LED Efficacy Lookup Table</t>
  </si>
  <si>
    <t>Efficacy (l/W)</t>
  </si>
  <si>
    <t>http://www.homedepot.com/p/Philips-100W-Equivalent-Soft-White-2700K-A21-Household-Dimmable-LED-Light-Bulb-E-424432/203675471</t>
  </si>
  <si>
    <t>Average</t>
  </si>
  <si>
    <t>CFL and LED Costs, Simple Steps</t>
  </si>
  <si>
    <t>Fill in gaps and adjust</t>
  </si>
  <si>
    <t>CFL - use max of existing categories to fill in for missing category</t>
  </si>
  <si>
    <t>CFL Globe - use max of existing categories to fill in for missing category</t>
  </si>
  <si>
    <t>LED - from PNNL, Decorative lamp cost are approximates twice GP lamp costs</t>
  </si>
  <si>
    <t>LED - from PNNL, GP Lamp cost reduces ~25% from 2013 to 2014</t>
  </si>
  <si>
    <t>LED - use current product specs to estimate this cost of GP and Globe in 1440 to 2600 lumen category</t>
  </si>
  <si>
    <t>LED - from PNNL, Reflector lamp cost are approximates 1.5x GP lamp costs</t>
  </si>
  <si>
    <t>LED - assume three-way lamp costs same as reflector</t>
  </si>
  <si>
    <t>Deflator</t>
  </si>
  <si>
    <t>Source: RTF Standard Information Workbook v1.6</t>
  </si>
  <si>
    <t>Use program data to determine how to adjust retail costs to other delivery mechanisms</t>
  </si>
  <si>
    <t>Data on the BPA Simple Steps program, provided by Ryan Crews, Fluid Market Strategies, used for RTF CFL analysis, version 3.0</t>
  </si>
  <si>
    <t>Direct Mail (cost includes material cost of lamps)</t>
  </si>
  <si>
    <t>Program Bulk Purchase</t>
  </si>
  <si>
    <t>Type</t>
  </si>
  <si>
    <t>Watts (Avg)</t>
  </si>
  <si>
    <t>Cost Min</t>
  </si>
  <si>
    <t>Cost Max</t>
  </si>
  <si>
    <t>Cost Avg</t>
  </si>
  <si>
    <t>Retail Cost</t>
  </si>
  <si>
    <t>Bulk/Retail Cost Ratio</t>
  </si>
  <si>
    <t>Install and admin cost</t>
  </si>
  <si>
    <t>product volume</t>
  </si>
  <si>
    <t>Distribution Cost (4 lamp)</t>
  </si>
  <si>
    <t>Distribution Cost (10 lamp)</t>
  </si>
  <si>
    <t>Product Volume</t>
  </si>
  <si>
    <t>Admin fee</t>
  </si>
  <si>
    <t>Spiral</t>
  </si>
  <si>
    <t>13 to 14</t>
  </si>
  <si>
    <t>18 to 20</t>
  </si>
  <si>
    <t>14 to 15</t>
  </si>
  <si>
    <t>Reflector</t>
  </si>
  <si>
    <t>15 to 16</t>
  </si>
  <si>
    <t>Candelabra</t>
  </si>
  <si>
    <t>9 to 11</t>
  </si>
  <si>
    <t>A-Lamp</t>
  </si>
  <si>
    <t>May be an additional lift gate fee of $40 to $75. Shipping typically free.</t>
  </si>
  <si>
    <t>weighted average</t>
  </si>
  <si>
    <t>average cost per lamp - general purpose</t>
  </si>
  <si>
    <t>average admin fee</t>
  </si>
  <si>
    <t>weighted average (2006$)</t>
  </si>
  <si>
    <t>average cost per lamp - specialty</t>
  </si>
  <si>
    <t>2012$ to 2006$ deflator</t>
  </si>
  <si>
    <t>Findings:</t>
  </si>
  <si>
    <t>Bulk CFL costs are this percentage of retail CFL costs</t>
  </si>
  <si>
    <t>Direct install installation and administration adds this much to the lamp cost</t>
  </si>
  <si>
    <t>Mailing adds about this much cost per lamp</t>
  </si>
  <si>
    <t>Administrative fees for give-away programs are approximately this much per lamp</t>
  </si>
  <si>
    <t>Bulk LED costs are not lower than retail LED costs (see ResLightingLED_v3_0.xlsx, sheet "LED Cost")</t>
  </si>
  <si>
    <t>CFL and LED Cost Lookup Table</t>
  </si>
  <si>
    <t>Bulk</t>
  </si>
  <si>
    <t>NEEA Socket Count</t>
  </si>
  <si>
    <t>Mail by Request</t>
  </si>
  <si>
    <t>Unsolicited Mailing</t>
  </si>
  <si>
    <t>Give-Away</t>
  </si>
  <si>
    <t>Data</t>
  </si>
  <si>
    <t>Rated Hours</t>
  </si>
  <si>
    <t>Compact Fluorescent, rated</t>
  </si>
  <si>
    <t>Average Energy Star rating</t>
  </si>
  <si>
    <t>Adjusted for in situ conditions (see below)</t>
  </si>
  <si>
    <t>Halogen</t>
  </si>
  <si>
    <t>EISA minimum</t>
  </si>
  <si>
    <t>Incandescent</t>
  </si>
  <si>
    <t>http://www.energystar.gov/index.cfm?c=cfls.pr_crit_cfls</t>
  </si>
  <si>
    <t>Maximum Lamp Life (years)</t>
  </si>
  <si>
    <t>Restriction for uncertainty in how long long-life lamps persist in sockets (failure, removal)</t>
  </si>
  <si>
    <t>Table 4: Average Normalized CFL Lamp Life for Monitored Lamps, by Location</t>
  </si>
  <si>
    <t>All Homes</t>
  </si>
  <si>
    <t>Single Family Detached</t>
  </si>
  <si>
    <t>N Loggers</t>
  </si>
  <si>
    <t>Low (E)</t>
  </si>
  <si>
    <t>Middle (C1,E)</t>
  </si>
  <si>
    <t>High (C1)</t>
  </si>
  <si>
    <t>All Room Types</t>
  </si>
  <si>
    <t>Bathroom</t>
  </si>
  <si>
    <t>Bedroom</t>
  </si>
  <si>
    <t>Closet</t>
  </si>
  <si>
    <t>Dining Room</t>
  </si>
  <si>
    <t>Family Room</t>
  </si>
  <si>
    <t>Garage</t>
  </si>
  <si>
    <t>Hall</t>
  </si>
  <si>
    <t>Kitchen</t>
  </si>
  <si>
    <t>Laundry Room</t>
  </si>
  <si>
    <t>Living Room</t>
  </si>
  <si>
    <t>Master Bedroom</t>
  </si>
  <si>
    <t>Office</t>
  </si>
  <si>
    <t>* Added room types to match RBSA data</t>
  </si>
  <si>
    <t>Source:</t>
  </si>
  <si>
    <t>Welcome to the Dark Side: The Effect of Switching on CFL Measure Life</t>
  </si>
  <si>
    <t>Corina Jump, Itron, Inc.</t>
  </si>
  <si>
    <t>James J. Hirsch, James J. Hirsch and Associates</t>
  </si>
  <si>
    <t>Jane Peters and Dulane Moran, Research Into Action, Inc.</t>
  </si>
  <si>
    <t>2008 ACEEE Summer Study</t>
  </si>
  <si>
    <t>Measure Lifetime</t>
  </si>
  <si>
    <t>Measure lifetime and role of storage was discussed at the October 15, 2013 RTF meeting.</t>
  </si>
  <si>
    <t xml:space="preserve">The RTF decided that measure life for CFLs should be as defined in the Guidelines, "Measure lifetime is defined as the median number of years during which at least half the deliveries of a measure are in place and operable, i.e., produce savings." (Lifetime Guidelines, Section 1.2.2)
</t>
  </si>
  <si>
    <t xml:space="preserve">Source: Review of Massachusetts tracking data. Lynn Hoefgen et al., 2013, “Study It ‘til You’re Sick of It: CFL Research as an Example of Other Efficiency Markets”, 2013 International Energy Program Evaluation Conference.
</t>
  </si>
  <si>
    <t>Assume that stored lamps get installed in equal quantities after 1,2, and 3 years of receipt.</t>
  </si>
  <si>
    <t>Lamps Installed at Time of Receipt</t>
  </si>
  <si>
    <t>After 1 year</t>
  </si>
  <si>
    <t>After 2 years</t>
  </si>
  <si>
    <t>After 3 years</t>
  </si>
  <si>
    <t>All lamps</t>
  </si>
  <si>
    <t>Year after Purchase</t>
  </si>
  <si>
    <t>Failure Rate</t>
  </si>
  <si>
    <t>Lamps Remaining</t>
  </si>
  <si>
    <t>Storage Rate</t>
  </si>
  <si>
    <t>The net effect of the storage delay is to shift the time to 50% survival from 5.5 to 6 years.</t>
  </si>
  <si>
    <t>Lifetime extension</t>
  </si>
  <si>
    <t>for all measures subject to the 24% storage rate, a 9% lifetime extension is applied.</t>
  </si>
  <si>
    <t>Natural Gas Interaction</t>
  </si>
  <si>
    <t>% SpHtInteraction</t>
  </si>
  <si>
    <t>% GasSpHt Share</t>
  </si>
  <si>
    <t>Gas Heating System Efficiency</t>
  </si>
  <si>
    <t>Interaction</t>
  </si>
  <si>
    <t>conversion (therms/kWh)</t>
  </si>
  <si>
    <t>Interaction (therms/kWh)</t>
  </si>
  <si>
    <t>Interior</t>
  </si>
  <si>
    <t>Weighted Average</t>
  </si>
  <si>
    <t>% Lighting</t>
  </si>
  <si>
    <t>Heating</t>
  </si>
  <si>
    <t>Heating System Type</t>
  </si>
  <si>
    <r>
      <t xml:space="preserve">Ratio: </t>
    </r>
    <r>
      <rPr>
        <u/>
        <sz val="9"/>
        <color theme="1"/>
        <rFont val="Consolas"/>
        <family val="3"/>
      </rPr>
      <t xml:space="preserve">Space Cond. Electric Savings
</t>
    </r>
    <r>
      <rPr>
        <sz val="10"/>
        <rFont val="Arial"/>
        <family val="2"/>
      </rPr>
      <t xml:space="preserve">       Lighting System Savings</t>
    </r>
  </si>
  <si>
    <t>7th Plan (proposed)</t>
  </si>
  <si>
    <t>6th Plan (existing)</t>
  </si>
  <si>
    <t>Weighting (7th Plan)</t>
  </si>
  <si>
    <t>eZon</t>
  </si>
  <si>
    <t>eFAF</t>
  </si>
  <si>
    <t>Hpmp</t>
  </si>
  <si>
    <t>Non-Electric</t>
  </si>
  <si>
    <t>Cooling</t>
  </si>
  <si>
    <t>Cooling Zone</t>
  </si>
  <si>
    <t>Cooling Saturation</t>
  </si>
  <si>
    <t>Weighted and Combined</t>
  </si>
  <si>
    <r>
      <t xml:space="preserve">Ratio: </t>
    </r>
    <r>
      <rPr>
        <u/>
        <sz val="9"/>
        <color theme="1"/>
        <rFont val="Consolas"/>
        <family val="3"/>
      </rPr>
      <t>Space Cond. Electric Savings</t>
    </r>
    <r>
      <rPr>
        <sz val="10"/>
        <rFont val="Arial"/>
        <family val="2"/>
      </rPr>
      <t xml:space="preserve">
       Lighting System Savings</t>
    </r>
  </si>
  <si>
    <t>Combined</t>
  </si>
  <si>
    <t>Interior Only</t>
  </si>
  <si>
    <t>Removal, Takeback, and Storage Rates</t>
  </si>
  <si>
    <t>Removal Rate</t>
  </si>
  <si>
    <t>Takeback Rate</t>
  </si>
  <si>
    <t>Unsolicited Mailing limited to 4 lamps or less per household</t>
  </si>
  <si>
    <t>Removal Rate: 2% for all channels except NEEA Socket Count</t>
  </si>
  <si>
    <t>KEMA, Inc., "ENERGY STAR Consumer Products Program - Market Progress Evaluation Report", prepared for the Northwest Energy Efficiency Alliance, July 2007.  Report #07-174</t>
  </si>
  <si>
    <t>http://neea.org/docs/reports/energy-star-consumer-products-market-progress-evaluation-report-e07-174.pdf?sfvrsn=7</t>
  </si>
  <si>
    <t>This report shows a 4% removal rate, but some of this is due to natural EUL, and some is due to removal prior to failure.  RTF staff assume 1/2 of lamps (i.e., 2% of all lamps) are removed prior to failure.</t>
  </si>
  <si>
    <t>Storage Rate: 24% for all CFL delivery mechanisms except Direct Install and for LED Unsolicited Mailing and Give-Away, 0% for all other delivery channels.</t>
  </si>
  <si>
    <t>Ecotope Inc., "2011 Residential Building Stock Assessment: Single-Family Characteristics and Energy Use", prepared fro the Northwest Energy Efficiency Alliance, September 2012.</t>
  </si>
  <si>
    <t>http://neea.org/docs/default-source/reports/residential-building-stock-assessment-single-family-characteristics-and-energy-use.pdf?sfvrsn=10</t>
  </si>
  <si>
    <t>24% based on the 2012 RBSA single family CFL storage rates. (see Table 84)</t>
  </si>
  <si>
    <t>Storage Rate is used for all CFL delivery mechanisms where the participant is in possession of the lamps before they are installed.  This is based on the findings in the study, which were agnostic to delivery mechanism.  Because LEDs are a more expensive product, they are more likely to be installed when they are obtained.  The storage rate is retained for LEDs for the two delivery mechanisms where the participant is least invested in receiving them: Unsolicited Mailing and Give-Away.</t>
  </si>
  <si>
    <t xml:space="preserve">Takeback Rate: 0% by RTF precedence April 6, 2010 because of a lack of evidence for this phenomenon. </t>
  </si>
  <si>
    <t>DNV KEMA, 2013, "2012-2013 Northwest Residential Lighting Market Tracking Study", for NEEA</t>
  </si>
  <si>
    <t>http://neea.org/docs/default-source/reports/2012-2013-northwest-residential-lighting-market-tracking-study.pdf?sfvrsn=10</t>
  </si>
  <si>
    <t>This report summarizes articles addressing this topic since 2010, and recommends a value of 5%. However, full references to the cited analyses are not provided in the report.</t>
  </si>
  <si>
    <t>An additional data source on CFLs distributed by mail  is:
Research Into Action, 2010, "Lighting Program Assessment: Residential Direct Distribution - Final Report", prepared for BPA</t>
  </si>
  <si>
    <t>http://www.bpa.gov/energy/n/reports/evaluation/pdf/Residential_CFL_Final.pdf</t>
  </si>
  <si>
    <t>Expanded version of Table 3.3, provide by BPA to RTF on 9/19/2011</t>
  </si>
  <si>
    <t>Share of Sample</t>
  </si>
  <si>
    <t>CFLS Shipped per household</t>
  </si>
  <si>
    <t>Number of households</t>
  </si>
  <si>
    <t>Customer request?</t>
  </si>
  <si>
    <t>What was shipped?</t>
  </si>
  <si>
    <t>Reported Installation</t>
  </si>
  <si>
    <t>Installation Rate</t>
  </si>
  <si>
    <t>Utility</t>
  </si>
  <si>
    <t>No Bulbs (Percent)</t>
  </si>
  <si>
    <t>Some Bulbs</t>
  </si>
  <si>
    <t>All Bulbs (Percent)</t>
  </si>
  <si>
    <t>Average Number</t>
  </si>
  <si>
    <t>Current¹ (Percent)</t>
  </si>
  <si>
    <t>Projected² (Percent)</t>
  </si>
  <si>
    <t>(Percent)</t>
  </si>
  <si>
    <t>no</t>
  </si>
  <si>
    <t>All standard twister</t>
  </si>
  <si>
    <t>All standard twisters</t>
  </si>
  <si>
    <t>8 standard twister, 4 specialty</t>
  </si>
  <si>
    <t>8 twisters and 6 specialty</t>
  </si>
  <si>
    <t>10 twisters, 12 specialty.</t>
  </si>
  <si>
    <t>Savings and Lifetime Adjustments</t>
  </si>
  <si>
    <t>(see "Lifetime" sheet for determination of lifetime extension due to storage)</t>
  </si>
  <si>
    <t>Lookup</t>
  </si>
  <si>
    <t>Removal</t>
  </si>
  <si>
    <t>Takeback</t>
  </si>
  <si>
    <t>Storage</t>
  </si>
  <si>
    <t>SOURCE:</t>
  </si>
  <si>
    <t>'\\nas2\Q\SeventhPlan\Conservation Analysis\Res\Res Lighting\[Res Lighting_Heating and Cooling Interaction_rev.xlsm]Summary'!$B12</t>
  </si>
  <si>
    <t>GDP Deflator (2013 to 2012)</t>
  </si>
  <si>
    <t>Adjust from 2013$ to 2012$</t>
  </si>
  <si>
    <t>Cost (2012$)</t>
  </si>
  <si>
    <t>Apply projected efficacy improvements/cost decreases per PNNL report</t>
  </si>
  <si>
    <t>from RTF workbook</t>
  </si>
  <si>
    <t>based on PNL work</t>
  </si>
  <si>
    <t>LED Lighting</t>
  </si>
  <si>
    <t>R-All-Lgt-Lighting-All-All-R</t>
  </si>
  <si>
    <t>R-All-HVAC-ER-All-All-E</t>
  </si>
  <si>
    <t>2016 - LEDDecorative and Mini-Base250 to 664 lumensANY</t>
  </si>
  <si>
    <t>LEDDecorative and Mini-Base250 to 664 lumensANY</t>
  </si>
  <si>
    <t>2016 - LEDDecorative and Mini-Base665 to 1439 lumensANY</t>
  </si>
  <si>
    <t>LEDDecorative and Mini-Base665 to 1439 lumensANY</t>
  </si>
  <si>
    <t>2016 - LEDDecorative and Mini-Base1440 to 2600 lumensANY</t>
  </si>
  <si>
    <t>LEDDecorative and Mini-Base1440 to 2600 lumensANY</t>
  </si>
  <si>
    <t>2016 - LEDGeneral Purpose and Dimmable250 to 664 lumensANY</t>
  </si>
  <si>
    <t>LEDGeneral Purpose and Dimmable250 to 664 lumensANY</t>
  </si>
  <si>
    <t>2016 - LEDGeneral Purpose and Dimmable665 to 1439 lumensANY</t>
  </si>
  <si>
    <t>LEDGeneral Purpose and Dimmable665 to 1439 lumensANY</t>
  </si>
  <si>
    <t>2016 - LEDGeneral Purpose and Dimmable1440 to 2600 lumensANY</t>
  </si>
  <si>
    <t>LEDGeneral Purpose and Dimmable1440 to 2600 lumensANY</t>
  </si>
  <si>
    <t>2016 - LEDGlobe250 to 664 lumensANY</t>
  </si>
  <si>
    <t>LEDGlobe250 to 664 lumensANY</t>
  </si>
  <si>
    <t>2016 - LEDGlobe665 to 1439 lumensANY</t>
  </si>
  <si>
    <t>LEDGlobe665 to 1439 lumensANY</t>
  </si>
  <si>
    <t>2016 - LEDGlobe1440 to 2600 lumensANY</t>
  </si>
  <si>
    <t>LEDGlobe1440 to 2600 lumensANY</t>
  </si>
  <si>
    <t>2016 - LEDReflectors and Outdoor250 to 664 lumensANY</t>
  </si>
  <si>
    <t>LEDReflectors and Outdoor250 to 664 lumensANY</t>
  </si>
  <si>
    <t>2016 - LEDReflectors and Outdoor665 to 1439 lumensANY</t>
  </si>
  <si>
    <t>LEDReflectors and Outdoor665 to 1439 lumensANY</t>
  </si>
  <si>
    <t>2016 - LEDReflectors and Outdoor1440 to 2600 lumensANY</t>
  </si>
  <si>
    <t>LEDReflectors and Outdoor1440 to 2600 lumensANY</t>
  </si>
  <si>
    <t>2016 - LEDThree-Way250 to 664 lumensANY</t>
  </si>
  <si>
    <t>LEDThree-Way250 to 664 lumensANY</t>
  </si>
  <si>
    <t>2016 - LEDThree-Way665 to 1439 lumensANY</t>
  </si>
  <si>
    <t>LEDThree-Way665 to 1439 lumensANY</t>
  </si>
  <si>
    <t>2016 - LEDThree-Way1440 to 2600 lumensANY</t>
  </si>
  <si>
    <t>LEDThree-Way1440 to 2600 lumensANY</t>
  </si>
  <si>
    <t>2017 - LEDDecorative and Mini-Base250 to 664 lumensANY</t>
  </si>
  <si>
    <t>2017 - LEDDecorative and Mini-Base665 to 1439 lumensANY</t>
  </si>
  <si>
    <t>2017 - LEDDecorative and Mini-Base1440 to 2600 lumensANY</t>
  </si>
  <si>
    <t>2017 - LEDGeneral Purpose and Dimmable250 to 664 lumensANY</t>
  </si>
  <si>
    <t>2017 - LEDGeneral Purpose and Dimmable665 to 1439 lumensANY</t>
  </si>
  <si>
    <t>2017 - LEDGeneral Purpose and Dimmable1440 to 2600 lumensANY</t>
  </si>
  <si>
    <t>2017 - LEDGlobe250 to 664 lumensANY</t>
  </si>
  <si>
    <t>2017 - LEDGlobe665 to 1439 lumensANY</t>
  </si>
  <si>
    <t>2017 - LEDGlobe1440 to 2600 lumensANY</t>
  </si>
  <si>
    <t>2017 - LEDReflectors and Outdoor250 to 664 lumensANY</t>
  </si>
  <si>
    <t>2017 - LEDReflectors and Outdoor665 to 1439 lumensANY</t>
  </si>
  <si>
    <t>2017 - LEDReflectors and Outdoor1440 to 2600 lumensANY</t>
  </si>
  <si>
    <t>2017 - LEDThree-Way250 to 664 lumensANY</t>
  </si>
  <si>
    <t>2017 - LEDThree-Way665 to 1439 lumensANY</t>
  </si>
  <si>
    <t>2017 - LEDThree-Way1440 to 2600 lumensANY</t>
  </si>
  <si>
    <t>Bulb Type</t>
  </si>
  <si>
    <t>Remove "retail" from name</t>
  </si>
  <si>
    <t>Savings Allocation by Cost Bin and Month for Segments 1</t>
  </si>
  <si>
    <t>Savings Allocation by Cost Bin and Month for Segments 2</t>
  </si>
  <si>
    <t>Savings Allocation by Category and Month for Segments 1</t>
  </si>
  <si>
    <t>Savings Allocation by Category and Month for Segments 2</t>
  </si>
  <si>
    <t>Wholesale KW</t>
  </si>
  <si>
    <t>LED replacement of general service and specialty lighting</t>
  </si>
  <si>
    <t>This workbook only includes savings from 45 lumens/watt (EISA 2020 standard); 2016-2019 savings introduced in PPA</t>
  </si>
  <si>
    <t>Only LEDs considered</t>
  </si>
  <si>
    <t>Based on RTF approach to delta_Watts*HOU</t>
  </si>
  <si>
    <t>To be updated based on NEEA survey</t>
  </si>
  <si>
    <t>All light bulbs in house</t>
  </si>
  <si>
    <t>HVAC interaction based on SEEM calc</t>
  </si>
  <si>
    <t>12 yrs max</t>
  </si>
  <si>
    <t>New/NR - LO 20Fast; Retro 10% remain</t>
  </si>
  <si>
    <t>ResLightingCFLandLEDLamps_v3_3</t>
  </si>
  <si>
    <t>proxy 5% for existing, 10% for new homes</t>
  </si>
  <si>
    <t>2016 LEDs have lower efficacy, higher cost than 2017-2035 units</t>
  </si>
  <si>
    <t>cost/efficacy changes based on PNNL study on projections</t>
  </si>
  <si>
    <t>RTF, projected to 2016 and 2017+</t>
  </si>
  <si>
    <t>res lighting</t>
  </si>
  <si>
    <t>from RBSA</t>
  </si>
  <si>
    <t>new from RBSA</t>
  </si>
  <si>
    <t>Block 2: 0-10 mills/kWh</t>
  </si>
  <si>
    <t>Cost and efficicacy trends from PNNL paper.</t>
  </si>
  <si>
    <t>SSL Trend Analysis 2013 Tuenge</t>
  </si>
  <si>
    <t>savingsYear</t>
  </si>
  <si>
    <t>BPA Sector</t>
  </si>
  <si>
    <t>BPA EndUse</t>
  </si>
  <si>
    <t>BPA Category</t>
  </si>
  <si>
    <t>BPA TAP</t>
  </si>
  <si>
    <t>SumOfkWhBusbar</t>
  </si>
  <si>
    <t>SumOfaMWBusbar</t>
  </si>
  <si>
    <t>Residential</t>
  </si>
  <si>
    <t>Lamps/Fixtures</t>
  </si>
  <si>
    <t>Fixtures</t>
  </si>
  <si>
    <t>Lamps</t>
  </si>
  <si>
    <t>Unknown</t>
  </si>
  <si>
    <t>Lighting Controls</t>
  </si>
  <si>
    <t>Ramp Rate</t>
  </si>
  <si>
    <t>Resource Type</t>
  </si>
  <si>
    <t>Measure Category</t>
  </si>
  <si>
    <t>Sector</t>
  </si>
  <si>
    <t>End Use</t>
  </si>
  <si>
    <t>kW per unit</t>
  </si>
  <si>
    <t>kWh per unit</t>
  </si>
  <si>
    <t>TRC Net Levelized Cost (Net of All Benefits)</t>
  </si>
  <si>
    <t>per bulb savings</t>
  </si>
  <si>
    <t>End Use:</t>
  </si>
  <si>
    <t>INCLUDE IN NR (2), as will happen with projected cost/savings</t>
  </si>
  <si>
    <t>INCLUDES 2016 New (SC-NEW) stock in year 9</t>
  </si>
  <si>
    <t>Total Max Potential (aMW)</t>
  </si>
  <si>
    <t>Average Watts per Lumen Bin</t>
  </si>
  <si>
    <t>Application</t>
  </si>
  <si>
    <t>1490-2600</t>
  </si>
  <si>
    <t>1050-1489</t>
  </si>
  <si>
    <t>750-1049</t>
  </si>
  <si>
    <t>310-749</t>
  </si>
  <si>
    <t>&lt;310 Lumens</t>
  </si>
  <si>
    <t>&gt;2600 Lumens</t>
  </si>
  <si>
    <t>3-WAY</t>
  </si>
  <si>
    <t>Not listed</t>
  </si>
  <si>
    <t>General Purpose</t>
  </si>
  <si>
    <t>Globe and Decorative</t>
  </si>
  <si>
    <t>NA</t>
  </si>
  <si>
    <t> Technology Mix by Lumen bin and Application:</t>
  </si>
  <si>
    <t>&lt;310 LUMENS</t>
  </si>
  <si>
    <t>&gt;2600 LUMENS</t>
  </si>
  <si>
    <t>NOT LISTED</t>
  </si>
  <si>
    <t>EISA Bins Average</t>
  </si>
  <si>
    <t>Overall Average</t>
  </si>
  <si>
    <t>CF</t>
  </si>
  <si>
    <t>H</t>
  </si>
  <si>
    <t>I</t>
  </si>
  <si>
    <t>Grand Total</t>
  </si>
  <si>
    <t>From Cadeo Group 3/25/15</t>
  </si>
  <si>
    <t>based on NEEA shelf data collected Dec 2014/Jan 2015</t>
  </si>
  <si>
    <t>THESE HAVE BEEN UPDATED FROM RTF BASED ON NEEA SHELF DATA</t>
  </si>
  <si>
    <t>NOTE: MAPPING TO LUMEN BINS IS APPROX</t>
  </si>
  <si>
    <t>RTF</t>
  </si>
  <si>
    <t>NEEA Shelf</t>
  </si>
  <si>
    <t>Row Labels</t>
  </si>
  <si>
    <t>1490-2600 lumens</t>
  </si>
  <si>
    <t>1050-1489 lumens</t>
  </si>
  <si>
    <t>750-1049 lumens</t>
  </si>
  <si>
    <t>310-749 lumens</t>
  </si>
  <si>
    <t>&lt;310 lumens</t>
  </si>
  <si>
    <t>&gt;2600 lumens</t>
  </si>
  <si>
    <t>Lumen category mapping</t>
  </si>
  <si>
    <t>Shelf data</t>
  </si>
  <si>
    <t>Wednesday, 25 March , 2015 at 4:48 PM</t>
  </si>
  <si>
    <t>Q:\SeventhPlan\Conservation Analysis\Global EE Inputs\MC Files\MC_AND_LOADSHAPE_v3.0_24segment-7P-D9 - NewSegValues.xlsx</t>
  </si>
</sst>
</file>

<file path=xl/styles.xml><?xml version="1.0" encoding="utf-8"?>
<styleSheet xmlns="http://schemas.openxmlformats.org/spreadsheetml/2006/main">
  <numFmts count="20">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00"/>
    <numFmt numFmtId="165" formatCode="m/d/\ h:mm"/>
    <numFmt numFmtId="166" formatCode="0.0"/>
    <numFmt numFmtId="167" formatCode="0.00000000000000"/>
    <numFmt numFmtId="168" formatCode="0.000000"/>
    <numFmt numFmtId="169" formatCode="0.0000"/>
    <numFmt numFmtId="170" formatCode="&quot;$&quot;#,##0.00"/>
    <numFmt numFmtId="171" formatCode="_(* #,##0.00_);_(* \(#,##0.00\);_(* &quot;-&quot;?_);_(@_)"/>
    <numFmt numFmtId="172" formatCode="mmm\-yyyy"/>
    <numFmt numFmtId="173" formatCode="0.0;[Red]\-0.0"/>
    <numFmt numFmtId="174" formatCode="\ "/>
    <numFmt numFmtId="175" formatCode="_(* #,##0_);_(* \(#,##0\);_(* &quot;-&quot;??_);_(@_)"/>
    <numFmt numFmtId="176" formatCode="_(* #,##0.000_);_(* \(#,##0.000\);_(* &quot;-&quot;??_);_(@_)"/>
    <numFmt numFmtId="177" formatCode="0.000000000000000%"/>
    <numFmt numFmtId="178" formatCode="_(* #,##0.0_);_(* \(#,##0.0\);_(* &quot;-&quot;?_);_(@_)"/>
  </numFmts>
  <fonts count="9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1"/>
      <color theme="1"/>
      <name val="Calibri"/>
      <family val="2"/>
      <scheme val="minor"/>
    </font>
    <font>
      <b/>
      <sz val="11"/>
      <color indexed="8"/>
      <name val="Calibri"/>
      <family val="2"/>
    </font>
    <font>
      <u/>
      <sz val="10"/>
      <color theme="10"/>
      <name val="Arial"/>
      <family val="2"/>
    </font>
    <font>
      <sz val="11"/>
      <color indexed="8"/>
      <name val="Calibri"/>
      <family val="2"/>
    </font>
    <font>
      <b/>
      <sz val="10"/>
      <name val="Arial"/>
      <family val="2"/>
    </font>
    <font>
      <b/>
      <sz val="11"/>
      <color theme="1"/>
      <name val="Calibri"/>
      <family val="2"/>
      <scheme val="minor"/>
    </font>
    <font>
      <b/>
      <sz val="8"/>
      <color indexed="81"/>
      <name val="Tahoma"/>
      <family val="2"/>
    </font>
    <font>
      <sz val="8"/>
      <color indexed="81"/>
      <name val="Tahoma"/>
      <family val="2"/>
    </font>
    <font>
      <sz val="10"/>
      <name val="Times New Roman"/>
      <family val="1"/>
    </font>
    <font>
      <sz val="12"/>
      <name val="Times New Roman"/>
      <family val="1"/>
    </font>
    <font>
      <b/>
      <sz val="12"/>
      <name val="Times New Roman"/>
      <family val="1"/>
    </font>
    <font>
      <b/>
      <sz val="13"/>
      <color theme="3"/>
      <name val="Calibri"/>
      <family val="2"/>
      <scheme val="minor"/>
    </font>
    <font>
      <u/>
      <sz val="10"/>
      <color indexed="12"/>
      <name val="Arial"/>
      <family val="2"/>
    </font>
    <font>
      <u/>
      <sz val="10"/>
      <color indexed="12"/>
      <name val="Times New Roman"/>
      <family val="1"/>
    </font>
    <font>
      <u/>
      <sz val="10"/>
      <color rgb="FF0000FF"/>
      <name val="Calibri"/>
      <family val="2"/>
      <scheme val="minor"/>
    </font>
    <font>
      <u/>
      <sz val="11"/>
      <color theme="10"/>
      <name val="Calibri"/>
      <family val="2"/>
    </font>
    <font>
      <sz val="10"/>
      <name val="MS Sans Serif"/>
      <family val="2"/>
    </font>
    <font>
      <sz val="12"/>
      <name val="Arial"/>
      <family val="2"/>
    </font>
    <font>
      <sz val="10"/>
      <name val="Helv"/>
    </font>
    <font>
      <b/>
      <sz val="9"/>
      <color indexed="81"/>
      <name val="Tahoma"/>
      <family val="2"/>
    </font>
    <font>
      <sz val="9"/>
      <color indexed="81"/>
      <name val="Tahoma"/>
      <family val="2"/>
    </font>
    <font>
      <b/>
      <i/>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1"/>
      <color indexed="56"/>
      <name val="Calibri"/>
      <family val="2"/>
    </font>
    <font>
      <sz val="11"/>
      <color indexed="9"/>
      <name val="Calibri"/>
      <family val="2"/>
    </font>
    <font>
      <sz val="10"/>
      <color indexed="9"/>
      <name val="Arial"/>
      <family val="2"/>
    </font>
    <font>
      <sz val="11"/>
      <color indexed="20"/>
      <name val="Calibri"/>
      <family val="2"/>
    </font>
    <font>
      <b/>
      <sz val="11"/>
      <color indexed="52"/>
      <name val="Calibri"/>
      <family val="2"/>
    </font>
    <font>
      <b/>
      <sz val="11"/>
      <color indexed="9"/>
      <name val="Calibri"/>
      <family val="2"/>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u/>
      <sz val="7"/>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0"/>
      <name val="Helv"/>
      <charset val="204"/>
    </font>
    <font>
      <sz val="11"/>
      <color indexed="10"/>
      <name val="Calibri"/>
      <family val="2"/>
    </font>
    <font>
      <b/>
      <sz val="14"/>
      <color theme="1"/>
      <name val="Calibri"/>
      <family val="2"/>
      <scheme val="minor"/>
    </font>
    <font>
      <b/>
      <sz val="11"/>
      <name val="Calibri"/>
      <family val="2"/>
      <scheme val="minor"/>
    </font>
    <font>
      <sz val="11"/>
      <name val="Calibri"/>
      <family val="2"/>
      <scheme val="minor"/>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sz val="10"/>
      <color indexed="10"/>
      <name val="Arial"/>
      <family val="2"/>
    </font>
    <font>
      <b/>
      <sz val="10"/>
      <color theme="1"/>
      <name val="Arial"/>
      <family val="2"/>
    </font>
    <font>
      <sz val="11"/>
      <color theme="0" tint="-0.499984740745262"/>
      <name val="Calibri"/>
      <family val="2"/>
      <scheme val="minor"/>
    </font>
    <font>
      <sz val="10"/>
      <color theme="0" tint="-0.499984740745262"/>
      <name val="Arial"/>
      <family val="2"/>
    </font>
    <font>
      <b/>
      <sz val="10"/>
      <color theme="0" tint="-0.499984740745262"/>
      <name val="Arial"/>
      <family val="2"/>
    </font>
    <font>
      <u/>
      <sz val="8"/>
      <color theme="10"/>
      <name val="Arial"/>
      <family val="2"/>
    </font>
    <font>
      <sz val="9"/>
      <color theme="1"/>
      <name val="Calibri"/>
      <family val="2"/>
      <scheme val="minor"/>
    </font>
    <font>
      <sz val="10"/>
      <color rgb="FF000000"/>
      <name val="Arial Unicode MS"/>
      <family val="2"/>
    </font>
    <font>
      <i/>
      <sz val="10"/>
      <color rgb="FF000000"/>
      <name val="Arial"/>
      <family val="2"/>
    </font>
    <font>
      <b/>
      <sz val="16"/>
      <name val="Arial"/>
      <family val="2"/>
    </font>
    <font>
      <sz val="9"/>
      <name val="Consolas"/>
      <family val="3"/>
    </font>
    <font>
      <u/>
      <sz val="9"/>
      <color theme="1"/>
      <name val="Consolas"/>
      <family val="3"/>
    </font>
    <font>
      <b/>
      <sz val="9"/>
      <color theme="1"/>
      <name val="Consolas"/>
      <family val="3"/>
    </font>
    <font>
      <i/>
      <sz val="11"/>
      <color theme="1"/>
      <name val="Calibri"/>
      <family val="2"/>
      <scheme val="minor"/>
    </font>
    <font>
      <b/>
      <sz val="9"/>
      <color rgb="FF000000"/>
      <name val="Calibri"/>
      <family val="2"/>
    </font>
    <font>
      <sz val="9"/>
      <color rgb="FF000000"/>
      <name val="Calibri"/>
      <family val="2"/>
    </font>
    <font>
      <b/>
      <sz val="10"/>
      <color theme="0"/>
      <name val="Calibri"/>
      <family val="2"/>
      <scheme val="minor"/>
    </font>
    <font>
      <sz val="10"/>
      <color theme="1"/>
      <name val="Calibri"/>
      <family val="2"/>
      <scheme val="minor"/>
    </font>
    <font>
      <b/>
      <sz val="13"/>
      <color theme="3"/>
      <name val="Arial"/>
      <family val="2"/>
    </font>
    <font>
      <sz val="11"/>
      <name val="Calibri"/>
      <family val="2"/>
    </font>
    <font>
      <sz val="9"/>
      <color theme="1"/>
      <name val="Arial"/>
      <family val="2"/>
    </font>
    <font>
      <sz val="10"/>
      <name val="Verdana"/>
      <family val="2"/>
    </font>
    <font>
      <b/>
      <sz val="10"/>
      <color rgb="FF000000"/>
      <name val="Segoe UI"/>
      <family val="2"/>
    </font>
    <font>
      <sz val="10"/>
      <color rgb="FF000000"/>
      <name val="Segoe UI"/>
      <family val="2"/>
    </font>
    <font>
      <b/>
      <sz val="10"/>
      <color rgb="FF000000"/>
      <name val="Calibri"/>
      <family val="2"/>
    </font>
    <font>
      <sz val="10"/>
      <name val="Segoe UI"/>
      <family val="2"/>
    </font>
    <font>
      <sz val="11"/>
      <name val="Segoe UI"/>
      <family val="2"/>
    </font>
    <font>
      <b/>
      <sz val="11"/>
      <color rgb="FF000000"/>
      <name val="Calibri"/>
      <family val="2"/>
    </font>
    <font>
      <sz val="11"/>
      <color rgb="FF000000"/>
      <name val="Calibri"/>
      <family val="2"/>
    </font>
  </fonts>
  <fills count="9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43"/>
        <bgColor indexed="64"/>
      </patternFill>
    </fill>
    <fill>
      <patternFill patternType="solid">
        <fgColor rgb="FFFFC000"/>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indexed="3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57"/>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indexed="54"/>
      </patternFill>
    </fill>
    <fill>
      <patternFill patternType="solid">
        <fgColor indexed="46"/>
      </patternFill>
    </fill>
    <fill>
      <patternFill patternType="solid">
        <fgColor indexed="9"/>
      </patternFill>
    </fill>
    <fill>
      <patternFill patternType="solid">
        <fgColor theme="3"/>
        <bgColor indexed="64"/>
      </patternFill>
    </fill>
    <fill>
      <patternFill patternType="solid">
        <fgColor theme="6" tint="0.59999389629810485"/>
        <bgColor indexed="64"/>
      </patternFill>
    </fill>
    <fill>
      <patternFill patternType="solid">
        <fgColor indexed="6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FF"/>
        <bgColor indexed="64"/>
      </patternFill>
    </fill>
    <fill>
      <patternFill patternType="solid">
        <fgColor indexed="41"/>
        <bgColor indexed="64"/>
      </patternFill>
    </fill>
    <fill>
      <patternFill patternType="solid">
        <fgColor rgb="FF92D050"/>
        <bgColor indexed="64"/>
      </patternFill>
    </fill>
    <fill>
      <patternFill patternType="solid">
        <fgColor rgb="FFCC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14996795556505021"/>
        <bgColor indexed="64"/>
      </patternFill>
    </fill>
    <fill>
      <patternFill patternType="solid">
        <fgColor rgb="FFFFF2CC"/>
        <bgColor indexed="64"/>
      </patternFill>
    </fill>
    <fill>
      <patternFill patternType="solid">
        <fgColor rgb="FFFCE4D6"/>
        <bgColor indexed="64"/>
      </patternFill>
    </fill>
    <fill>
      <patternFill patternType="solid">
        <fgColor rgb="FFC6E0B4"/>
        <bgColor indexed="64"/>
      </patternFill>
    </fill>
    <fill>
      <patternFill patternType="solid">
        <fgColor rgb="FFB4C6E7"/>
        <bgColor indexed="64"/>
      </patternFill>
    </fill>
    <fill>
      <patternFill patternType="solid">
        <fgColor rgb="FFDDEBF7"/>
        <bgColor indexed="64"/>
      </patternFill>
    </fill>
  </fills>
  <borders count="93">
    <border>
      <left/>
      <right/>
      <top/>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rgb="FF7F7F7F"/>
      </left>
      <right style="thin">
        <color rgb="FF7F7F7F"/>
      </right>
      <top style="thin">
        <color rgb="FF7F7F7F"/>
      </top>
      <bottom style="thin">
        <color rgb="FF7F7F7F"/>
      </bottom>
      <diagonal/>
    </border>
    <border>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right/>
      <top/>
      <bottom style="medium">
        <color rgb="FF9BC2E6"/>
      </bottom>
      <diagonal/>
    </border>
    <border>
      <left/>
      <right/>
      <top style="medium">
        <color rgb="FF9BC2E6"/>
      </top>
      <bottom/>
      <diagonal/>
    </border>
  </borders>
  <cellStyleXfs count="8993">
    <xf numFmtId="0" fontId="0" fillId="0" borderId="0">
      <alignment readingOrder="1"/>
    </xf>
    <xf numFmtId="0" fontId="5" fillId="0" borderId="0"/>
    <xf numFmtId="0" fontId="5" fillId="0" borderId="0"/>
    <xf numFmtId="0" fontId="6"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41"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20" borderId="0" applyNumberFormat="0" applyAlignment="0"/>
    <xf numFmtId="0" fontId="5" fillId="20" borderId="0" applyNumberFormat="0" applyAlignment="0"/>
    <xf numFmtId="0" fontId="5" fillId="20" borderId="0" applyNumberFormat="0" applyAlignment="0"/>
    <xf numFmtId="0" fontId="5" fillId="20" borderId="0" applyNumberFormat="0" applyAlignment="0"/>
    <xf numFmtId="0" fontId="5" fillId="20" borderId="0" applyNumberFormat="0" applyAlignment="0"/>
    <xf numFmtId="165" fontId="15" fillId="0" borderId="0"/>
    <xf numFmtId="0" fontId="16" fillId="0" borderId="0">
      <alignment horizontal="center" wrapText="1"/>
    </xf>
    <xf numFmtId="0" fontId="17" fillId="0" borderId="1" applyNumberFormat="0" applyFill="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Protection="0">
      <alignment horizontal="left"/>
    </xf>
    <xf numFmtId="0" fontId="21"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alignment readingOrder="1"/>
    </xf>
    <xf numFmtId="0" fontId="5" fillId="0" borderId="0"/>
    <xf numFmtId="0" fontId="5" fillId="0" borderId="0"/>
    <xf numFmtId="0" fontId="4" fillId="0" borderId="0"/>
    <xf numFmtId="0" fontId="5" fillId="0" borderId="0"/>
    <xf numFmtId="0" fontId="5" fillId="0" borderId="0">
      <alignment readingOrder="1"/>
    </xf>
    <xf numFmtId="0" fontId="6" fillId="0" borderId="0"/>
    <xf numFmtId="0" fontId="5" fillId="0" borderId="0">
      <alignment readingOrder="1"/>
    </xf>
    <xf numFmtId="0" fontId="6"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alignment readingOrder="1"/>
    </xf>
    <xf numFmtId="0" fontId="5" fillId="0" borderId="0">
      <alignment readingOrder="1"/>
    </xf>
    <xf numFmtId="0" fontId="5" fillId="0" borderId="0">
      <alignment readingOrder="1"/>
    </xf>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6" fillId="0" borderId="0"/>
    <xf numFmtId="0" fontId="9" fillId="0" borderId="0"/>
    <xf numFmtId="0" fontId="9" fillId="0" borderId="0"/>
    <xf numFmtId="0" fontId="14"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alignment readingOrder="1"/>
    </xf>
    <xf numFmtId="0" fontId="5" fillId="0" borderId="0">
      <alignment readingOrder="1"/>
    </xf>
    <xf numFmtId="0" fontId="5" fillId="0" borderId="0">
      <alignment readingOrder="1"/>
    </xf>
    <xf numFmtId="0" fontId="5" fillId="0" borderId="0"/>
    <xf numFmtId="0" fontId="23" fillId="0" borderId="0"/>
    <xf numFmtId="0" fontId="5"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xf numFmtId="0" fontId="5" fillId="0" borderId="0"/>
    <xf numFmtId="0" fontId="5" fillId="0" borderId="0"/>
    <xf numFmtId="0" fontId="34"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5" fillId="42" borderId="0" applyNumberFormat="0" applyBorder="0" applyAlignment="0" applyProtection="0"/>
    <xf numFmtId="0" fontId="34"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5" fillId="45" borderId="0" applyNumberFormat="0" applyBorder="0" applyAlignment="0" applyProtection="0"/>
    <xf numFmtId="0" fontId="34"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5" fillId="48" borderId="0" applyNumberFormat="0" applyBorder="0" applyAlignment="0" applyProtection="0"/>
    <xf numFmtId="0" fontId="34"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5" fillId="51" borderId="0" applyNumberFormat="0" applyBorder="0" applyAlignment="0" applyProtection="0"/>
    <xf numFmtId="0" fontId="34" fillId="37" borderId="0" applyNumberFormat="0" applyBorder="0" applyAlignment="0" applyProtection="0"/>
    <xf numFmtId="0" fontId="32" fillId="52" borderId="0" applyNumberFormat="0" applyBorder="0" applyAlignment="0" applyProtection="0"/>
    <xf numFmtId="0" fontId="32" fillId="41" borderId="0" applyNumberFormat="0" applyBorder="0" applyAlignment="0" applyProtection="0"/>
    <xf numFmtId="0" fontId="35" fillId="53" borderId="0" applyNumberFormat="0" applyBorder="0" applyAlignment="0" applyProtection="0"/>
    <xf numFmtId="0" fontId="34" fillId="38"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5" fillId="56" borderId="0" applyNumberFormat="0" applyBorder="0" applyAlignment="0" applyProtection="0"/>
    <xf numFmtId="0" fontId="34" fillId="57" borderId="0" applyNumberFormat="0" applyBorder="0" applyAlignment="0" applyProtection="0"/>
    <xf numFmtId="0" fontId="36" fillId="58" borderId="0" applyNumberFormat="0" applyBorder="0" applyAlignment="0" applyProtection="0"/>
    <xf numFmtId="0" fontId="37" fillId="59" borderId="57" applyNumberFormat="0" applyAlignment="0" applyProtection="0"/>
    <xf numFmtId="0" fontId="38" fillId="60" borderId="5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40" fillId="0" borderId="0" applyNumberFormat="0" applyFill="0" applyBorder="0" applyAlignment="0" applyProtection="0"/>
    <xf numFmtId="0" fontId="41" fillId="64" borderId="0" applyNumberFormat="0" applyBorder="0" applyAlignment="0" applyProtection="0"/>
    <xf numFmtId="0" fontId="42" fillId="0" borderId="59" applyNumberFormat="0" applyFill="0" applyAlignment="0" applyProtection="0"/>
    <xf numFmtId="0" fontId="43" fillId="0" borderId="60" applyNumberFormat="0" applyFill="0" applyAlignment="0" applyProtection="0"/>
    <xf numFmtId="0" fontId="33" fillId="0" borderId="61" applyNumberFormat="0" applyFill="0" applyAlignment="0" applyProtection="0"/>
    <xf numFmtId="0" fontId="33" fillId="0" borderId="0" applyNumberFormat="0" applyFill="0" applyBorder="0" applyAlignment="0" applyProtection="0"/>
    <xf numFmtId="0" fontId="4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65" borderId="57" applyNumberFormat="0" applyAlignment="0" applyProtection="0"/>
    <xf numFmtId="0" fontId="47" fillId="0" borderId="62" applyNumberFormat="0" applyFill="0" applyAlignment="0" applyProtection="0"/>
    <xf numFmtId="0" fontId="48" fillId="66" borderId="0" applyNumberFormat="0" applyBorder="0" applyAlignment="0" applyProtection="0"/>
    <xf numFmtId="0" fontId="5" fillId="0" borderId="0">
      <alignment readingOrder="1"/>
    </xf>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5" fillId="0" borderId="0"/>
    <xf numFmtId="0" fontId="6" fillId="0" borderId="0"/>
    <xf numFmtId="0" fontId="5" fillId="0" borderId="0">
      <alignment readingOrder="1"/>
    </xf>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9" fillId="0" borderId="0"/>
    <xf numFmtId="0" fontId="5" fillId="0" borderId="0" applyNumberFormat="0" applyFill="0" applyBorder="0" applyAlignment="0" applyProtection="0"/>
    <xf numFmtId="0" fontId="6" fillId="0" borderId="0"/>
    <xf numFmtId="0" fontId="6" fillId="0" borderId="0"/>
    <xf numFmtId="0" fontId="14" fillId="0" borderId="0"/>
    <xf numFmtId="0" fontId="6" fillId="0" borderId="0"/>
    <xf numFmtId="0" fontId="5" fillId="0" borderId="0">
      <alignment readingOrder="1"/>
    </xf>
    <xf numFmtId="0" fontId="6" fillId="0" borderId="0"/>
    <xf numFmtId="0" fontId="6" fillId="0" borderId="0"/>
    <xf numFmtId="0" fontId="9" fillId="67" borderId="63" applyNumberFormat="0" applyFont="0" applyAlignment="0" applyProtection="0"/>
    <xf numFmtId="0" fontId="49" fillId="59" borderId="64" applyNumberFormat="0" applyAlignment="0" applyProtection="0"/>
    <xf numFmtId="9" fontId="5" fillId="0" borderId="0" applyFont="0" applyFill="0" applyBorder="0" applyAlignment="0" applyProtection="0"/>
    <xf numFmtId="0" fontId="50" fillId="0" borderId="0" applyNumberFormat="0" applyFill="0" applyBorder="0" applyAlignment="0" applyProtection="0"/>
    <xf numFmtId="0" fontId="51" fillId="0" borderId="0"/>
    <xf numFmtId="0" fontId="50" fillId="0" borderId="0" applyNumberFormat="0" applyFill="0" applyBorder="0" applyAlignment="0" applyProtection="0"/>
    <xf numFmtId="0" fontId="7" fillId="0" borderId="65" applyNumberFormat="0" applyFill="0" applyAlignment="0" applyProtection="0"/>
    <xf numFmtId="0" fontId="52" fillId="0" borderId="0" applyNumberFormat="0" applyFill="0" applyBorder="0" applyAlignment="0" applyProtection="0"/>
    <xf numFmtId="9" fontId="5" fillId="0" borderId="0" applyFont="0" applyFill="0" applyBorder="0" applyAlignment="0" applyProtection="0"/>
    <xf numFmtId="0" fontId="5" fillId="0" borderId="0">
      <alignment readingOrder="1"/>
    </xf>
    <xf numFmtId="0" fontId="34" fillId="38" borderId="0" applyNumberFormat="0" applyBorder="0" applyAlignment="0" applyProtection="0"/>
    <xf numFmtId="0" fontId="34" fillId="38" borderId="0" applyNumberFormat="0" applyBorder="0" applyAlignment="0" applyProtection="0"/>
    <xf numFmtId="0" fontId="34" fillId="58" borderId="0" applyNumberFormat="0" applyBorder="0" applyAlignment="0" applyProtection="0"/>
    <xf numFmtId="0" fontId="34" fillId="35" borderId="0" applyNumberFormat="0" applyBorder="0" applyAlignment="0" applyProtection="0"/>
    <xf numFmtId="0" fontId="34" fillId="58" borderId="0" applyNumberFormat="0" applyBorder="0" applyAlignment="0" applyProtection="0"/>
    <xf numFmtId="0" fontId="34" fillId="6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38"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46" borderId="0" applyNumberFormat="0" applyBorder="0" applyAlignment="0" applyProtection="0"/>
    <xf numFmtId="0" fontId="34" fillId="58" borderId="0" applyNumberFormat="0" applyBorder="0" applyAlignment="0" applyProtection="0"/>
    <xf numFmtId="0" fontId="34" fillId="49"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38" borderId="0" applyNumberFormat="0" applyBorder="0" applyAlignment="0" applyProtection="0"/>
    <xf numFmtId="0" fontId="34" fillId="57" borderId="0" applyNumberFormat="0" applyBorder="0" applyAlignment="0" applyProtection="0"/>
    <xf numFmtId="0" fontId="36" fillId="74" borderId="0" applyNumberFormat="0" applyBorder="0" applyAlignment="0" applyProtection="0"/>
    <xf numFmtId="0" fontId="36" fillId="58" borderId="0" applyNumberFormat="0" applyBorder="0" applyAlignment="0" applyProtection="0"/>
    <xf numFmtId="0" fontId="37" fillId="75" borderId="57" applyNumberFormat="0" applyAlignment="0" applyProtection="0"/>
    <xf numFmtId="0" fontId="37" fillId="75" borderId="57" applyNumberFormat="0" applyAlignment="0" applyProtection="0"/>
    <xf numFmtId="0" fontId="38" fillId="60" borderId="58" applyNumberFormat="0" applyAlignment="0" applyProtection="0"/>
    <xf numFmtId="0" fontId="40" fillId="0" borderId="0" applyNumberFormat="0" applyFill="0" applyBorder="0" applyAlignment="0" applyProtection="0"/>
    <xf numFmtId="0" fontId="41" fillId="64" borderId="0" applyNumberFormat="0" applyBorder="0" applyAlignment="0" applyProtection="0"/>
    <xf numFmtId="0" fontId="56" fillId="0" borderId="67" applyNumberFormat="0" applyFill="0" applyAlignment="0" applyProtection="0"/>
    <xf numFmtId="0" fontId="56" fillId="0" borderId="67"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6" fillId="65" borderId="57" applyNumberFormat="0" applyAlignment="0" applyProtection="0"/>
    <xf numFmtId="0" fontId="47" fillId="0" borderId="62" applyNumberFormat="0" applyFill="0" applyAlignment="0" applyProtection="0"/>
    <xf numFmtId="0" fontId="48" fillId="66" borderId="0" applyNumberFormat="0" applyBorder="0" applyAlignment="0" applyProtection="0"/>
    <xf numFmtId="0" fontId="6" fillId="0" borderId="0"/>
    <xf numFmtId="0" fontId="58" fillId="0" borderId="0"/>
    <xf numFmtId="0" fontId="59" fillId="0" borderId="0"/>
    <xf numFmtId="0" fontId="59" fillId="0" borderId="0"/>
    <xf numFmtId="0" fontId="59" fillId="0" borderId="0"/>
    <xf numFmtId="0" fontId="5" fillId="0" borderId="0"/>
    <xf numFmtId="0" fontId="5" fillId="0" borderId="0"/>
    <xf numFmtId="0" fontId="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 fillId="0" borderId="0"/>
    <xf numFmtId="0" fontId="6" fillId="0" borderId="0"/>
    <xf numFmtId="0" fontId="6" fillId="0" borderId="0"/>
    <xf numFmtId="0" fontId="5" fillId="0" borderId="0"/>
    <xf numFmtId="0" fontId="6" fillId="0" borderId="0"/>
    <xf numFmtId="0" fontId="49" fillId="75" borderId="64" applyNumberFormat="0" applyAlignment="0" applyProtection="0"/>
    <xf numFmtId="0" fontId="49" fillId="75" borderId="64" applyNumberFormat="0" applyAlignment="0" applyProtection="0"/>
    <xf numFmtId="9" fontId="6" fillId="0" borderId="0" applyFont="0" applyFill="0" applyBorder="0" applyAlignment="0" applyProtection="0"/>
    <xf numFmtId="172" fontId="5" fillId="0" borderId="0" applyFill="0" applyBorder="0" applyAlignment="0" applyProtection="0">
      <alignment wrapText="1"/>
    </xf>
    <xf numFmtId="0" fontId="60" fillId="0" borderId="0" applyNumberFormat="0" applyFill="0" applyBorder="0" applyAlignment="0" applyProtection="0"/>
    <xf numFmtId="0" fontId="60" fillId="0" borderId="0" applyNumberFormat="0" applyFill="0" applyBorder="0" applyAlignment="0" applyProtection="0"/>
    <xf numFmtId="0" fontId="7" fillId="0" borderId="69" applyNumberFormat="0" applyFill="0" applyAlignment="0" applyProtection="0"/>
    <xf numFmtId="0" fontId="49" fillId="0" borderId="69" applyNumberFormat="0" applyFill="0" applyAlignment="0" applyProtection="0"/>
    <xf numFmtId="0" fontId="52" fillId="0" borderId="0" applyNumberFormat="0" applyFill="0" applyBorder="0" applyAlignment="0" applyProtection="0"/>
    <xf numFmtId="0" fontId="61" fillId="0" borderId="0">
      <alignment vertical="center"/>
    </xf>
    <xf numFmtId="43" fontId="5" fillId="0" borderId="0" applyFont="0" applyFill="0" applyBorder="0" applyAlignment="0" applyProtection="0"/>
    <xf numFmtId="44" fontId="5" fillId="0" borderId="0" applyFont="0" applyFill="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 fillId="7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5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 fillId="7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5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 fillId="5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 fillId="5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 fillId="6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5" fillId="19" borderId="0" applyNumberFormat="0" applyAlignment="0">
      <alignment horizontal="right"/>
    </xf>
    <xf numFmtId="0" fontId="17" fillId="0" borderId="1" applyNumberFormat="0" applyFill="0" applyAlignment="0" applyProtection="0"/>
    <xf numFmtId="0" fontId="29" fillId="83" borderId="16">
      <alignment horizontal="left"/>
    </xf>
    <xf numFmtId="0" fontId="18" fillId="0" borderId="0" applyNumberFormat="0" applyFill="0" applyBorder="0" applyAlignment="0" applyProtection="0">
      <alignment readingOrder="1"/>
    </xf>
    <xf numFmtId="0" fontId="45" fillId="0" borderId="0" applyNumberFormat="0" applyFill="0" applyBorder="0" applyAlignment="0" applyProtection="0"/>
    <xf numFmtId="0" fontId="6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 fillId="0" borderId="0"/>
    <xf numFmtId="0" fontId="5" fillId="0" borderId="0">
      <alignment readingOrder="1"/>
    </xf>
    <xf numFmtId="0" fontId="5"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lignment readingOrder="1"/>
    </xf>
    <xf numFmtId="0" fontId="6" fillId="0" borderId="0"/>
    <xf numFmtId="0" fontId="5" fillId="0" borderId="0">
      <alignment readingOrder="1"/>
    </xf>
    <xf numFmtId="0" fontId="6"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alignment readingOrder="1"/>
    </xf>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5" fillId="67" borderId="63"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0" fontId="2" fillId="0" borderId="0"/>
    <xf numFmtId="0" fontId="8" fillId="0" borderId="0" applyNumberFormat="0" applyFill="0" applyBorder="0" applyAlignment="0" applyProtection="0">
      <alignment readingOrder="1"/>
    </xf>
    <xf numFmtId="0" fontId="58" fillId="93" borderId="86"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19" borderId="0" applyNumberFormat="0" applyAlignment="0">
      <alignment horizontal="right"/>
    </xf>
    <xf numFmtId="0" fontId="5" fillId="20" borderId="0" applyNumberFormat="0" applyAlignment="0"/>
    <xf numFmtId="0" fontId="80" fillId="0" borderId="1" applyNumberFormat="0" applyFill="0" applyAlignment="0" applyProtection="0"/>
    <xf numFmtId="0" fontId="18" fillId="0" borderId="0" applyNumberFormat="0" applyFill="0" applyBorder="0" applyAlignment="0" applyProtection="0">
      <alignment vertical="top"/>
      <protection locked="0"/>
    </xf>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lignment readingOrder="1"/>
    </xf>
    <xf numFmtId="0" fontId="6" fillId="0" borderId="0"/>
    <xf numFmtId="0" fontId="6" fillId="0" borderId="0"/>
    <xf numFmtId="0" fontId="6" fillId="0" borderId="0"/>
    <xf numFmtId="0" fontId="5" fillId="0" borderId="0">
      <alignment readingOrder="1"/>
    </xf>
    <xf numFmtId="0" fontId="5" fillId="0" borderId="0">
      <alignment readingOrder="1"/>
    </xf>
    <xf numFmtId="0" fontId="6"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5" fillId="0" borderId="0">
      <alignment readingOrder="1"/>
    </xf>
    <xf numFmtId="0" fontId="83" fillId="66" borderId="63" applyNumberFormat="0" applyFont="0" applyAlignment="0" applyProtection="0"/>
    <xf numFmtId="0" fontId="83" fillId="66" borderId="63" applyNumberFormat="0" applyFont="0" applyAlignment="0" applyProtection="0"/>
    <xf numFmtId="0" fontId="83" fillId="66" borderId="6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cellStyleXfs>
  <cellXfs count="599">
    <xf numFmtId="0" fontId="0" fillId="0" borderId="0" xfId="0"/>
    <xf numFmtId="0" fontId="0" fillId="0" borderId="0" xfId="0">
      <alignment readingOrder="1"/>
    </xf>
    <xf numFmtId="0" fontId="5" fillId="0" borderId="0" xfId="0" applyFont="1">
      <alignment readingOrder="1"/>
    </xf>
    <xf numFmtId="0" fontId="27" fillId="0" borderId="0" xfId="247" applyFont="1"/>
    <xf numFmtId="0" fontId="28" fillId="0" borderId="0" xfId="248" applyFont="1"/>
    <xf numFmtId="0" fontId="5" fillId="0" borderId="0" xfId="247" applyFont="1"/>
    <xf numFmtId="5" fontId="5" fillId="0" borderId="0" xfId="247" applyNumberFormat="1" applyFont="1"/>
    <xf numFmtId="166" fontId="5" fillId="0" borderId="0" xfId="247" applyNumberFormat="1" applyFont="1"/>
    <xf numFmtId="166" fontId="28" fillId="0" borderId="0" xfId="247" applyNumberFormat="1" applyFont="1"/>
    <xf numFmtId="0" fontId="5" fillId="0" borderId="0" xfId="247" applyFont="1" applyFill="1"/>
    <xf numFmtId="167" fontId="5" fillId="0" borderId="0" xfId="247" applyNumberFormat="1" applyFont="1"/>
    <xf numFmtId="0" fontId="27" fillId="0" borderId="0" xfId="247" applyFont="1" applyAlignment="1">
      <alignment horizontal="left"/>
    </xf>
    <xf numFmtId="168" fontId="0" fillId="0" borderId="0" xfId="0" applyNumberFormat="1" applyAlignment="1">
      <alignment horizontal="center" readingOrder="1"/>
    </xf>
    <xf numFmtId="169" fontId="0" fillId="0" borderId="0" xfId="0" applyNumberFormat="1" applyAlignment="1">
      <alignment horizontal="center" readingOrder="1"/>
    </xf>
    <xf numFmtId="0" fontId="5" fillId="0" borderId="0" xfId="247" applyFont="1" applyAlignment="1">
      <alignment horizontal="center"/>
    </xf>
    <xf numFmtId="0" fontId="29" fillId="21" borderId="5" xfId="247" applyFont="1" applyFill="1" applyBorder="1" applyAlignment="1">
      <alignment horizontal="centerContinuous"/>
    </xf>
    <xf numFmtId="0" fontId="30" fillId="21" borderId="5" xfId="247" applyFont="1" applyFill="1" applyBorder="1" applyAlignment="1">
      <alignment horizontal="centerContinuous"/>
    </xf>
    <xf numFmtId="0" fontId="30" fillId="21" borderId="13" xfId="247" applyFont="1" applyFill="1" applyBorder="1" applyAlignment="1">
      <alignment horizontal="centerContinuous"/>
    </xf>
    <xf numFmtId="0" fontId="31" fillId="21" borderId="14" xfId="247" applyFont="1" applyFill="1" applyBorder="1" applyAlignment="1">
      <alignment horizontal="centerContinuous"/>
    </xf>
    <xf numFmtId="0" fontId="29" fillId="0" borderId="0" xfId="247" applyFont="1" applyFill="1" applyBorder="1" applyAlignment="1">
      <alignment horizontal="centerContinuous"/>
    </xf>
    <xf numFmtId="0" fontId="30" fillId="0" borderId="0" xfId="247" applyFont="1" applyFill="1" applyBorder="1" applyAlignment="1">
      <alignment horizontal="centerContinuous"/>
    </xf>
    <xf numFmtId="0" fontId="31" fillId="0" borderId="0" xfId="247" applyFont="1" applyFill="1" applyBorder="1" applyAlignment="1">
      <alignment horizontal="centerContinuous"/>
    </xf>
    <xf numFmtId="0" fontId="32" fillId="0" borderId="0" xfId="247" applyFont="1" applyFill="1" applyBorder="1" applyAlignment="1">
      <alignment horizontal="centerContinuous"/>
    </xf>
    <xf numFmtId="0" fontId="5" fillId="0" borderId="0" xfId="247" applyFont="1" applyFill="1" applyBorder="1"/>
    <xf numFmtId="0" fontId="32" fillId="24" borderId="3" xfId="247" applyFont="1" applyFill="1" applyBorder="1" applyAlignment="1">
      <alignment horizontal="center" wrapText="1"/>
    </xf>
    <xf numFmtId="0" fontId="32" fillId="24" borderId="10" xfId="247" applyFont="1" applyFill="1" applyBorder="1" applyAlignment="1">
      <alignment horizontal="center" wrapText="1"/>
    </xf>
    <xf numFmtId="0" fontId="32" fillId="24" borderId="4" xfId="247" applyFont="1" applyFill="1" applyBorder="1" applyAlignment="1">
      <alignment horizontal="center" wrapText="1"/>
    </xf>
    <xf numFmtId="0" fontId="32" fillId="24" borderId="17" xfId="247" applyFont="1" applyFill="1" applyBorder="1" applyAlignment="1">
      <alignment horizontal="center" wrapText="1"/>
    </xf>
    <xf numFmtId="0" fontId="32" fillId="24" borderId="17" xfId="0" applyFont="1" applyFill="1" applyBorder="1" applyAlignment="1">
      <alignment horizontal="center" wrapText="1"/>
    </xf>
    <xf numFmtId="0" fontId="32" fillId="0" borderId="0" xfId="247" applyFont="1" applyFill="1" applyBorder="1" applyAlignment="1">
      <alignment horizontal="center" wrapText="1"/>
    </xf>
    <xf numFmtId="0" fontId="5" fillId="0" borderId="0" xfId="246" applyFont="1" applyBorder="1" applyAlignment="1"/>
    <xf numFmtId="1" fontId="0" fillId="0" borderId="0" xfId="0" applyNumberFormat="1">
      <alignment readingOrder="1"/>
    </xf>
    <xf numFmtId="2" fontId="0" fillId="0" borderId="0" xfId="0" applyNumberFormat="1">
      <alignment readingOrder="1"/>
    </xf>
    <xf numFmtId="0" fontId="5" fillId="0" borderId="0" xfId="0" applyFont="1" applyBorder="1">
      <alignment readingOrder="1"/>
    </xf>
    <xf numFmtId="8" fontId="0" fillId="0" borderId="0" xfId="0" applyNumberFormat="1">
      <alignment readingOrder="1"/>
    </xf>
    <xf numFmtId="0" fontId="5" fillId="0" borderId="0" xfId="0" applyFont="1" applyAlignment="1">
      <alignment horizontal="center" readingOrder="1"/>
    </xf>
    <xf numFmtId="166" fontId="31" fillId="0" borderId="0" xfId="0" applyNumberFormat="1" applyFont="1">
      <alignment readingOrder="1"/>
    </xf>
    <xf numFmtId="166" fontId="0" fillId="0" borderId="0" xfId="0" applyNumberFormat="1">
      <alignment readingOrder="1"/>
    </xf>
    <xf numFmtId="0" fontId="0" fillId="28" borderId="0" xfId="0" applyFill="1"/>
    <xf numFmtId="0" fontId="31" fillId="21" borderId="7" xfId="247" applyFont="1" applyFill="1" applyBorder="1" applyAlignment="1">
      <alignment horizontal="centerContinuous"/>
    </xf>
    <xf numFmtId="0" fontId="32" fillId="24" borderId="3" xfId="0" applyFont="1" applyFill="1" applyBorder="1" applyAlignment="1">
      <alignment horizontal="center" wrapText="1"/>
    </xf>
    <xf numFmtId="0" fontId="5" fillId="32" borderId="0" xfId="246" applyFont="1" applyFill="1" applyBorder="1" applyAlignment="1">
      <alignment wrapText="1"/>
    </xf>
    <xf numFmtId="166" fontId="0" fillId="0" borderId="0" xfId="0" applyNumberFormat="1"/>
    <xf numFmtId="0" fontId="35" fillId="68" borderId="15" xfId="0" applyFont="1" applyFill="1" applyBorder="1" applyAlignment="1">
      <alignment horizontal="left" readingOrder="1"/>
    </xf>
    <xf numFmtId="0" fontId="35" fillId="68" borderId="14" xfId="0" applyFont="1" applyFill="1" applyBorder="1" applyAlignment="1">
      <alignment horizontal="center" wrapText="1" readingOrder="1"/>
    </xf>
    <xf numFmtId="0" fontId="32" fillId="19" borderId="3" xfId="0" applyFont="1" applyFill="1" applyBorder="1" applyAlignment="1">
      <alignment horizontal="center" wrapText="1" readingOrder="1"/>
    </xf>
    <xf numFmtId="0" fontId="32" fillId="19" borderId="14" xfId="0" applyFont="1" applyFill="1" applyBorder="1" applyAlignment="1">
      <alignment horizontal="center" wrapText="1" readingOrder="1"/>
    </xf>
    <xf numFmtId="166" fontId="32" fillId="19" borderId="14" xfId="0" applyNumberFormat="1" applyFont="1" applyFill="1" applyBorder="1" applyAlignment="1">
      <alignment horizontal="center" wrapText="1" readingOrder="1"/>
    </xf>
    <xf numFmtId="166" fontId="32" fillId="19" borderId="29" xfId="0" applyNumberFormat="1" applyFont="1" applyFill="1" applyBorder="1" applyAlignment="1">
      <alignment horizontal="centerContinuous" wrapText="1" readingOrder="1"/>
    </xf>
    <xf numFmtId="166" fontId="32" fillId="19" borderId="66" xfId="0" applyNumberFormat="1" applyFont="1" applyFill="1" applyBorder="1" applyAlignment="1">
      <alignment horizontal="centerContinuous" wrapText="1" readingOrder="1"/>
    </xf>
    <xf numFmtId="166" fontId="32" fillId="19" borderId="27" xfId="0" applyNumberFormat="1" applyFont="1" applyFill="1" applyBorder="1" applyAlignment="1">
      <alignment horizontal="centerContinuous" wrapText="1" readingOrder="1"/>
    </xf>
    <xf numFmtId="0" fontId="32" fillId="20" borderId="3" xfId="0" applyFont="1" applyFill="1" applyBorder="1" applyAlignment="1">
      <alignment horizontal="center" wrapText="1" readingOrder="1"/>
    </xf>
    <xf numFmtId="0" fontId="32" fillId="20" borderId="14" xfId="0" applyFont="1" applyFill="1" applyBorder="1" applyAlignment="1">
      <alignment horizontal="center" wrapText="1" readingOrder="1"/>
    </xf>
    <xf numFmtId="166" fontId="32" fillId="20" borderId="14" xfId="0" applyNumberFormat="1" applyFont="1" applyFill="1" applyBorder="1" applyAlignment="1">
      <alignment horizontal="center" wrapText="1" readingOrder="1"/>
    </xf>
    <xf numFmtId="0" fontId="10" fillId="0" borderId="0" xfId="0" applyFont="1">
      <alignment readingOrder="1"/>
    </xf>
    <xf numFmtId="49" fontId="0" fillId="0" borderId="0" xfId="0" applyNumberFormat="1">
      <alignment readingOrder="1"/>
    </xf>
    <xf numFmtId="0" fontId="0" fillId="70" borderId="0" xfId="0" applyFill="1">
      <alignment readingOrder="1"/>
    </xf>
    <xf numFmtId="0" fontId="0" fillId="0" borderId="0" xfId="0" applyFill="1" applyAlignment="1">
      <alignment vertical="center" wrapText="1" readingOrder="1"/>
    </xf>
    <xf numFmtId="0" fontId="0" fillId="0" borderId="0" xfId="0" applyFill="1">
      <alignment readingOrder="1"/>
    </xf>
    <xf numFmtId="0" fontId="0" fillId="0" borderId="0" xfId="0" quotePrefix="1" applyFill="1">
      <alignment readingOrder="1"/>
    </xf>
    <xf numFmtId="0" fontId="11" fillId="32" borderId="13" xfId="0" applyFont="1" applyFill="1" applyBorder="1"/>
    <xf numFmtId="0" fontId="11" fillId="26" borderId="3" xfId="0" applyFont="1" applyFill="1" applyBorder="1"/>
    <xf numFmtId="9" fontId="5" fillId="27" borderId="0" xfId="424" applyFill="1" applyAlignment="1">
      <alignment horizontal="center" readingOrder="1"/>
    </xf>
    <xf numFmtId="0" fontId="11" fillId="32" borderId="3" xfId="0" applyFont="1" applyFill="1" applyBorder="1"/>
    <xf numFmtId="0" fontId="11" fillId="71" borderId="3" xfId="0" applyFont="1" applyFill="1" applyBorder="1"/>
    <xf numFmtId="9" fontId="11" fillId="26" borderId="3" xfId="424" applyFont="1" applyFill="1" applyBorder="1"/>
    <xf numFmtId="0" fontId="11" fillId="26" borderId="13" xfId="0" applyFont="1" applyFill="1" applyBorder="1"/>
    <xf numFmtId="0" fontId="11" fillId="26" borderId="6" xfId="0" applyFont="1" applyFill="1" applyBorder="1"/>
    <xf numFmtId="0" fontId="11" fillId="26" borderId="7" xfId="0" applyFont="1" applyFill="1" applyBorder="1"/>
    <xf numFmtId="0" fontId="11" fillId="26" borderId="11" xfId="0" applyFont="1" applyFill="1" applyBorder="1"/>
    <xf numFmtId="0" fontId="11" fillId="26" borderId="12" xfId="0" applyFont="1" applyFill="1" applyBorder="1"/>
    <xf numFmtId="1" fontId="0" fillId="72" borderId="0" xfId="0" applyNumberFormat="1" applyFill="1" applyAlignment="1">
      <alignment horizontal="center" readingOrder="1"/>
    </xf>
    <xf numFmtId="0" fontId="0" fillId="0" borderId="0" xfId="0" applyAlignment="1">
      <alignment horizontal="center" readingOrder="1"/>
    </xf>
    <xf numFmtId="0" fontId="0" fillId="0" borderId="0" xfId="0" applyFill="1" applyAlignment="1">
      <alignment horizontal="center" readingOrder="1"/>
    </xf>
    <xf numFmtId="0" fontId="11" fillId="26" borderId="5" xfId="0" applyFont="1" applyFill="1" applyBorder="1"/>
    <xf numFmtId="0" fontId="11" fillId="26" borderId="10" xfId="0" applyFont="1" applyFill="1" applyBorder="1"/>
    <xf numFmtId="0" fontId="11" fillId="27" borderId="3" xfId="0" applyFont="1" applyFill="1" applyBorder="1"/>
    <xf numFmtId="166" fontId="11" fillId="27" borderId="3" xfId="0" applyNumberFormat="1" applyFont="1" applyFill="1" applyBorder="1"/>
    <xf numFmtId="0" fontId="11" fillId="26" borderId="15" xfId="0" applyFont="1" applyFill="1" applyBorder="1"/>
    <xf numFmtId="0" fontId="11" fillId="26" borderId="16" xfId="0" applyFont="1" applyFill="1" applyBorder="1"/>
    <xf numFmtId="0" fontId="11" fillId="26" borderId="14" xfId="0" applyFont="1" applyFill="1" applyBorder="1"/>
    <xf numFmtId="9" fontId="10" fillId="16" borderId="0" xfId="0" applyNumberFormat="1" applyFont="1" applyFill="1">
      <alignment readingOrder="1"/>
    </xf>
    <xf numFmtId="0" fontId="0" fillId="16" borderId="0" xfId="0" applyFill="1">
      <alignment readingOrder="1"/>
    </xf>
    <xf numFmtId="1" fontId="0" fillId="16" borderId="0" xfId="0" applyNumberFormat="1" applyFill="1">
      <alignment readingOrder="1"/>
    </xf>
    <xf numFmtId="166" fontId="0" fillId="0" borderId="0" xfId="0" applyNumberFormat="1" applyAlignment="1">
      <alignment horizontal="center" readingOrder="1"/>
    </xf>
    <xf numFmtId="166" fontId="0" fillId="71" borderId="0" xfId="0" applyNumberFormat="1" applyFill="1" applyAlignment="1">
      <alignment horizontal="center" readingOrder="1"/>
    </xf>
    <xf numFmtId="1" fontId="0" fillId="0" borderId="0" xfId="0" applyNumberFormat="1" applyFill="1">
      <alignment readingOrder="1"/>
    </xf>
    <xf numFmtId="171" fontId="0" fillId="0" borderId="0" xfId="0" applyNumberFormat="1">
      <alignment readingOrder="1"/>
    </xf>
    <xf numFmtId="171" fontId="0" fillId="0" borderId="0" xfId="0" applyNumberFormat="1" applyFill="1">
      <alignment readingOrder="1"/>
    </xf>
    <xf numFmtId="166" fontId="0" fillId="72" borderId="0" xfId="0" applyNumberFormat="1" applyFill="1" applyAlignment="1">
      <alignment horizontal="center" readingOrder="1"/>
    </xf>
    <xf numFmtId="166" fontId="11" fillId="26" borderId="3" xfId="0" applyNumberFormat="1" applyFont="1" applyFill="1" applyBorder="1"/>
    <xf numFmtId="0" fontId="5" fillId="0" borderId="0" xfId="176">
      <alignment readingOrder="1"/>
    </xf>
    <xf numFmtId="0" fontId="53" fillId="69" borderId="26" xfId="0" applyFont="1" applyFill="1" applyBorder="1"/>
    <xf numFmtId="0" fontId="53" fillId="69" borderId="28" xfId="0" applyFont="1" applyFill="1" applyBorder="1"/>
    <xf numFmtId="0" fontId="53" fillId="69" borderId="27" xfId="0" applyFont="1" applyFill="1" applyBorder="1"/>
    <xf numFmtId="0" fontId="6" fillId="0" borderId="0" xfId="0" applyFont="1"/>
    <xf numFmtId="0" fontId="54" fillId="26" borderId="17" xfId="425" applyFont="1" applyFill="1" applyBorder="1" applyAlignment="1">
      <alignment horizontal="left" vertical="center" wrapText="1"/>
    </xf>
    <xf numFmtId="0" fontId="10" fillId="26" borderId="3" xfId="425" applyFont="1" applyFill="1" applyBorder="1" applyAlignment="1">
      <alignment horizontal="left" vertical="center" wrapText="1"/>
    </xf>
    <xf numFmtId="0" fontId="5" fillId="0" borderId="3" xfId="425" applyFont="1" applyFill="1" applyBorder="1" applyAlignment="1">
      <alignment horizontal="left" vertical="center" wrapText="1"/>
    </xf>
    <xf numFmtId="0" fontId="5" fillId="0" borderId="3" xfId="425" applyFont="1" applyBorder="1" applyAlignment="1">
      <alignment horizontal="left" vertical="center" wrapText="1" readingOrder="1"/>
    </xf>
    <xf numFmtId="0" fontId="5" fillId="0" borderId="3" xfId="425" applyNumberFormat="1" applyFont="1" applyBorder="1" applyAlignment="1">
      <alignment horizontal="left" vertical="center" wrapText="1" readingOrder="1"/>
    </xf>
    <xf numFmtId="0" fontId="0" fillId="0" borderId="3" xfId="425" applyFont="1" applyBorder="1" applyAlignment="1">
      <alignment horizontal="left" vertical="center" wrapText="1" readingOrder="1"/>
    </xf>
    <xf numFmtId="0" fontId="54" fillId="26" borderId="3" xfId="425" applyFont="1" applyFill="1" applyBorder="1" applyAlignment="1">
      <alignment horizontal="left" vertical="center" wrapText="1"/>
    </xf>
    <xf numFmtId="0" fontId="55" fillId="0" borderId="3" xfId="425" applyFont="1" applyBorder="1" applyAlignment="1">
      <alignment horizontal="left" vertical="center" wrapText="1" readingOrder="1"/>
    </xf>
    <xf numFmtId="0" fontId="55" fillId="0" borderId="3" xfId="425" applyFont="1" applyBorder="1" applyAlignment="1">
      <alignment vertical="center" wrapText="1" readingOrder="1"/>
    </xf>
    <xf numFmtId="0" fontId="30" fillId="76" borderId="14" xfId="247" applyFont="1" applyFill="1" applyBorder="1" applyAlignment="1">
      <alignment horizontal="center"/>
    </xf>
    <xf numFmtId="0" fontId="32" fillId="72" borderId="14" xfId="247" applyFont="1" applyFill="1" applyBorder="1" applyAlignment="1">
      <alignment horizontal="center" wrapText="1"/>
    </xf>
    <xf numFmtId="0" fontId="32" fillId="72" borderId="3" xfId="247" applyFont="1" applyFill="1" applyBorder="1" applyAlignment="1">
      <alignment horizontal="center" wrapText="1"/>
    </xf>
    <xf numFmtId="0" fontId="35" fillId="78" borderId="15" xfId="0" applyFont="1" applyFill="1" applyBorder="1" applyAlignment="1">
      <alignment horizontal="left" wrapText="1" readingOrder="1"/>
    </xf>
    <xf numFmtId="0" fontId="35" fillId="78" borderId="14" xfId="0" applyFont="1" applyFill="1" applyBorder="1" applyAlignment="1">
      <alignment horizontal="center" wrapText="1" readingOrder="1"/>
    </xf>
    <xf numFmtId="0" fontId="35" fillId="68" borderId="16" xfId="0" applyFont="1" applyFill="1" applyBorder="1" applyAlignment="1">
      <alignment horizontal="center" wrapText="1" readingOrder="1"/>
    </xf>
    <xf numFmtId="0" fontId="0" fillId="0" borderId="18" xfId="0" applyBorder="1">
      <alignment readingOrder="1"/>
    </xf>
    <xf numFmtId="0" fontId="0" fillId="0" borderId="19" xfId="0" applyBorder="1">
      <alignment readingOrder="1"/>
    </xf>
    <xf numFmtId="0" fontId="0" fillId="0" borderId="20" xfId="0" applyBorder="1">
      <alignment readingOrder="1"/>
    </xf>
    <xf numFmtId="0" fontId="0" fillId="0" borderId="21" xfId="0" applyBorder="1">
      <alignment readingOrder="1"/>
    </xf>
    <xf numFmtId="0" fontId="0" fillId="0" borderId="0" xfId="0" applyBorder="1">
      <alignment readingOrder="1"/>
    </xf>
    <xf numFmtId="0" fontId="0" fillId="0" borderId="22" xfId="0" applyBorder="1">
      <alignment readingOrder="1"/>
    </xf>
    <xf numFmtId="0" fontId="0" fillId="0" borderId="23" xfId="0" applyBorder="1">
      <alignment readingOrder="1"/>
    </xf>
    <xf numFmtId="0" fontId="0" fillId="0" borderId="24" xfId="0" applyBorder="1">
      <alignment readingOrder="1"/>
    </xf>
    <xf numFmtId="0" fontId="0" fillId="0" borderId="25" xfId="0" applyBorder="1">
      <alignment readingOrder="1"/>
    </xf>
    <xf numFmtId="0" fontId="32" fillId="25" borderId="26" xfId="0" applyFont="1" applyFill="1" applyBorder="1" applyAlignment="1">
      <alignment horizontal="centerContinuous" wrapText="1" readingOrder="1"/>
    </xf>
    <xf numFmtId="0" fontId="32" fillId="25" borderId="27" xfId="0" applyFont="1" applyFill="1" applyBorder="1" applyAlignment="1">
      <alignment horizontal="centerContinuous" wrapText="1" readingOrder="1"/>
    </xf>
    <xf numFmtId="166" fontId="32" fillId="25" borderId="26" xfId="0" applyNumberFormat="1" applyFont="1" applyFill="1" applyBorder="1" applyAlignment="1">
      <alignment horizontal="centerContinuous" wrapText="1" readingOrder="1"/>
    </xf>
    <xf numFmtId="166" fontId="32" fillId="25" borderId="28" xfId="0" applyNumberFormat="1" applyFont="1" applyFill="1" applyBorder="1" applyAlignment="1">
      <alignment horizontal="centerContinuous" wrapText="1" readingOrder="1"/>
    </xf>
    <xf numFmtId="166" fontId="32" fillId="25" borderId="27" xfId="0" applyNumberFormat="1" applyFont="1" applyFill="1" applyBorder="1" applyAlignment="1">
      <alignment horizontal="centerContinuous" wrapText="1" readingOrder="1"/>
    </xf>
    <xf numFmtId="166" fontId="32" fillId="25" borderId="16" xfId="0" applyNumberFormat="1" applyFont="1" applyFill="1" applyBorder="1" applyAlignment="1">
      <alignment horizontal="center" wrapText="1" readingOrder="1"/>
    </xf>
    <xf numFmtId="173" fontId="32" fillId="20" borderId="14" xfId="0" applyNumberFormat="1" applyFont="1" applyFill="1" applyBorder="1" applyAlignment="1">
      <alignment horizontal="center" wrapText="1" readingOrder="1"/>
    </xf>
    <xf numFmtId="166" fontId="62" fillId="0" borderId="0" xfId="0" applyNumberFormat="1" applyFont="1">
      <alignment readingOrder="1"/>
    </xf>
    <xf numFmtId="0" fontId="32" fillId="19" borderId="26" xfId="0" applyFont="1" applyFill="1" applyBorder="1" applyAlignment="1">
      <alignment horizontal="centerContinuous" wrapText="1" readingOrder="1"/>
    </xf>
    <xf numFmtId="0" fontId="32" fillId="19" borderId="28" xfId="0" applyFont="1" applyFill="1" applyBorder="1" applyAlignment="1">
      <alignment horizontal="centerContinuous" wrapText="1" readingOrder="1"/>
    </xf>
    <xf numFmtId="166" fontId="32" fillId="19" borderId="28" xfId="0" applyNumberFormat="1" applyFont="1" applyFill="1" applyBorder="1" applyAlignment="1">
      <alignment horizontal="centerContinuous" wrapText="1" readingOrder="1"/>
    </xf>
    <xf numFmtId="166" fontId="32" fillId="19" borderId="16" xfId="0" applyNumberFormat="1" applyFont="1" applyFill="1" applyBorder="1" applyAlignment="1">
      <alignment horizontal="center" wrapText="1" readingOrder="1"/>
    </xf>
    <xf numFmtId="166" fontId="32" fillId="19" borderId="26" xfId="0" applyNumberFormat="1" applyFont="1" applyFill="1" applyBorder="1" applyAlignment="1">
      <alignment horizontal="centerContinuous" wrapText="1" readingOrder="1"/>
    </xf>
    <xf numFmtId="166" fontId="10" fillId="0" borderId="0" xfId="0" applyNumberFormat="1" applyFont="1">
      <alignment readingOrder="1"/>
    </xf>
    <xf numFmtId="174" fontId="10" fillId="0" borderId="0" xfId="0" applyNumberFormat="1" applyFont="1">
      <alignment readingOrder="1"/>
    </xf>
    <xf numFmtId="174" fontId="0" fillId="0" borderId="0" xfId="0" applyNumberFormat="1">
      <alignment readingOrder="1"/>
    </xf>
    <xf numFmtId="174" fontId="62" fillId="0" borderId="0" xfId="0" applyNumberFormat="1" applyFont="1">
      <alignment readingOrder="1"/>
    </xf>
    <xf numFmtId="9" fontId="0" fillId="0" borderId="30" xfId="0" applyNumberFormat="1" applyBorder="1">
      <alignment readingOrder="1"/>
    </xf>
    <xf numFmtId="9" fontId="11" fillId="26" borderId="15" xfId="424" applyFont="1" applyFill="1" applyBorder="1"/>
    <xf numFmtId="175" fontId="5" fillId="27" borderId="0" xfId="508" applyNumberFormat="1" applyFill="1" applyAlignment="1">
      <alignment horizontal="center" readingOrder="1"/>
    </xf>
    <xf numFmtId="0" fontId="65" fillId="0" borderId="0" xfId="0" applyFont="1">
      <alignment readingOrder="1"/>
    </xf>
    <xf numFmtId="0" fontId="66" fillId="0" borderId="0" xfId="0" applyFont="1">
      <alignment readingOrder="1"/>
    </xf>
    <xf numFmtId="0" fontId="27" fillId="0" borderId="5" xfId="0" applyFont="1" applyBorder="1">
      <alignment readingOrder="1"/>
    </xf>
    <xf numFmtId="0" fontId="5" fillId="0" borderId="7" xfId="0" applyFont="1" applyBorder="1">
      <alignment readingOrder="1"/>
    </xf>
    <xf numFmtId="0" fontId="64" fillId="0" borderId="0" xfId="387" applyFont="1" applyFill="1"/>
    <xf numFmtId="0" fontId="0" fillId="0" borderId="8" xfId="0" applyBorder="1">
      <alignment readingOrder="1"/>
    </xf>
    <xf numFmtId="0" fontId="0" fillId="0" borderId="9" xfId="0" applyBorder="1">
      <alignment readingOrder="1"/>
    </xf>
    <xf numFmtId="0" fontId="64" fillId="0" borderId="0" xfId="387" applyFont="1"/>
    <xf numFmtId="0" fontId="0" fillId="0" borderId="10" xfId="0" applyBorder="1">
      <alignment readingOrder="1"/>
    </xf>
    <xf numFmtId="0" fontId="0" fillId="0" borderId="12" xfId="0" applyBorder="1">
      <alignment readingOrder="1"/>
    </xf>
    <xf numFmtId="0" fontId="27" fillId="0" borderId="0" xfId="0" applyFont="1">
      <alignment readingOrder="1"/>
    </xf>
    <xf numFmtId="0" fontId="10" fillId="79" borderId="0" xfId="0" applyFont="1" applyFill="1">
      <alignment readingOrder="1"/>
    </xf>
    <xf numFmtId="0" fontId="0" fillId="79" borderId="0" xfId="0" applyFill="1">
      <alignment readingOrder="1"/>
    </xf>
    <xf numFmtId="0" fontId="10" fillId="80" borderId="0" xfId="0" applyFont="1" applyFill="1">
      <alignment readingOrder="1"/>
    </xf>
    <xf numFmtId="0" fontId="10" fillId="32" borderId="0" xfId="0" applyFont="1" applyFill="1">
      <alignment readingOrder="1"/>
    </xf>
    <xf numFmtId="0" fontId="10" fillId="81" borderId="0" xfId="0" applyFont="1" applyFill="1">
      <alignment readingOrder="1"/>
    </xf>
    <xf numFmtId="0" fontId="10" fillId="29" borderId="0" xfId="0" applyFont="1" applyFill="1">
      <alignment readingOrder="1"/>
    </xf>
    <xf numFmtId="0" fontId="0" fillId="29" borderId="0" xfId="0" applyFill="1">
      <alignment readingOrder="1"/>
    </xf>
    <xf numFmtId="0" fontId="10" fillId="0" borderId="0" xfId="0" applyFont="1" applyAlignment="1">
      <alignment wrapText="1" readingOrder="1"/>
    </xf>
    <xf numFmtId="0" fontId="0" fillId="0" borderId="0" xfId="0" applyAlignment="1">
      <alignment wrapText="1" readingOrder="1"/>
    </xf>
    <xf numFmtId="170" fontId="0" fillId="0" borderId="0" xfId="509" applyNumberFormat="1" applyFont="1">
      <alignment readingOrder="1"/>
    </xf>
    <xf numFmtId="170" fontId="0" fillId="0" borderId="0" xfId="0" applyNumberFormat="1" applyFill="1">
      <alignment readingOrder="1"/>
    </xf>
    <xf numFmtId="175" fontId="0" fillId="0" borderId="0" xfId="508" applyNumberFormat="1" applyFont="1">
      <alignment readingOrder="1"/>
    </xf>
    <xf numFmtId="9" fontId="0" fillId="0" borderId="0" xfId="424" applyFont="1">
      <alignment readingOrder="1"/>
    </xf>
    <xf numFmtId="170" fontId="0" fillId="71" borderId="0" xfId="0" applyNumberFormat="1" applyFill="1">
      <alignment readingOrder="1"/>
    </xf>
    <xf numFmtId="170" fontId="0" fillId="0" borderId="0" xfId="0" applyNumberFormat="1">
      <alignment readingOrder="1"/>
    </xf>
    <xf numFmtId="0" fontId="0" fillId="15" borderId="0" xfId="0" applyFill="1" applyBorder="1">
      <alignment readingOrder="1"/>
    </xf>
    <xf numFmtId="0" fontId="10" fillId="71" borderId="44" xfId="0" applyFont="1" applyFill="1" applyBorder="1">
      <alignment readingOrder="1"/>
    </xf>
    <xf numFmtId="0" fontId="10" fillId="71" borderId="70" xfId="0" applyFont="1" applyFill="1" applyBorder="1">
      <alignment readingOrder="1"/>
    </xf>
    <xf numFmtId="0" fontId="10" fillId="32" borderId="50" xfId="0" applyFont="1" applyFill="1" applyBorder="1" applyAlignment="1">
      <alignment horizontal="center" wrapText="1" readingOrder="1"/>
    </xf>
    <xf numFmtId="0" fontId="10" fillId="32" borderId="13" xfId="0" applyFont="1" applyFill="1" applyBorder="1" applyAlignment="1">
      <alignment horizontal="center" wrapText="1" readingOrder="1"/>
    </xf>
    <xf numFmtId="0" fontId="10" fillId="32" borderId="51" xfId="0" applyFont="1" applyFill="1" applyBorder="1" applyAlignment="1">
      <alignment horizontal="center" wrapText="1" readingOrder="1"/>
    </xf>
    <xf numFmtId="0" fontId="10" fillId="77" borderId="50" xfId="0" applyFont="1" applyFill="1" applyBorder="1" applyAlignment="1">
      <alignment horizontal="center" wrapText="1" readingOrder="1"/>
    </xf>
    <xf numFmtId="0" fontId="10" fillId="77" borderId="51" xfId="0" applyFont="1" applyFill="1" applyBorder="1" applyAlignment="1">
      <alignment horizontal="center" wrapText="1" readingOrder="1"/>
    </xf>
    <xf numFmtId="0" fontId="10" fillId="0" borderId="3" xfId="0" applyFont="1" applyBorder="1">
      <alignment readingOrder="1"/>
    </xf>
    <xf numFmtId="0" fontId="10" fillId="0" borderId="15" xfId="0" applyFont="1" applyBorder="1">
      <alignment readingOrder="1"/>
    </xf>
    <xf numFmtId="0" fontId="10" fillId="0" borderId="45" xfId="0" applyFont="1" applyBorder="1">
      <alignment readingOrder="1"/>
    </xf>
    <xf numFmtId="0" fontId="0" fillId="0" borderId="33" xfId="0" applyBorder="1" applyAlignment="1">
      <alignment horizontal="center" readingOrder="1"/>
    </xf>
    <xf numFmtId="0" fontId="0" fillId="0" borderId="46" xfId="0" applyBorder="1" applyAlignment="1">
      <alignment horizontal="center" readingOrder="1"/>
    </xf>
    <xf numFmtId="0" fontId="0" fillId="0" borderId="34" xfId="0" applyBorder="1" applyAlignment="1">
      <alignment horizontal="center" readingOrder="1"/>
    </xf>
    <xf numFmtId="0" fontId="0" fillId="0" borderId="37" xfId="0" applyBorder="1" applyAlignment="1">
      <alignment horizontal="center" readingOrder="1"/>
    </xf>
    <xf numFmtId="0" fontId="0" fillId="0" borderId="3" xfId="0" applyBorder="1" applyAlignment="1">
      <alignment horizontal="center" readingOrder="1"/>
    </xf>
    <xf numFmtId="0" fontId="0" fillId="0" borderId="38" xfId="0" applyBorder="1" applyAlignment="1">
      <alignment horizontal="center" readingOrder="1"/>
    </xf>
    <xf numFmtId="0" fontId="10" fillId="0" borderId="41" xfId="0" applyFont="1" applyBorder="1">
      <alignment readingOrder="1"/>
    </xf>
    <xf numFmtId="0" fontId="0" fillId="0" borderId="39" xfId="0" applyBorder="1" applyAlignment="1">
      <alignment horizontal="center" readingOrder="1"/>
    </xf>
    <xf numFmtId="0" fontId="0" fillId="0" borderId="40" xfId="0" applyBorder="1" applyAlignment="1">
      <alignment horizontal="center" readingOrder="1"/>
    </xf>
    <xf numFmtId="0" fontId="0" fillId="0" borderId="42" xfId="0" applyBorder="1" applyAlignment="1">
      <alignment horizontal="center" readingOrder="1"/>
    </xf>
    <xf numFmtId="0" fontId="10" fillId="0" borderId="10" xfId="0" applyFont="1" applyBorder="1">
      <alignment readingOrder="1"/>
    </xf>
    <xf numFmtId="0" fontId="0" fillId="0" borderId="47" xfId="0" applyBorder="1" applyAlignment="1">
      <alignment horizontal="center" readingOrder="1"/>
    </xf>
    <xf numFmtId="0" fontId="0" fillId="0" borderId="17" xfId="0" applyBorder="1" applyAlignment="1">
      <alignment horizontal="center" readingOrder="1"/>
    </xf>
    <xf numFmtId="0" fontId="0" fillId="0" borderId="48" xfId="0" applyBorder="1" applyAlignment="1">
      <alignment horizontal="center" readingOrder="1"/>
    </xf>
    <xf numFmtId="0" fontId="10" fillId="0" borderId="5" xfId="0" applyFont="1" applyBorder="1">
      <alignment readingOrder="1"/>
    </xf>
    <xf numFmtId="0" fontId="0" fillId="0" borderId="50" xfId="0" applyBorder="1" applyAlignment="1">
      <alignment horizontal="center" readingOrder="1"/>
    </xf>
    <xf numFmtId="0" fontId="0" fillId="0" borderId="13" xfId="0" applyBorder="1" applyAlignment="1">
      <alignment horizontal="center" readingOrder="1"/>
    </xf>
    <xf numFmtId="0" fontId="0" fillId="0" borderId="51" xfId="0" applyBorder="1" applyAlignment="1">
      <alignment horizontal="center" readingOrder="1"/>
    </xf>
    <xf numFmtId="0" fontId="0" fillId="28" borderId="48" xfId="0" applyFill="1" applyBorder="1" applyAlignment="1">
      <alignment horizontal="center" readingOrder="1"/>
    </xf>
    <xf numFmtId="0" fontId="0" fillId="28" borderId="38" xfId="0" applyFill="1" applyBorder="1" applyAlignment="1">
      <alignment horizontal="center" readingOrder="1"/>
    </xf>
    <xf numFmtId="0" fontId="10" fillId="26" borderId="0" xfId="0" applyFont="1" applyFill="1">
      <alignment readingOrder="1"/>
    </xf>
    <xf numFmtId="0" fontId="10" fillId="69" borderId="0" xfId="0" applyFont="1" applyFill="1">
      <alignment readingOrder="1"/>
    </xf>
    <xf numFmtId="0" fontId="10" fillId="33" borderId="0" xfId="0" applyFont="1" applyFill="1">
      <alignment readingOrder="1"/>
    </xf>
    <xf numFmtId="0" fontId="10" fillId="82" borderId="0" xfId="0" applyFont="1" applyFill="1">
      <alignment readingOrder="1"/>
    </xf>
    <xf numFmtId="0" fontId="10" fillId="31" borderId="0" xfId="0" applyFont="1" applyFill="1">
      <alignment readingOrder="1"/>
    </xf>
    <xf numFmtId="0" fontId="0" fillId="32" borderId="0" xfId="0" applyFill="1">
      <alignment readingOrder="1"/>
    </xf>
    <xf numFmtId="175" fontId="0" fillId="0" borderId="3" xfId="508" applyNumberFormat="1" applyFont="1" applyBorder="1">
      <alignment readingOrder="1"/>
    </xf>
    <xf numFmtId="9" fontId="0" fillId="0" borderId="3" xfId="424" applyFont="1" applyBorder="1">
      <alignment readingOrder="1"/>
    </xf>
    <xf numFmtId="175" fontId="0" fillId="0" borderId="3" xfId="0" applyNumberFormat="1" applyBorder="1">
      <alignment readingOrder="1"/>
    </xf>
    <xf numFmtId="170" fontId="0" fillId="0" borderId="3" xfId="0" applyNumberFormat="1" applyBorder="1">
      <alignment readingOrder="1"/>
    </xf>
    <xf numFmtId="43" fontId="0" fillId="0" borderId="3" xfId="0" applyNumberFormat="1" applyBorder="1">
      <alignment readingOrder="1"/>
    </xf>
    <xf numFmtId="0" fontId="10" fillId="0" borderId="3" xfId="0" applyFont="1" applyBorder="1" applyAlignment="1">
      <alignment wrapText="1" readingOrder="1"/>
    </xf>
    <xf numFmtId="0" fontId="10" fillId="0" borderId="3" xfId="0" applyFont="1" applyFill="1" applyBorder="1" applyAlignment="1">
      <alignment wrapText="1" readingOrder="1"/>
    </xf>
    <xf numFmtId="0" fontId="5" fillId="0" borderId="3" xfId="0" applyFont="1" applyBorder="1">
      <alignment readingOrder="1"/>
    </xf>
    <xf numFmtId="0" fontId="0" fillId="0" borderId="3" xfId="0" applyBorder="1">
      <alignment readingOrder="1"/>
    </xf>
    <xf numFmtId="175" fontId="0" fillId="0" borderId="3" xfId="508" applyNumberFormat="1" applyFont="1" applyFill="1" applyBorder="1">
      <alignment readingOrder="1"/>
    </xf>
    <xf numFmtId="1" fontId="0" fillId="0" borderId="3" xfId="0" applyNumberFormat="1" applyBorder="1">
      <alignment readingOrder="1"/>
    </xf>
    <xf numFmtId="166" fontId="0" fillId="0" borderId="3" xfId="0" applyNumberFormat="1" applyBorder="1">
      <alignment readingOrder="1"/>
    </xf>
    <xf numFmtId="1" fontId="0" fillId="0" borderId="3" xfId="424" applyNumberFormat="1" applyFont="1" applyBorder="1">
      <alignment readingOrder="1"/>
    </xf>
    <xf numFmtId="175" fontId="0" fillId="0" borderId="3" xfId="508" applyNumberFormat="1" applyFont="1" applyFill="1" applyBorder="1" applyAlignment="1">
      <alignment wrapText="1" readingOrder="1"/>
    </xf>
    <xf numFmtId="1" fontId="0" fillId="0" borderId="0" xfId="0" applyNumberFormat="1" applyBorder="1">
      <alignment readingOrder="1"/>
    </xf>
    <xf numFmtId="0" fontId="0" fillId="28" borderId="0" xfId="0" applyFill="1">
      <alignment readingOrder="1"/>
    </xf>
    <xf numFmtId="0" fontId="10" fillId="0" borderId="33" xfId="0" applyFont="1" applyBorder="1">
      <alignment readingOrder="1"/>
    </xf>
    <xf numFmtId="0" fontId="10" fillId="0" borderId="46" xfId="0" applyFont="1" applyBorder="1">
      <alignment readingOrder="1"/>
    </xf>
    <xf numFmtId="0" fontId="10" fillId="0" borderId="46" xfId="0" applyFont="1" applyBorder="1" applyAlignment="1">
      <alignment wrapText="1" readingOrder="1"/>
    </xf>
    <xf numFmtId="0" fontId="10" fillId="0" borderId="34" xfId="0" applyFont="1" applyBorder="1" applyAlignment="1">
      <alignment wrapText="1" readingOrder="1"/>
    </xf>
    <xf numFmtId="0" fontId="0" fillId="0" borderId="37" xfId="0" applyBorder="1">
      <alignment readingOrder="1"/>
    </xf>
    <xf numFmtId="0" fontId="0" fillId="0" borderId="38" xfId="0" applyBorder="1">
      <alignment readingOrder="1"/>
    </xf>
    <xf numFmtId="0" fontId="0" fillId="0" borderId="39" xfId="0" applyBorder="1">
      <alignment readingOrder="1"/>
    </xf>
    <xf numFmtId="0" fontId="0" fillId="0" borderId="40" xfId="0" applyBorder="1">
      <alignment readingOrder="1"/>
    </xf>
    <xf numFmtId="0" fontId="0" fillId="0" borderId="42" xfId="0" applyBorder="1">
      <alignment readingOrder="1"/>
    </xf>
    <xf numFmtId="0" fontId="5" fillId="0" borderId="0" xfId="0" applyFont="1" applyAlignment="1">
      <alignment readingOrder="1"/>
    </xf>
    <xf numFmtId="1" fontId="0" fillId="0" borderId="38" xfId="0" applyNumberFormat="1" applyBorder="1">
      <alignment readingOrder="1"/>
    </xf>
    <xf numFmtId="1" fontId="0" fillId="0" borderId="40" xfId="0" applyNumberFormat="1" applyBorder="1">
      <alignment readingOrder="1"/>
    </xf>
    <xf numFmtId="1" fontId="0" fillId="0" borderId="42" xfId="0" applyNumberFormat="1" applyBorder="1">
      <alignment readingOrder="1"/>
    </xf>
    <xf numFmtId="1" fontId="10" fillId="77" borderId="0" xfId="0" applyNumberFormat="1" applyFont="1" applyFill="1">
      <alignment readingOrder="1"/>
    </xf>
    <xf numFmtId="1" fontId="0" fillId="77" borderId="0" xfId="0" applyNumberFormat="1" applyFill="1">
      <alignment readingOrder="1"/>
    </xf>
    <xf numFmtId="0" fontId="0" fillId="77" borderId="0" xfId="0" applyFill="1">
      <alignment readingOrder="1"/>
    </xf>
    <xf numFmtId="0" fontId="10" fillId="0" borderId="33" xfId="0" applyFont="1" applyBorder="1" applyAlignment="1">
      <alignment wrapText="1" readingOrder="1"/>
    </xf>
    <xf numFmtId="1" fontId="10" fillId="0" borderId="46" xfId="0" applyNumberFormat="1" applyFont="1" applyBorder="1" applyAlignment="1">
      <alignment horizontal="center" wrapText="1" readingOrder="1"/>
    </xf>
    <xf numFmtId="1" fontId="10" fillId="0" borderId="34" xfId="0" applyNumberFormat="1" applyFont="1" applyBorder="1" applyAlignment="1">
      <alignment horizontal="center" wrapText="1" readingOrder="1"/>
    </xf>
    <xf numFmtId="0" fontId="5" fillId="0" borderId="37" xfId="0" applyFont="1" applyBorder="1">
      <alignment readingOrder="1"/>
    </xf>
    <xf numFmtId="1" fontId="0" fillId="0" borderId="3" xfId="0" applyNumberFormat="1" applyBorder="1" applyAlignment="1">
      <alignment horizontal="center" readingOrder="1"/>
    </xf>
    <xf numFmtId="1" fontId="5" fillId="15" borderId="38" xfId="0" applyNumberFormat="1" applyFont="1" applyFill="1" applyBorder="1" applyAlignment="1">
      <alignment horizontal="center" readingOrder="1"/>
    </xf>
    <xf numFmtId="0" fontId="5" fillId="28" borderId="0" xfId="0" applyFont="1" applyFill="1">
      <alignment readingOrder="1"/>
    </xf>
    <xf numFmtId="1" fontId="0" fillId="0" borderId="38" xfId="0" applyNumberFormat="1" applyBorder="1" applyAlignment="1">
      <alignment horizontal="center" readingOrder="1"/>
    </xf>
    <xf numFmtId="0" fontId="5" fillId="85" borderId="0" xfId="0" applyFont="1" applyFill="1">
      <alignment readingOrder="1"/>
    </xf>
    <xf numFmtId="1" fontId="0" fillId="85" borderId="3" xfId="0" applyNumberFormat="1" applyFill="1" applyBorder="1" applyAlignment="1">
      <alignment horizontal="center" readingOrder="1"/>
    </xf>
    <xf numFmtId="1" fontId="0" fillId="30" borderId="38" xfId="0" applyNumberFormat="1" applyFill="1" applyBorder="1" applyAlignment="1">
      <alignment horizontal="center" readingOrder="1"/>
    </xf>
    <xf numFmtId="0" fontId="5" fillId="30" borderId="0" xfId="0" applyFont="1" applyFill="1">
      <alignment readingOrder="1"/>
    </xf>
    <xf numFmtId="1" fontId="0" fillId="85" borderId="38" xfId="0" applyNumberFormat="1" applyFill="1" applyBorder="1" applyAlignment="1">
      <alignment horizontal="center" readingOrder="1"/>
    </xf>
    <xf numFmtId="0" fontId="5" fillId="0" borderId="39" xfId="0" applyFont="1" applyBorder="1">
      <alignment readingOrder="1"/>
    </xf>
    <xf numFmtId="0" fontId="5" fillId="0" borderId="40" xfId="0" applyFont="1" applyBorder="1">
      <alignment readingOrder="1"/>
    </xf>
    <xf numFmtId="1" fontId="0" fillId="0" borderId="40" xfId="0" applyNumberFormat="1" applyFill="1" applyBorder="1" applyAlignment="1">
      <alignment horizontal="center" readingOrder="1"/>
    </xf>
    <xf numFmtId="1" fontId="0" fillId="0" borderId="42" xfId="0" applyNumberFormat="1" applyFill="1" applyBorder="1" applyAlignment="1">
      <alignment horizontal="center" readingOrder="1"/>
    </xf>
    <xf numFmtId="1" fontId="5" fillId="0" borderId="0" xfId="0" applyNumberFormat="1" applyFont="1" applyFill="1" applyBorder="1" applyAlignment="1">
      <alignment horizontal="left" readingOrder="1"/>
    </xf>
    <xf numFmtId="1" fontId="10" fillId="0" borderId="34" xfId="0" applyNumberFormat="1" applyFont="1" applyBorder="1">
      <alignment readingOrder="1"/>
    </xf>
    <xf numFmtId="1" fontId="5" fillId="0" borderId="0" xfId="0" applyNumberFormat="1" applyFont="1" applyBorder="1">
      <alignment readingOrder="1"/>
    </xf>
    <xf numFmtId="0" fontId="10" fillId="0" borderId="0" xfId="0" applyFont="1" applyFill="1">
      <alignment readingOrder="1"/>
    </xf>
    <xf numFmtId="1" fontId="10" fillId="0" borderId="0" xfId="0" applyNumberFormat="1" applyFont="1" applyFill="1">
      <alignment readingOrder="1"/>
    </xf>
    <xf numFmtId="170" fontId="0" fillId="0" borderId="38" xfId="0" applyNumberFormat="1" applyBorder="1">
      <alignment readingOrder="1"/>
    </xf>
    <xf numFmtId="170" fontId="0" fillId="0" borderId="40" xfId="0" applyNumberFormat="1" applyBorder="1">
      <alignment readingOrder="1"/>
    </xf>
    <xf numFmtId="170" fontId="0" fillId="0" borderId="42" xfId="0" applyNumberFormat="1" applyBorder="1">
      <alignment readingOrder="1"/>
    </xf>
    <xf numFmtId="170" fontId="0" fillId="28" borderId="38" xfId="0" applyNumberFormat="1" applyFill="1" applyBorder="1">
      <alignment readingOrder="1"/>
    </xf>
    <xf numFmtId="170" fontId="0" fillId="0" borderId="3" xfId="0" applyNumberFormat="1" applyFill="1" applyBorder="1">
      <alignment readingOrder="1"/>
    </xf>
    <xf numFmtId="170" fontId="0" fillId="28" borderId="3" xfId="0" applyNumberFormat="1" applyFill="1" applyBorder="1">
      <alignment readingOrder="1"/>
    </xf>
    <xf numFmtId="170" fontId="0" fillId="81" borderId="3" xfId="0" applyNumberFormat="1" applyFill="1" applyBorder="1">
      <alignment readingOrder="1"/>
    </xf>
    <xf numFmtId="170" fontId="0" fillId="81" borderId="38" xfId="0" applyNumberFormat="1" applyFill="1" applyBorder="1">
      <alignment readingOrder="1"/>
    </xf>
    <xf numFmtId="0" fontId="5" fillId="81" borderId="0" xfId="0" applyFont="1" applyFill="1">
      <alignment readingOrder="1"/>
    </xf>
    <xf numFmtId="170" fontId="0" fillId="85" borderId="3" xfId="0" applyNumberFormat="1" applyFill="1" applyBorder="1">
      <alignment readingOrder="1"/>
    </xf>
    <xf numFmtId="170" fontId="0" fillId="30" borderId="38" xfId="0" applyNumberFormat="1" applyFill="1" applyBorder="1">
      <alignment readingOrder="1"/>
    </xf>
    <xf numFmtId="170" fontId="0" fillId="72" borderId="38" xfId="0" applyNumberFormat="1" applyFill="1" applyBorder="1">
      <alignment readingOrder="1"/>
    </xf>
    <xf numFmtId="0" fontId="5" fillId="72" borderId="0" xfId="0" applyFont="1" applyFill="1">
      <alignment readingOrder="1"/>
    </xf>
    <xf numFmtId="170" fontId="0" fillId="86" borderId="40" xfId="0" applyNumberFormat="1" applyFill="1" applyBorder="1">
      <alignment readingOrder="1"/>
    </xf>
    <xf numFmtId="170" fontId="0" fillId="86" borderId="42" xfId="0" applyNumberFormat="1" applyFill="1" applyBorder="1">
      <alignment readingOrder="1"/>
    </xf>
    <xf numFmtId="0" fontId="5" fillId="86" borderId="0" xfId="0" applyFont="1" applyFill="1">
      <alignment readingOrder="1"/>
    </xf>
    <xf numFmtId="0" fontId="5" fillId="0" borderId="0" xfId="0" applyFont="1" applyFill="1" applyAlignment="1">
      <alignment vertical="center" readingOrder="1"/>
    </xf>
    <xf numFmtId="0" fontId="5" fillId="0" borderId="0" xfId="0" applyFont="1" applyFill="1">
      <alignment readingOrder="1"/>
    </xf>
    <xf numFmtId="164" fontId="63" fillId="0" borderId="36" xfId="1412" applyNumberFormat="1" applyFont="1" applyFill="1" applyBorder="1"/>
    <xf numFmtId="17" fontId="0" fillId="0" borderId="0" xfId="0" applyNumberFormat="1" applyFill="1">
      <alignment readingOrder="1"/>
    </xf>
    <xf numFmtId="0" fontId="69" fillId="0" borderId="0" xfId="0" applyFont="1" applyFill="1" applyAlignment="1">
      <alignment vertical="center"/>
    </xf>
    <xf numFmtId="164" fontId="63" fillId="0" borderId="0" xfId="1412" applyNumberFormat="1" applyFont="1" applyFill="1" applyBorder="1"/>
    <xf numFmtId="0" fontId="5" fillId="0" borderId="0" xfId="0" applyFont="1" applyFill="1" applyBorder="1">
      <alignment readingOrder="1"/>
    </xf>
    <xf numFmtId="170" fontId="0" fillId="0" borderId="0" xfId="0" applyNumberFormat="1" applyBorder="1">
      <alignment readingOrder="1"/>
    </xf>
    <xf numFmtId="0" fontId="5" fillId="0" borderId="0" xfId="0" applyFont="1" applyAlignment="1">
      <alignment wrapText="1" readingOrder="1"/>
    </xf>
    <xf numFmtId="170" fontId="5" fillId="0" borderId="0" xfId="0" applyNumberFormat="1" applyFont="1">
      <alignment readingOrder="1"/>
    </xf>
    <xf numFmtId="170" fontId="10" fillId="0" borderId="0" xfId="0" applyNumberFormat="1" applyFont="1">
      <alignment readingOrder="1"/>
    </xf>
    <xf numFmtId="9" fontId="0" fillId="0" borderId="0" xfId="0" applyNumberFormat="1">
      <alignment readingOrder="1"/>
    </xf>
    <xf numFmtId="0" fontId="5" fillId="0" borderId="24" xfId="0" applyFont="1" applyBorder="1">
      <alignment readingOrder="1"/>
    </xf>
    <xf numFmtId="170" fontId="10" fillId="0" borderId="46" xfId="0" applyNumberFormat="1" applyFont="1" applyFill="1" applyBorder="1" applyAlignment="1">
      <alignment wrapText="1" readingOrder="1"/>
    </xf>
    <xf numFmtId="170" fontId="10" fillId="0" borderId="46" xfId="0" applyNumberFormat="1" applyFont="1" applyFill="1" applyBorder="1">
      <alignment readingOrder="1"/>
    </xf>
    <xf numFmtId="170" fontId="10" fillId="0" borderId="46" xfId="0" applyNumberFormat="1" applyFont="1" applyBorder="1" applyAlignment="1">
      <alignment wrapText="1" readingOrder="1"/>
    </xf>
    <xf numFmtId="170" fontId="10" fillId="0" borderId="34" xfId="0" applyNumberFormat="1" applyFont="1" applyBorder="1" applyAlignment="1">
      <alignment wrapText="1" readingOrder="1"/>
    </xf>
    <xf numFmtId="170" fontId="5" fillId="0" borderId="3" xfId="0" applyNumberFormat="1" applyFont="1" applyBorder="1">
      <alignment readingOrder="1"/>
    </xf>
    <xf numFmtId="170" fontId="5" fillId="0" borderId="38" xfId="0" applyNumberFormat="1" applyFont="1" applyBorder="1">
      <alignment readingOrder="1"/>
    </xf>
    <xf numFmtId="170" fontId="5" fillId="0" borderId="40" xfId="0" applyNumberFormat="1" applyFont="1" applyBorder="1">
      <alignment readingOrder="1"/>
    </xf>
    <xf numFmtId="170" fontId="5" fillId="0" borderId="42" xfId="0" applyNumberFormat="1" applyFont="1" applyBorder="1">
      <alignment readingOrder="1"/>
    </xf>
    <xf numFmtId="0" fontId="10" fillId="69" borderId="0" xfId="198" applyFont="1" applyFill="1"/>
    <xf numFmtId="0" fontId="5" fillId="69" borderId="0" xfId="198" applyFill="1"/>
    <xf numFmtId="0" fontId="5" fillId="69" borderId="0" xfId="198" applyFill="1">
      <alignment readingOrder="1"/>
    </xf>
    <xf numFmtId="0" fontId="11" fillId="27" borderId="33" xfId="198" applyFont="1" applyFill="1" applyBorder="1" applyAlignment="1">
      <alignment horizontal="center" vertical="center"/>
    </xf>
    <xf numFmtId="0" fontId="10" fillId="27" borderId="34" xfId="198" applyFont="1" applyFill="1" applyBorder="1" applyAlignment="1">
      <alignment horizontal="center" vertical="center" wrapText="1"/>
    </xf>
    <xf numFmtId="0" fontId="5" fillId="0" borderId="0" xfId="198"/>
    <xf numFmtId="0" fontId="5" fillId="0" borderId="0" xfId="198">
      <alignment readingOrder="1"/>
    </xf>
    <xf numFmtId="0" fontId="11" fillId="0" borderId="37" xfId="198" applyFont="1" applyBorder="1" applyAlignment="1">
      <alignment horizontal="center" vertical="center"/>
    </xf>
    <xf numFmtId="175" fontId="5" fillId="0" borderId="38" xfId="508" applyNumberFormat="1" applyFont="1" applyBorder="1" applyAlignment="1">
      <alignment horizontal="center" vertical="center"/>
    </xf>
    <xf numFmtId="0" fontId="45" fillId="0" borderId="0" xfId="1077"/>
    <xf numFmtId="0" fontId="5" fillId="0" borderId="0" xfId="198" applyFont="1"/>
    <xf numFmtId="0" fontId="5" fillId="0" borderId="0" xfId="198" applyBorder="1"/>
    <xf numFmtId="0" fontId="5" fillId="0" borderId="29" xfId="198" applyBorder="1">
      <alignment readingOrder="1"/>
    </xf>
    <xf numFmtId="0" fontId="5" fillId="0" borderId="55" xfId="198" applyBorder="1" applyAlignment="1">
      <alignment horizontal="center" readingOrder="1"/>
    </xf>
    <xf numFmtId="0" fontId="5" fillId="0" borderId="32" xfId="1229" applyBorder="1" applyAlignment="1">
      <alignment horizontal="center"/>
    </xf>
    <xf numFmtId="0" fontId="5" fillId="0" borderId="71" xfId="1229" applyBorder="1" applyAlignment="1">
      <alignment horizontal="center"/>
    </xf>
    <xf numFmtId="0" fontId="5" fillId="0" borderId="39" xfId="1229" applyBorder="1"/>
    <xf numFmtId="0" fontId="5" fillId="0" borderId="40" xfId="1229" applyBorder="1"/>
    <xf numFmtId="0" fontId="10" fillId="0" borderId="40" xfId="1229" applyFont="1" applyBorder="1"/>
    <xf numFmtId="0" fontId="5" fillId="0" borderId="42" xfId="1229" applyBorder="1"/>
    <xf numFmtId="0" fontId="5" fillId="0" borderId="72" xfId="1229" applyBorder="1"/>
    <xf numFmtId="0" fontId="5" fillId="0" borderId="47" xfId="1229" applyBorder="1"/>
    <xf numFmtId="176" fontId="5" fillId="0" borderId="17" xfId="95" applyNumberFormat="1" applyBorder="1"/>
    <xf numFmtId="176" fontId="10" fillId="0" borderId="17" xfId="95" applyNumberFormat="1" applyFont="1" applyBorder="1"/>
    <xf numFmtId="176" fontId="5" fillId="0" borderId="48" xfId="95" applyNumberFormat="1" applyBorder="1"/>
    <xf numFmtId="176" fontId="5" fillId="0" borderId="17" xfId="95" applyNumberFormat="1" applyFill="1" applyBorder="1"/>
    <xf numFmtId="0" fontId="5" fillId="0" borderId="73" xfId="1229" applyBorder="1"/>
    <xf numFmtId="0" fontId="5" fillId="0" borderId="37" xfId="1229" applyBorder="1"/>
    <xf numFmtId="176" fontId="5" fillId="0" borderId="3" xfId="95" applyNumberFormat="1" applyBorder="1"/>
    <xf numFmtId="176" fontId="10" fillId="0" borderId="3" xfId="95" applyNumberFormat="1" applyFont="1" applyBorder="1"/>
    <xf numFmtId="176" fontId="5" fillId="0" borderId="38" xfId="95" applyNumberFormat="1" applyBorder="1"/>
    <xf numFmtId="176" fontId="10" fillId="18" borderId="3" xfId="95" applyNumberFormat="1" applyFont="1" applyFill="1" applyBorder="1"/>
    <xf numFmtId="176" fontId="10" fillId="18" borderId="17" xfId="95" applyNumberFormat="1" applyFont="1" applyFill="1" applyBorder="1"/>
    <xf numFmtId="0" fontId="5" fillId="0" borderId="71" xfId="1229" applyBorder="1"/>
    <xf numFmtId="176" fontId="5" fillId="0" borderId="40" xfId="95" applyNumberFormat="1" applyBorder="1"/>
    <xf numFmtId="176" fontId="10" fillId="0" borderId="40" xfId="95" applyNumberFormat="1" applyFont="1" applyBorder="1"/>
    <xf numFmtId="176" fontId="5" fillId="0" borderId="42" xfId="95" applyNumberFormat="1" applyBorder="1"/>
    <xf numFmtId="176" fontId="5" fillId="0" borderId="53" xfId="95" applyNumberFormat="1" applyBorder="1"/>
    <xf numFmtId="0" fontId="70" fillId="87" borderId="0" xfId="198" applyFont="1" applyFill="1" applyBorder="1" applyAlignment="1"/>
    <xf numFmtId="0" fontId="5" fillId="0" borderId="0" xfId="1227">
      <alignment readingOrder="1"/>
    </xf>
    <xf numFmtId="0" fontId="5" fillId="0" borderId="0" xfId="198" applyFont="1">
      <alignment readingOrder="1"/>
    </xf>
    <xf numFmtId="0" fontId="5" fillId="0" borderId="0" xfId="1227" applyFont="1">
      <alignment readingOrder="1"/>
    </xf>
    <xf numFmtId="0" fontId="71" fillId="17" borderId="0" xfId="198" applyFont="1" applyFill="1"/>
    <xf numFmtId="0" fontId="5" fillId="0" borderId="0" xfId="198" applyAlignment="1">
      <alignment wrapText="1" readingOrder="1"/>
    </xf>
    <xf numFmtId="9" fontId="5" fillId="0" borderId="0" xfId="198" applyNumberFormat="1">
      <alignment readingOrder="1"/>
    </xf>
    <xf numFmtId="9" fontId="5" fillId="0" borderId="0" xfId="424">
      <alignment readingOrder="1"/>
    </xf>
    <xf numFmtId="9" fontId="5" fillId="85" borderId="0" xfId="198" applyNumberFormat="1" applyFill="1">
      <alignment readingOrder="1"/>
    </xf>
    <xf numFmtId="9" fontId="5" fillId="85" borderId="0" xfId="424" applyFill="1">
      <alignment readingOrder="1"/>
    </xf>
    <xf numFmtId="0" fontId="10" fillId="71" borderId="0" xfId="176" applyFont="1" applyFill="1">
      <alignment readingOrder="1"/>
    </xf>
    <xf numFmtId="0" fontId="5" fillId="71" borderId="0" xfId="176" applyFill="1">
      <alignment readingOrder="1"/>
    </xf>
    <xf numFmtId="0" fontId="5" fillId="0" borderId="33" xfId="1228" applyBorder="1"/>
    <xf numFmtId="9" fontId="5" fillId="0" borderId="34" xfId="424" applyBorder="1"/>
    <xf numFmtId="0" fontId="5" fillId="0" borderId="37" xfId="1228" applyBorder="1"/>
    <xf numFmtId="9" fontId="5" fillId="0" borderId="38" xfId="424" applyBorder="1"/>
    <xf numFmtId="0" fontId="5" fillId="0" borderId="47" xfId="1228" applyBorder="1"/>
    <xf numFmtId="9" fontId="5" fillId="16" borderId="17" xfId="424" applyFill="1" applyBorder="1"/>
    <xf numFmtId="9" fontId="5" fillId="88" borderId="48" xfId="1228" applyNumberFormat="1" applyFill="1" applyBorder="1"/>
    <xf numFmtId="9" fontId="5" fillId="0" borderId="38" xfId="1228" applyNumberFormat="1" applyBorder="1"/>
    <xf numFmtId="0" fontId="5" fillId="0" borderId="37" xfId="1228" applyFill="1" applyBorder="1"/>
    <xf numFmtId="0" fontId="5" fillId="0" borderId="38" xfId="1228" applyBorder="1"/>
    <xf numFmtId="0" fontId="5" fillId="0" borderId="39" xfId="1228" applyBorder="1"/>
    <xf numFmtId="0" fontId="5" fillId="0" borderId="42" xfId="1228" applyBorder="1"/>
    <xf numFmtId="0" fontId="5" fillId="18" borderId="29" xfId="1228" applyFill="1" applyBorder="1" applyAlignment="1">
      <alignment wrapText="1"/>
    </xf>
    <xf numFmtId="0" fontId="5" fillId="18" borderId="56" xfId="1228" applyFill="1" applyBorder="1" applyAlignment="1">
      <alignment wrapText="1"/>
    </xf>
    <xf numFmtId="0" fontId="5" fillId="18" borderId="55" xfId="1228" applyFill="1" applyBorder="1" applyAlignment="1">
      <alignment wrapText="1"/>
    </xf>
    <xf numFmtId="0" fontId="0" fillId="0" borderId="0" xfId="0" applyAlignment="1">
      <alignment vertical="center"/>
    </xf>
    <xf numFmtId="0" fontId="72" fillId="89" borderId="37" xfId="0" applyFont="1" applyFill="1" applyBorder="1" applyAlignment="1">
      <alignment horizontal="center" vertical="center" wrapText="1"/>
    </xf>
    <xf numFmtId="0" fontId="72" fillId="89" borderId="38" xfId="0" applyFont="1" applyFill="1" applyBorder="1" applyAlignment="1">
      <alignment horizontal="center" vertical="center" wrapText="1"/>
    </xf>
    <xf numFmtId="0" fontId="0" fillId="89" borderId="35" xfId="0" applyFill="1" applyBorder="1" applyAlignment="1">
      <alignment horizontal="center" vertical="center" wrapText="1"/>
    </xf>
    <xf numFmtId="0" fontId="0" fillId="0" borderId="73" xfId="0" applyBorder="1" applyAlignment="1">
      <alignment vertical="center" wrapText="1"/>
    </xf>
    <xf numFmtId="2" fontId="0" fillId="0" borderId="37" xfId="508" applyNumberFormat="1" applyFont="1" applyBorder="1" applyAlignment="1">
      <alignment horizontal="center" vertical="center"/>
    </xf>
    <xf numFmtId="2" fontId="0" fillId="0" borderId="38" xfId="508" applyNumberFormat="1" applyFont="1" applyBorder="1" applyAlignment="1">
      <alignment horizontal="center" vertical="center"/>
    </xf>
    <xf numFmtId="9" fontId="0" fillId="0" borderId="49" xfId="424" applyNumberFormat="1" applyFont="1" applyBorder="1" applyAlignment="1">
      <alignment horizontal="center" vertical="center"/>
    </xf>
    <xf numFmtId="9" fontId="0" fillId="0" borderId="49" xfId="424" applyFont="1" applyBorder="1" applyAlignment="1">
      <alignment horizontal="center" vertical="center"/>
    </xf>
    <xf numFmtId="0" fontId="0" fillId="0" borderId="71" xfId="0" applyBorder="1" applyAlignment="1">
      <alignment vertical="center"/>
    </xf>
    <xf numFmtId="2" fontId="0" fillId="0" borderId="42" xfId="508" applyNumberFormat="1" applyFont="1" applyBorder="1" applyAlignment="1">
      <alignment horizontal="center" vertical="center"/>
    </xf>
    <xf numFmtId="9" fontId="0" fillId="0" borderId="43" xfId="424" applyFont="1" applyBorder="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2" fontId="0" fillId="0" borderId="37" xfId="424" applyNumberFormat="1" applyFont="1" applyBorder="1" applyAlignment="1">
      <alignment horizontal="center" vertical="center"/>
    </xf>
    <xf numFmtId="2" fontId="0" fillId="0" borderId="38" xfId="424" applyNumberFormat="1" applyFont="1" applyBorder="1" applyAlignment="1">
      <alignment horizontal="center" vertical="center"/>
    </xf>
    <xf numFmtId="0" fontId="0" fillId="0" borderId="71" xfId="0" applyBorder="1" applyAlignment="1">
      <alignment horizontal="center" vertical="center"/>
    </xf>
    <xf numFmtId="2" fontId="0" fillId="0" borderId="42" xfId="424" applyNumberFormat="1" applyFont="1" applyBorder="1" applyAlignment="1">
      <alignment horizontal="center" vertical="center"/>
    </xf>
    <xf numFmtId="0" fontId="0" fillId="89" borderId="39" xfId="0" applyFill="1" applyBorder="1" applyAlignment="1">
      <alignment vertical="center" wrapText="1"/>
    </xf>
    <xf numFmtId="177" fontId="0" fillId="89" borderId="40" xfId="0" applyNumberFormat="1" applyFill="1" applyBorder="1" applyAlignment="1">
      <alignment horizontal="center" vertical="center" wrapText="1"/>
    </xf>
    <xf numFmtId="0" fontId="0" fillId="89" borderId="42" xfId="0" applyFill="1" applyBorder="1" applyAlignment="1">
      <alignment horizontal="center" vertical="center" wrapText="1"/>
    </xf>
    <xf numFmtId="0" fontId="0" fillId="0" borderId="47" xfId="0" applyBorder="1" applyAlignment="1">
      <alignment vertical="center"/>
    </xf>
    <xf numFmtId="2" fontId="0" fillId="0" borderId="17" xfId="424" applyNumberFormat="1" applyFont="1" applyBorder="1" applyAlignment="1">
      <alignment horizontal="center" vertical="center"/>
    </xf>
    <xf numFmtId="2" fontId="0" fillId="0" borderId="48" xfId="424" applyNumberFormat="1" applyFont="1" applyBorder="1" applyAlignment="1">
      <alignment horizontal="center" vertical="center"/>
    </xf>
    <xf numFmtId="0" fontId="0" fillId="0" borderId="39" xfId="0" applyBorder="1" applyAlignment="1">
      <alignment vertical="center"/>
    </xf>
    <xf numFmtId="2" fontId="0" fillId="0" borderId="40" xfId="424" applyNumberFormat="1" applyFont="1" applyBorder="1" applyAlignment="1">
      <alignment horizontal="center" vertical="center"/>
    </xf>
    <xf numFmtId="0" fontId="74" fillId="0" borderId="52" xfId="0" applyFont="1" applyBorder="1" applyAlignment="1">
      <alignment vertical="center"/>
    </xf>
    <xf numFmtId="2" fontId="74" fillId="0" borderId="53" xfId="0" applyNumberFormat="1" applyFont="1" applyBorder="1" applyAlignment="1">
      <alignment horizontal="center" vertical="center"/>
    </xf>
    <xf numFmtId="2" fontId="74" fillId="0" borderId="54" xfId="0" applyNumberFormat="1" applyFont="1" applyBorder="1" applyAlignment="1">
      <alignment horizontal="center" vertical="center"/>
    </xf>
    <xf numFmtId="9" fontId="0" fillId="0" borderId="0" xfId="0" applyNumberFormat="1" applyAlignment="1">
      <alignment vertical="center"/>
    </xf>
    <xf numFmtId="0" fontId="10" fillId="27" borderId="0" xfId="176" applyFont="1" applyFill="1">
      <alignment readingOrder="1"/>
    </xf>
    <xf numFmtId="0" fontId="5" fillId="27" borderId="0" xfId="176" applyFill="1">
      <alignment readingOrder="1"/>
    </xf>
    <xf numFmtId="0" fontId="5" fillId="0" borderId="0" xfId="176" applyFont="1">
      <alignment readingOrder="1"/>
    </xf>
    <xf numFmtId="0" fontId="10" fillId="0" borderId="0" xfId="176" applyFont="1">
      <alignment readingOrder="1"/>
    </xf>
    <xf numFmtId="0" fontId="11" fillId="0" borderId="33" xfId="176" applyFont="1" applyBorder="1"/>
    <xf numFmtId="0" fontId="11" fillId="0" borderId="46" xfId="176" applyFont="1" applyBorder="1" applyAlignment="1">
      <alignment horizontal="center" wrapText="1"/>
    </xf>
    <xf numFmtId="0" fontId="11" fillId="0" borderId="34" xfId="176" applyFont="1" applyBorder="1" applyAlignment="1">
      <alignment horizontal="center" wrapText="1"/>
    </xf>
    <xf numFmtId="0" fontId="11" fillId="0" borderId="37" xfId="176" applyFont="1" applyBorder="1" applyAlignment="1">
      <alignment horizontal="right"/>
    </xf>
    <xf numFmtId="9" fontId="5" fillId="0" borderId="3" xfId="424" applyBorder="1" applyAlignment="1">
      <alignment horizontal="center"/>
    </xf>
    <xf numFmtId="9" fontId="5" fillId="0" borderId="38" xfId="424" applyBorder="1" applyAlignment="1">
      <alignment horizontal="center"/>
    </xf>
    <xf numFmtId="0" fontId="11" fillId="0" borderId="37" xfId="176" applyFont="1" applyFill="1" applyBorder="1" applyAlignment="1">
      <alignment horizontal="right"/>
    </xf>
    <xf numFmtId="0" fontId="11" fillId="0" borderId="39" xfId="176" applyFont="1" applyBorder="1" applyAlignment="1">
      <alignment horizontal="right"/>
    </xf>
    <xf numFmtId="9" fontId="5" fillId="0" borderId="40" xfId="424" applyBorder="1" applyAlignment="1">
      <alignment horizontal="center"/>
    </xf>
    <xf numFmtId="9" fontId="5" fillId="0" borderId="42" xfId="424" applyBorder="1" applyAlignment="1">
      <alignment horizontal="center"/>
    </xf>
    <xf numFmtId="0" fontId="75" fillId="0" borderId="0" xfId="176" applyFont="1" applyFill="1" applyBorder="1" applyAlignment="1">
      <alignment horizontal="left"/>
    </xf>
    <xf numFmtId="9" fontId="5" fillId="0" borderId="0" xfId="424" applyBorder="1" applyAlignment="1">
      <alignment horizontal="center"/>
    </xf>
    <xf numFmtId="0" fontId="11" fillId="0" borderId="0" xfId="176" applyFont="1" applyFill="1" applyBorder="1" applyAlignment="1">
      <alignment horizontal="right"/>
    </xf>
    <xf numFmtId="0" fontId="11" fillId="0" borderId="0" xfId="176" applyFont="1" applyFill="1" applyBorder="1" applyAlignment="1">
      <alignment horizontal="left"/>
    </xf>
    <xf numFmtId="0" fontId="5" fillId="0" borderId="0" xfId="176" applyAlignment="1">
      <alignment horizontal="left" vertical="center" wrapText="1" readingOrder="1"/>
    </xf>
    <xf numFmtId="0" fontId="8" fillId="0" borderId="0" xfId="369" applyFill="1" applyAlignment="1" applyProtection="1">
      <alignment readingOrder="1"/>
    </xf>
    <xf numFmtId="0" fontId="5" fillId="0" borderId="0" xfId="176" applyFill="1">
      <alignment readingOrder="1"/>
    </xf>
    <xf numFmtId="0" fontId="8" fillId="0" borderId="0" xfId="369" applyAlignment="1" applyProtection="1">
      <alignment readingOrder="1"/>
    </xf>
    <xf numFmtId="0" fontId="5" fillId="0" borderId="0" xfId="176" applyFont="1" applyAlignment="1">
      <alignment readingOrder="1"/>
    </xf>
    <xf numFmtId="0" fontId="8" fillId="0" borderId="0" xfId="1413">
      <alignment readingOrder="1"/>
    </xf>
    <xf numFmtId="0" fontId="11" fillId="0" borderId="0" xfId="176" applyFont="1" applyFill="1" applyBorder="1" applyAlignment="1"/>
    <xf numFmtId="0" fontId="5" fillId="90" borderId="31" xfId="176" applyFill="1" applyBorder="1" applyAlignment="1">
      <alignment vertical="center" wrapText="1"/>
    </xf>
    <xf numFmtId="0" fontId="76" fillId="90" borderId="27" xfId="176" applyFont="1" applyFill="1" applyBorder="1" applyAlignment="1">
      <alignment vertical="center" wrapText="1"/>
    </xf>
    <xf numFmtId="0" fontId="76" fillId="90" borderId="36" xfId="176" applyFont="1" applyFill="1" applyBorder="1" applyAlignment="1">
      <alignment vertical="center" wrapText="1"/>
    </xf>
    <xf numFmtId="0" fontId="76" fillId="90" borderId="22" xfId="176" applyFont="1" applyFill="1" applyBorder="1" applyAlignment="1">
      <alignment vertical="center" wrapText="1"/>
    </xf>
    <xf numFmtId="0" fontId="5" fillId="90" borderId="78" xfId="176" applyFill="1" applyBorder="1" applyAlignment="1">
      <alignment vertical="top" wrapText="1"/>
    </xf>
    <xf numFmtId="0" fontId="76" fillId="90" borderId="25" xfId="176" applyFont="1" applyFill="1" applyBorder="1" applyAlignment="1">
      <alignment vertical="center" wrapText="1"/>
    </xf>
    <xf numFmtId="9" fontId="77" fillId="0" borderId="30" xfId="176" applyNumberFormat="1" applyFont="1" applyBorder="1" applyAlignment="1">
      <alignment horizontal="center" vertical="center" wrapText="1"/>
    </xf>
    <xf numFmtId="0" fontId="76" fillId="0" borderId="25" xfId="176" applyFont="1" applyBorder="1" applyAlignment="1">
      <alignment horizontal="center" vertical="center" wrapText="1"/>
    </xf>
    <xf numFmtId="0" fontId="77" fillId="0" borderId="25" xfId="176" applyFont="1" applyBorder="1" applyAlignment="1">
      <alignment horizontal="center" vertical="center" wrapText="1"/>
    </xf>
    <xf numFmtId="9" fontId="77" fillId="0" borderId="25" xfId="176" applyNumberFormat="1" applyFont="1" applyBorder="1" applyAlignment="1">
      <alignment horizontal="center" vertical="center" wrapText="1"/>
    </xf>
    <xf numFmtId="9" fontId="77" fillId="0" borderId="79" xfId="176" applyNumberFormat="1" applyFont="1" applyBorder="1" applyAlignment="1">
      <alignment horizontal="center" vertical="center" wrapText="1"/>
    </xf>
    <xf numFmtId="0" fontId="10" fillId="0" borderId="0" xfId="176" applyFont="1" applyFill="1">
      <alignment readingOrder="1"/>
    </xf>
    <xf numFmtId="0" fontId="10" fillId="0" borderId="0" xfId="176" applyFont="1" applyAlignment="1">
      <alignment wrapText="1" readingOrder="1"/>
    </xf>
    <xf numFmtId="0" fontId="10" fillId="0" borderId="0" xfId="176" applyFont="1" applyFill="1" applyAlignment="1">
      <alignment wrapText="1" readingOrder="1"/>
    </xf>
    <xf numFmtId="9" fontId="5" fillId="0" borderId="0" xfId="176" applyNumberFormat="1" applyFill="1">
      <alignment readingOrder="1"/>
    </xf>
    <xf numFmtId="9" fontId="5" fillId="28" borderId="0" xfId="424" applyFill="1">
      <alignment readingOrder="1"/>
    </xf>
    <xf numFmtId="9" fontId="5" fillId="28" borderId="0" xfId="176" applyNumberFormat="1" applyFill="1">
      <alignment readingOrder="1"/>
    </xf>
    <xf numFmtId="2" fontId="5" fillId="32" borderId="0" xfId="246" applyNumberFormat="1" applyFont="1" applyFill="1" applyBorder="1" applyAlignment="1">
      <alignment wrapText="1"/>
    </xf>
    <xf numFmtId="166" fontId="5" fillId="32" borderId="0" xfId="246" applyNumberFormat="1" applyFont="1" applyFill="1" applyBorder="1" applyAlignment="1">
      <alignment wrapText="1"/>
    </xf>
    <xf numFmtId="1" fontId="0" fillId="28" borderId="0" xfId="0" applyNumberFormat="1" applyFill="1">
      <alignment readingOrder="1"/>
    </xf>
    <xf numFmtId="166" fontId="5" fillId="0" borderId="0" xfId="246" applyNumberFormat="1" applyFont="1" applyBorder="1" applyAlignment="1"/>
    <xf numFmtId="9" fontId="0" fillId="0" borderId="0" xfId="424" applyFont="1"/>
    <xf numFmtId="9" fontId="0" fillId="0" borderId="0" xfId="0" applyNumberFormat="1"/>
    <xf numFmtId="0" fontId="65" fillId="17" borderId="0" xfId="0" applyFont="1" applyFill="1">
      <alignment readingOrder="1"/>
    </xf>
    <xf numFmtId="0" fontId="0" fillId="17" borderId="0" xfId="0" applyFill="1">
      <alignment readingOrder="1"/>
    </xf>
    <xf numFmtId="0" fontId="5" fillId="17" borderId="0" xfId="0" applyFont="1" applyFill="1">
      <alignment readingOrder="1"/>
    </xf>
    <xf numFmtId="166" fontId="0" fillId="17" borderId="0" xfId="0" applyNumberFormat="1" applyFill="1">
      <alignment readingOrder="1"/>
    </xf>
    <xf numFmtId="170" fontId="0" fillId="17" borderId="0" xfId="509" applyNumberFormat="1" applyFont="1" applyFill="1">
      <alignment readingOrder="1"/>
    </xf>
    <xf numFmtId="1" fontId="0" fillId="17" borderId="0" xfId="0" applyNumberFormat="1" applyFill="1">
      <alignment readingOrder="1"/>
    </xf>
    <xf numFmtId="170" fontId="0" fillId="17" borderId="0" xfId="0" applyNumberFormat="1" applyFill="1">
      <alignment readingOrder="1"/>
    </xf>
    <xf numFmtId="175" fontId="0" fillId="17" borderId="0" xfId="508" applyNumberFormat="1" applyFont="1" applyFill="1">
      <alignment readingOrder="1"/>
    </xf>
    <xf numFmtId="9" fontId="0" fillId="17" borderId="0" xfId="424" applyFont="1" applyFill="1">
      <alignment readingOrder="1"/>
    </xf>
    <xf numFmtId="0" fontId="0" fillId="17" borderId="0" xfId="0" applyFill="1"/>
    <xf numFmtId="2" fontId="0" fillId="17" borderId="0" xfId="0" applyNumberFormat="1" applyFill="1">
      <alignment readingOrder="1"/>
    </xf>
    <xf numFmtId="2" fontId="0" fillId="0" borderId="0" xfId="0" applyNumberFormat="1" applyFill="1">
      <alignment readingOrder="1"/>
    </xf>
    <xf numFmtId="178" fontId="0" fillId="0" borderId="0" xfId="0" applyNumberFormat="1" applyFill="1">
      <alignment readingOrder="1"/>
    </xf>
    <xf numFmtId="0" fontId="65" fillId="0" borderId="6" xfId="0" applyFont="1" applyBorder="1">
      <alignment readingOrder="1"/>
    </xf>
    <xf numFmtId="0" fontId="0" fillId="0" borderId="6" xfId="0" applyBorder="1">
      <alignment readingOrder="1"/>
    </xf>
    <xf numFmtId="0" fontId="5" fillId="0" borderId="6" xfId="0" applyFont="1" applyBorder="1">
      <alignment readingOrder="1"/>
    </xf>
    <xf numFmtId="166" fontId="0" fillId="0" borderId="6" xfId="0" applyNumberFormat="1" applyBorder="1">
      <alignment readingOrder="1"/>
    </xf>
    <xf numFmtId="170" fontId="0" fillId="0" borderId="6" xfId="509" applyNumberFormat="1" applyFont="1" applyBorder="1">
      <alignment readingOrder="1"/>
    </xf>
    <xf numFmtId="1" fontId="0" fillId="0" borderId="6" xfId="0" applyNumberFormat="1" applyBorder="1">
      <alignment readingOrder="1"/>
    </xf>
    <xf numFmtId="170" fontId="0" fillId="0" borderId="6" xfId="0" applyNumberFormat="1" applyFill="1" applyBorder="1">
      <alignment readingOrder="1"/>
    </xf>
    <xf numFmtId="175" fontId="0" fillId="0" borderId="6" xfId="508" applyNumberFormat="1" applyFont="1" applyBorder="1">
      <alignment readingOrder="1"/>
    </xf>
    <xf numFmtId="9" fontId="0" fillId="0" borderId="6" xfId="424" applyFont="1" applyBorder="1">
      <alignment readingOrder="1"/>
    </xf>
    <xf numFmtId="170" fontId="0" fillId="71" borderId="6" xfId="0" applyNumberFormat="1" applyFill="1" applyBorder="1">
      <alignment readingOrder="1"/>
    </xf>
    <xf numFmtId="0" fontId="0" fillId="0" borderId="6" xfId="0" applyBorder="1"/>
    <xf numFmtId="0" fontId="5" fillId="28" borderId="3" xfId="425" applyFont="1" applyFill="1" applyBorder="1" applyAlignment="1">
      <alignment horizontal="left" vertical="center" wrapText="1" readingOrder="1"/>
    </xf>
    <xf numFmtId="0" fontId="78" fillId="91" borderId="80" xfId="0" applyFont="1" applyFill="1" applyBorder="1"/>
    <xf numFmtId="0" fontId="78" fillId="91" borderId="81" xfId="0" applyFont="1" applyFill="1" applyBorder="1"/>
    <xf numFmtId="0" fontId="78" fillId="91" borderId="82" xfId="0" applyFont="1" applyFill="1" applyBorder="1"/>
    <xf numFmtId="0" fontId="79" fillId="92" borderId="80" xfId="0" applyFont="1" applyFill="1" applyBorder="1"/>
    <xf numFmtId="0" fontId="79" fillId="92" borderId="81" xfId="0" applyFont="1" applyFill="1" applyBorder="1"/>
    <xf numFmtId="3" fontId="79" fillId="92" borderId="81" xfId="0" applyNumberFormat="1" applyFont="1" applyFill="1" applyBorder="1"/>
    <xf numFmtId="164" fontId="79" fillId="92" borderId="82" xfId="0" applyNumberFormat="1" applyFont="1" applyFill="1" applyBorder="1"/>
    <xf numFmtId="0" fontId="79" fillId="0" borderId="83" xfId="0" applyFont="1" applyBorder="1"/>
    <xf numFmtId="0" fontId="79" fillId="0" borderId="84" xfId="0" applyFont="1" applyBorder="1"/>
    <xf numFmtId="3" fontId="79" fillId="0" borderId="84" xfId="0" applyNumberFormat="1" applyFont="1" applyBorder="1"/>
    <xf numFmtId="164" fontId="79" fillId="0" borderId="85" xfId="0" applyNumberFormat="1" applyFont="1" applyBorder="1"/>
    <xf numFmtId="0" fontId="79" fillId="92" borderId="83" xfId="0" applyFont="1" applyFill="1" applyBorder="1"/>
    <xf numFmtId="0" fontId="79" fillId="92" borderId="84" xfId="0" applyFont="1" applyFill="1" applyBorder="1"/>
    <xf numFmtId="3" fontId="79" fillId="92" borderId="84" xfId="0" applyNumberFormat="1" applyFont="1" applyFill="1" applyBorder="1"/>
    <xf numFmtId="164" fontId="79" fillId="92" borderId="85" xfId="0" applyNumberFormat="1" applyFont="1" applyFill="1" applyBorder="1"/>
    <xf numFmtId="164" fontId="0" fillId="0" borderId="0" xfId="0" applyNumberFormat="1"/>
    <xf numFmtId="2" fontId="0" fillId="72" borderId="0" xfId="0" applyNumberFormat="1" applyFill="1" applyAlignment="1">
      <alignment horizontal="center" readingOrder="1"/>
    </xf>
    <xf numFmtId="43" fontId="0" fillId="72" borderId="0" xfId="508" applyFont="1" applyFill="1" applyAlignment="1">
      <alignment horizontal="center" readingOrder="1"/>
    </xf>
    <xf numFmtId="43" fontId="0" fillId="0" borderId="0" xfId="508" applyFont="1"/>
    <xf numFmtId="0" fontId="0" fillId="26" borderId="0" xfId="0" applyFill="1">
      <alignment readingOrder="1"/>
    </xf>
    <xf numFmtId="0" fontId="0" fillId="26" borderId="0" xfId="0" applyFill="1" applyAlignment="1">
      <alignment vertical="center" wrapText="1" readingOrder="1"/>
    </xf>
    <xf numFmtId="166" fontId="0" fillId="70" borderId="0" xfId="0" applyNumberFormat="1" applyFill="1">
      <alignment readingOrder="1"/>
    </xf>
    <xf numFmtId="0" fontId="81" fillId="0" borderId="0" xfId="0" applyFont="1"/>
    <xf numFmtId="0" fontId="84" fillId="87" borderId="0" xfId="0" applyFont="1" applyFill="1"/>
    <xf numFmtId="0" fontId="84" fillId="94" borderId="79" xfId="0" applyFont="1" applyFill="1" applyBorder="1"/>
    <xf numFmtId="0" fontId="84" fillId="94" borderId="25" xfId="0" applyFont="1" applyFill="1" applyBorder="1" applyAlignment="1">
      <alignment horizontal="center"/>
    </xf>
    <xf numFmtId="0" fontId="85" fillId="87" borderId="0" xfId="0" applyFont="1" applyFill="1"/>
    <xf numFmtId="0" fontId="85" fillId="94" borderId="25" xfId="0" applyFont="1" applyFill="1" applyBorder="1" applyAlignment="1">
      <alignment horizontal="center"/>
    </xf>
    <xf numFmtId="0" fontId="85" fillId="28" borderId="25" xfId="0" applyFont="1" applyFill="1" applyBorder="1" applyAlignment="1">
      <alignment horizontal="center"/>
    </xf>
    <xf numFmtId="0" fontId="84" fillId="95" borderId="79" xfId="0" applyFont="1" applyFill="1" applyBorder="1"/>
    <xf numFmtId="0" fontId="86" fillId="95" borderId="25" xfId="0" applyFont="1" applyFill="1" applyBorder="1"/>
    <xf numFmtId="0" fontId="84" fillId="95" borderId="25" xfId="0" applyFont="1" applyFill="1" applyBorder="1"/>
    <xf numFmtId="0" fontId="84" fillId="0" borderId="79" xfId="0" applyFont="1" applyBorder="1"/>
    <xf numFmtId="9" fontId="87" fillId="0" borderId="25" xfId="0" applyNumberFormat="1" applyFont="1" applyBorder="1" applyAlignment="1">
      <alignment horizontal="right"/>
    </xf>
    <xf numFmtId="9" fontId="88" fillId="0" borderId="25" xfId="0" applyNumberFormat="1" applyFont="1" applyBorder="1" applyAlignment="1">
      <alignment horizontal="right"/>
    </xf>
    <xf numFmtId="0" fontId="84" fillId="0" borderId="36" xfId="0" applyFont="1" applyBorder="1"/>
    <xf numFmtId="9" fontId="87" fillId="0" borderId="22" xfId="0" applyNumberFormat="1" applyFont="1" applyBorder="1" applyAlignment="1">
      <alignment horizontal="right"/>
    </xf>
    <xf numFmtId="9" fontId="88" fillId="0" borderId="87" xfId="0" applyNumberFormat="1" applyFont="1" applyBorder="1" applyAlignment="1">
      <alignment horizontal="right"/>
    </xf>
    <xf numFmtId="0" fontId="84" fillId="0" borderId="88" xfId="0" applyFont="1" applyBorder="1"/>
    <xf numFmtId="9" fontId="85" fillId="0" borderId="89" xfId="0" applyNumberFormat="1" applyFont="1" applyBorder="1" applyAlignment="1">
      <alignment horizontal="right"/>
    </xf>
    <xf numFmtId="9" fontId="85" fillId="0" borderId="25" xfId="0" applyNumberFormat="1" applyFont="1" applyBorder="1" applyAlignment="1">
      <alignment horizontal="right"/>
    </xf>
    <xf numFmtId="0" fontId="84" fillId="96" borderId="79" xfId="0" applyFont="1" applyFill="1" applyBorder="1"/>
    <xf numFmtId="0" fontId="86" fillId="96" borderId="25" xfId="0" applyFont="1" applyFill="1" applyBorder="1"/>
    <xf numFmtId="0" fontId="84" fillId="96" borderId="25" xfId="0" applyFont="1" applyFill="1" applyBorder="1"/>
    <xf numFmtId="0" fontId="84" fillId="96" borderId="24" xfId="0" applyFont="1" applyFill="1" applyBorder="1"/>
    <xf numFmtId="9" fontId="87" fillId="0" borderId="24" xfId="0" applyNumberFormat="1" applyFont="1" applyBorder="1" applyAlignment="1">
      <alignment horizontal="right"/>
    </xf>
    <xf numFmtId="9" fontId="87" fillId="0" borderId="79" xfId="0" applyNumberFormat="1" applyFont="1" applyBorder="1" applyAlignment="1">
      <alignment horizontal="right"/>
    </xf>
    <xf numFmtId="9" fontId="87" fillId="0" borderId="90" xfId="0" applyNumberFormat="1" applyFont="1" applyBorder="1" applyAlignment="1">
      <alignment horizontal="right"/>
    </xf>
    <xf numFmtId="9" fontId="87" fillId="0" borderId="87" xfId="0" applyNumberFormat="1" applyFont="1" applyBorder="1" applyAlignment="1">
      <alignment horizontal="right"/>
    </xf>
    <xf numFmtId="9" fontId="85" fillId="0" borderId="24" xfId="0" applyNumberFormat="1" applyFont="1" applyBorder="1" applyAlignment="1">
      <alignment horizontal="right"/>
    </xf>
    <xf numFmtId="9" fontId="85" fillId="0" borderId="79" xfId="0" applyNumberFormat="1" applyFont="1" applyBorder="1" applyAlignment="1">
      <alignment horizontal="right"/>
    </xf>
    <xf numFmtId="0" fontId="85" fillId="0" borderId="25" xfId="0" applyFont="1" applyBorder="1"/>
    <xf numFmtId="0" fontId="84" fillId="97" borderId="79" xfId="0" applyFont="1" applyFill="1" applyBorder="1"/>
    <xf numFmtId="0" fontId="86" fillId="97" borderId="25" xfId="0" applyFont="1" applyFill="1" applyBorder="1"/>
    <xf numFmtId="0" fontId="84" fillId="97" borderId="25" xfId="0" applyFont="1" applyFill="1" applyBorder="1"/>
    <xf numFmtId="0" fontId="84" fillId="97" borderId="24" xfId="0" applyFont="1" applyFill="1" applyBorder="1"/>
    <xf numFmtId="0" fontId="0" fillId="69" borderId="0" xfId="0" applyFill="1" applyAlignment="1">
      <alignment horizontal="left" vertical="center" readingOrder="1"/>
    </xf>
    <xf numFmtId="0" fontId="32" fillId="22" borderId="5" xfId="247" applyFont="1" applyFill="1" applyBorder="1" applyAlignment="1">
      <alignment horizontal="center"/>
    </xf>
    <xf numFmtId="0" fontId="32" fillId="22" borderId="6" xfId="247" applyFont="1" applyFill="1" applyBorder="1" applyAlignment="1">
      <alignment horizontal="center"/>
    </xf>
    <xf numFmtId="0" fontId="32" fillId="22" borderId="7" xfId="247" applyFont="1" applyFill="1" applyBorder="1" applyAlignment="1">
      <alignment horizontal="center"/>
    </xf>
    <xf numFmtId="0" fontId="29" fillId="23" borderId="13" xfId="0" applyFont="1" applyFill="1" applyBorder="1" applyAlignment="1">
      <alignment horizontal="center"/>
    </xf>
    <xf numFmtId="0" fontId="10" fillId="0" borderId="13" xfId="0" applyFont="1" applyBorder="1" applyAlignment="1">
      <alignment horizontal="center"/>
    </xf>
    <xf numFmtId="0" fontId="10" fillId="77" borderId="3" xfId="247" applyFont="1" applyFill="1" applyBorder="1" applyAlignment="1">
      <alignment horizontal="center"/>
    </xf>
    <xf numFmtId="0" fontId="32" fillId="22" borderId="15" xfId="247" applyFont="1" applyFill="1" applyBorder="1" applyAlignment="1">
      <alignment horizontal="center"/>
    </xf>
    <xf numFmtId="0" fontId="32" fillId="22" borderId="16" xfId="247" applyFont="1" applyFill="1" applyBorder="1" applyAlignment="1">
      <alignment horizontal="center"/>
    </xf>
    <xf numFmtId="0" fontId="32" fillId="22" borderId="14" xfId="247" applyFont="1" applyFill="1" applyBorder="1" applyAlignment="1">
      <alignment horizontal="center"/>
    </xf>
    <xf numFmtId="0" fontId="29" fillId="23" borderId="3" xfId="0" applyFont="1" applyFill="1" applyBorder="1" applyAlignment="1">
      <alignment horizontal="center"/>
    </xf>
    <xf numFmtId="0" fontId="10" fillId="0" borderId="3" xfId="0" applyFont="1" applyBorder="1" applyAlignment="1">
      <alignment horizontal="center"/>
    </xf>
    <xf numFmtId="0" fontId="10" fillId="0" borderId="33" xfId="0" applyFont="1" applyBorder="1" applyAlignment="1">
      <alignment horizontal="left" vertical="center" wrapText="1" readingOrder="1"/>
    </xf>
    <xf numFmtId="0" fontId="10" fillId="0" borderId="37" xfId="0" applyFont="1" applyBorder="1" applyAlignment="1">
      <alignment horizontal="left" vertical="center" wrapText="1" readingOrder="1"/>
    </xf>
    <xf numFmtId="0" fontId="10" fillId="0" borderId="39" xfId="0" applyFont="1" applyBorder="1" applyAlignment="1">
      <alignment horizontal="left" vertical="center" wrapText="1" readingOrder="1"/>
    </xf>
    <xf numFmtId="0" fontId="10" fillId="0" borderId="47" xfId="0" applyFont="1" applyBorder="1" applyAlignment="1">
      <alignment horizontal="left" vertical="center" wrapText="1" readingOrder="1"/>
    </xf>
    <xf numFmtId="0" fontId="10" fillId="32" borderId="33" xfId="0" applyFont="1" applyFill="1" applyBorder="1" applyAlignment="1">
      <alignment horizontal="center" wrapText="1" readingOrder="1"/>
    </xf>
    <xf numFmtId="0" fontId="10" fillId="32" borderId="46" xfId="0" applyFont="1" applyFill="1" applyBorder="1" applyAlignment="1">
      <alignment horizontal="center" wrapText="1" readingOrder="1"/>
    </xf>
    <xf numFmtId="0" fontId="10" fillId="32" borderId="34" xfId="0" applyFont="1" applyFill="1" applyBorder="1" applyAlignment="1">
      <alignment horizontal="center" wrapText="1" readingOrder="1"/>
    </xf>
    <xf numFmtId="0" fontId="10" fillId="77" borderId="33" xfId="0" applyFont="1" applyFill="1" applyBorder="1" applyAlignment="1">
      <alignment horizontal="center" readingOrder="1"/>
    </xf>
    <xf numFmtId="0" fontId="10" fillId="77" borderId="34" xfId="0" applyFont="1" applyFill="1" applyBorder="1" applyAlignment="1">
      <alignment horizontal="center" readingOrder="1"/>
    </xf>
    <xf numFmtId="0" fontId="10" fillId="0" borderId="50" xfId="0" applyFont="1" applyBorder="1" applyAlignment="1">
      <alignment horizontal="left" vertical="center" wrapText="1" readingOrder="1"/>
    </xf>
    <xf numFmtId="0" fontId="5" fillId="84" borderId="0" xfId="0" applyFont="1" applyFill="1" applyAlignment="1">
      <alignment horizontal="left" vertical="center" wrapText="1" readingOrder="1"/>
    </xf>
    <xf numFmtId="0" fontId="27" fillId="84" borderId="24" xfId="0" applyFont="1" applyFill="1" applyBorder="1" applyAlignment="1">
      <alignment horizontal="left" vertical="center" wrapText="1" readingOrder="1"/>
    </xf>
    <xf numFmtId="0" fontId="10" fillId="0" borderId="0" xfId="0" applyFont="1" applyAlignment="1">
      <alignment horizontal="center" wrapText="1" readingOrder="1"/>
    </xf>
    <xf numFmtId="1" fontId="10" fillId="0" borderId="24" xfId="0" applyNumberFormat="1" applyFont="1" applyBorder="1" applyAlignment="1">
      <alignment horizontal="center" readingOrder="1"/>
    </xf>
    <xf numFmtId="0" fontId="5" fillId="0" borderId="26" xfId="1229" applyBorder="1" applyAlignment="1">
      <alignment horizontal="center"/>
    </xf>
    <xf numFmtId="0" fontId="5" fillId="0" borderId="28" xfId="1229" applyBorder="1" applyAlignment="1">
      <alignment horizontal="center"/>
    </xf>
    <xf numFmtId="0" fontId="5" fillId="0" borderId="27" xfId="1229" applyBorder="1" applyAlignment="1">
      <alignment horizontal="center"/>
    </xf>
    <xf numFmtId="0" fontId="5" fillId="0" borderId="18" xfId="1229" applyBorder="1" applyAlignment="1">
      <alignment horizontal="center"/>
    </xf>
    <xf numFmtId="0" fontId="5" fillId="0" borderId="19" xfId="1229" applyBorder="1" applyAlignment="1">
      <alignment horizontal="center"/>
    </xf>
    <xf numFmtId="0" fontId="5" fillId="0" borderId="20" xfId="1229" applyBorder="1" applyAlignment="1">
      <alignment horizontal="center"/>
    </xf>
    <xf numFmtId="0" fontId="5" fillId="0" borderId="0" xfId="198" applyAlignment="1">
      <alignment horizontal="left" wrapText="1" readingOrder="1"/>
    </xf>
    <xf numFmtId="9" fontId="0" fillId="0" borderId="49" xfId="424" applyNumberFormat="1" applyFont="1" applyBorder="1" applyAlignment="1">
      <alignment horizontal="center" vertical="center"/>
    </xf>
    <xf numFmtId="9" fontId="0" fillId="0" borderId="43" xfId="424" applyNumberFormat="1" applyFont="1" applyBorder="1" applyAlignment="1">
      <alignment horizontal="center" vertical="center"/>
    </xf>
    <xf numFmtId="0" fontId="0" fillId="89" borderId="33" xfId="0" applyFill="1" applyBorder="1" applyAlignment="1">
      <alignment horizontal="center" vertical="center" wrapText="1"/>
    </xf>
    <xf numFmtId="0" fontId="0" fillId="89" borderId="46" xfId="0" applyFill="1" applyBorder="1" applyAlignment="1">
      <alignment horizontal="center" vertical="center" wrapText="1"/>
    </xf>
    <xf numFmtId="0" fontId="0" fillId="89" borderId="34" xfId="0" applyFill="1" applyBorder="1" applyAlignment="1">
      <alignment horizontal="center" vertical="center" wrapText="1"/>
    </xf>
    <xf numFmtId="0" fontId="72" fillId="89" borderId="32" xfId="0" applyFont="1" applyFill="1" applyBorder="1" applyAlignment="1">
      <alignment horizontal="left" vertical="center" wrapText="1"/>
    </xf>
    <xf numFmtId="0" fontId="72" fillId="89" borderId="73" xfId="0" applyFont="1" applyFill="1" applyBorder="1" applyAlignment="1">
      <alignment horizontal="left" vertical="center" wrapText="1"/>
    </xf>
    <xf numFmtId="0" fontId="0" fillId="89" borderId="18" xfId="0" applyFill="1" applyBorder="1" applyAlignment="1">
      <alignment horizontal="left" vertical="center" wrapText="1"/>
    </xf>
    <xf numFmtId="0" fontId="0" fillId="89" borderId="72" xfId="0" applyFill="1" applyBorder="1" applyAlignment="1">
      <alignment horizontal="left" vertical="center" wrapText="1"/>
    </xf>
    <xf numFmtId="0" fontId="76" fillId="90" borderId="31" xfId="176" applyFont="1" applyFill="1" applyBorder="1" applyAlignment="1">
      <alignment vertical="center" wrapText="1"/>
    </xf>
    <xf numFmtId="0" fontId="76" fillId="90" borderId="36" xfId="176" applyFont="1" applyFill="1" applyBorder="1" applyAlignment="1">
      <alignment vertical="center" wrapText="1"/>
    </xf>
    <xf numFmtId="0" fontId="76" fillId="90" borderId="78" xfId="176" applyFont="1" applyFill="1" applyBorder="1" applyAlignment="1">
      <alignment vertical="center" wrapText="1"/>
    </xf>
    <xf numFmtId="0" fontId="76" fillId="90" borderId="26" xfId="176" applyFont="1" applyFill="1" applyBorder="1" applyAlignment="1">
      <alignment vertical="center" wrapText="1"/>
    </xf>
    <xf numFmtId="0" fontId="76" fillId="90" borderId="28" xfId="176" applyFont="1" applyFill="1" applyBorder="1" applyAlignment="1">
      <alignment vertical="center" wrapText="1"/>
    </xf>
    <xf numFmtId="0" fontId="76" fillId="90" borderId="76" xfId="176" applyFont="1" applyFill="1" applyBorder="1" applyAlignment="1">
      <alignment vertical="center" wrapText="1"/>
    </xf>
    <xf numFmtId="0" fontId="76" fillId="90" borderId="77" xfId="176" applyFont="1" applyFill="1" applyBorder="1" applyAlignment="1">
      <alignment vertical="center" wrapText="1"/>
    </xf>
    <xf numFmtId="0" fontId="5" fillId="0" borderId="0" xfId="176" applyFont="1" applyAlignment="1">
      <alignment horizontal="left" vertical="center" wrapText="1" readingOrder="1"/>
    </xf>
    <xf numFmtId="0" fontId="5" fillId="0" borderId="0" xfId="176" applyAlignment="1">
      <alignment horizontal="left" vertical="center" wrapText="1" readingOrder="1"/>
    </xf>
    <xf numFmtId="0" fontId="5" fillId="0" borderId="0" xfId="176" applyFont="1" applyAlignment="1">
      <alignment horizontal="left" wrapText="1" readingOrder="1"/>
    </xf>
    <xf numFmtId="0" fontId="5" fillId="0" borderId="0" xfId="176" applyNumberFormat="1" applyFont="1" applyAlignment="1">
      <alignment horizontal="left" wrapText="1" readingOrder="1"/>
    </xf>
    <xf numFmtId="0" fontId="10" fillId="0" borderId="44" xfId="176" applyFont="1" applyBorder="1" applyAlignment="1">
      <alignment horizontal="center" readingOrder="1"/>
    </xf>
    <xf numFmtId="0" fontId="10" fillId="0" borderId="74" xfId="176" applyFont="1" applyBorder="1" applyAlignment="1">
      <alignment horizontal="center" readingOrder="1"/>
    </xf>
    <xf numFmtId="0" fontId="10" fillId="0" borderId="75" xfId="176" applyFont="1" applyBorder="1" applyAlignment="1">
      <alignment horizontal="center" readingOrder="1"/>
    </xf>
    <xf numFmtId="0" fontId="85" fillId="87" borderId="0" xfId="0" applyFont="1" applyFill="1"/>
    <xf numFmtId="0" fontId="85" fillId="87" borderId="24" xfId="0" applyFont="1" applyFill="1" applyBorder="1"/>
    <xf numFmtId="0" fontId="84" fillId="95" borderId="26" xfId="0" applyFont="1" applyFill="1" applyBorder="1" applyAlignment="1">
      <alignment horizontal="center"/>
    </xf>
    <xf numFmtId="0" fontId="84" fillId="95" borderId="28" xfId="0" applyFont="1" applyFill="1" applyBorder="1" applyAlignment="1">
      <alignment horizontal="center"/>
    </xf>
    <xf numFmtId="0" fontId="84" fillId="95" borderId="76" xfId="0" applyFont="1" applyFill="1" applyBorder="1" applyAlignment="1">
      <alignment horizontal="center"/>
    </xf>
    <xf numFmtId="0" fontId="84" fillId="96" borderId="26" xfId="0" applyFont="1" applyFill="1" applyBorder="1" applyAlignment="1">
      <alignment horizontal="center"/>
    </xf>
    <xf numFmtId="0" fontId="84" fillId="96" borderId="28" xfId="0" applyFont="1" applyFill="1" applyBorder="1" applyAlignment="1">
      <alignment horizontal="center"/>
    </xf>
    <xf numFmtId="0" fontId="84" fillId="96" borderId="76" xfId="0" applyFont="1" applyFill="1" applyBorder="1" applyAlignment="1">
      <alignment horizontal="center"/>
    </xf>
    <xf numFmtId="0" fontId="84" fillId="97" borderId="26" xfId="0" applyFont="1" applyFill="1" applyBorder="1" applyAlignment="1">
      <alignment horizontal="center"/>
    </xf>
    <xf numFmtId="0" fontId="84" fillId="97" borderId="28" xfId="0" applyFont="1" applyFill="1" applyBorder="1" applyAlignment="1">
      <alignment horizontal="center"/>
    </xf>
    <xf numFmtId="0" fontId="84" fillId="97" borderId="76" xfId="0" applyFont="1" applyFill="1" applyBorder="1" applyAlignment="1">
      <alignment horizontal="center"/>
    </xf>
    <xf numFmtId="0" fontId="84" fillId="94" borderId="26" xfId="0" applyFont="1" applyFill="1" applyBorder="1" applyAlignment="1">
      <alignment horizontal="center"/>
    </xf>
    <xf numFmtId="0" fontId="84" fillId="94" borderId="28" xfId="0" applyFont="1" applyFill="1" applyBorder="1" applyAlignment="1">
      <alignment horizontal="center"/>
    </xf>
    <xf numFmtId="0" fontId="84" fillId="94" borderId="76" xfId="0" applyFont="1" applyFill="1" applyBorder="1" applyAlignment="1">
      <alignment horizontal="center"/>
    </xf>
    <xf numFmtId="0" fontId="84" fillId="87" borderId="0" xfId="0" applyFont="1" applyFill="1"/>
    <xf numFmtId="0" fontId="84" fillId="87" borderId="24" xfId="0" applyFont="1" applyFill="1" applyBorder="1"/>
    <xf numFmtId="0" fontId="89" fillId="98" borderId="91" xfId="0" applyFont="1" applyFill="1" applyBorder="1" applyAlignment="1">
      <alignment horizontal="right"/>
    </xf>
    <xf numFmtId="0" fontId="89" fillId="98" borderId="91" xfId="0" applyFont="1" applyFill="1" applyBorder="1" applyAlignment="1">
      <alignment horizontal="center"/>
    </xf>
    <xf numFmtId="0" fontId="89" fillId="98" borderId="91" xfId="0" applyFont="1" applyFill="1" applyBorder="1"/>
    <xf numFmtId="0" fontId="90" fillId="0" borderId="0" xfId="0" applyFont="1"/>
    <xf numFmtId="10" fontId="90" fillId="0" borderId="0" xfId="0" applyNumberFormat="1" applyFont="1" applyAlignment="1">
      <alignment horizontal="center"/>
    </xf>
    <xf numFmtId="10" fontId="90" fillId="0" borderId="0" xfId="0" applyNumberFormat="1" applyFont="1" applyAlignment="1">
      <alignment horizontal="right"/>
    </xf>
    <xf numFmtId="0" fontId="89" fillId="98" borderId="92" xfId="0" applyFont="1" applyFill="1" applyBorder="1"/>
    <xf numFmtId="10" fontId="89" fillId="98" borderId="92" xfId="0" applyNumberFormat="1" applyFont="1" applyFill="1" applyBorder="1" applyAlignment="1">
      <alignment horizontal="center"/>
    </xf>
    <xf numFmtId="10" fontId="89" fillId="98" borderId="92" xfId="0" applyNumberFormat="1" applyFont="1" applyFill="1" applyBorder="1" applyAlignment="1">
      <alignment horizontal="right"/>
    </xf>
  </cellXfs>
  <cellStyles count="8993">
    <cellStyle name="20% - Accent1 2" xfId="8"/>
    <cellStyle name="20% - Accent1 2 2" xfId="9"/>
    <cellStyle name="20% - Accent1 2 2 2" xfId="510"/>
    <cellStyle name="20% - Accent1 2 2 2 2" xfId="511"/>
    <cellStyle name="20% - Accent1 2 2 3" xfId="512"/>
    <cellStyle name="20% - Accent1 2 2 3 2" xfId="513"/>
    <cellStyle name="20% - Accent1 2 2 4" xfId="514"/>
    <cellStyle name="20% - Accent1 2 2 5" xfId="515"/>
    <cellStyle name="20% - Accent1 2 3" xfId="516"/>
    <cellStyle name="20% - Accent1 2 3 2" xfId="517"/>
    <cellStyle name="20% - Accent1 2 4" xfId="518"/>
    <cellStyle name="20% - Accent1 2 4 2" xfId="519"/>
    <cellStyle name="20% - Accent1 2 5" xfId="520"/>
    <cellStyle name="20% - Accent1 2 5 2" xfId="521"/>
    <cellStyle name="20% - Accent1 3" xfId="10"/>
    <cellStyle name="20% - Accent1 3 2" xfId="11"/>
    <cellStyle name="20% - Accent1 3 2 2" xfId="522"/>
    <cellStyle name="20% - Accent1 3 2 2 2" xfId="523"/>
    <cellStyle name="20% - Accent1 3 2 3" xfId="524"/>
    <cellStyle name="20% - Accent1 3 2 3 2" xfId="525"/>
    <cellStyle name="20% - Accent1 3 2 4" xfId="526"/>
    <cellStyle name="20% - Accent1 3 3" xfId="527"/>
    <cellStyle name="20% - Accent1 3 3 2" xfId="528"/>
    <cellStyle name="20% - Accent1 3 4" xfId="529"/>
    <cellStyle name="20% - Accent1 3 4 2" xfId="530"/>
    <cellStyle name="20% - Accent1 3 5" xfId="531"/>
    <cellStyle name="20% - Accent1 4" xfId="12"/>
    <cellStyle name="20% - Accent1 4 2" xfId="13"/>
    <cellStyle name="20% - Accent1 4 2 2" xfId="532"/>
    <cellStyle name="20% - Accent1 4 2 2 2" xfId="533"/>
    <cellStyle name="20% - Accent1 4 2 3" xfId="534"/>
    <cellStyle name="20% - Accent1 4 2 3 2" xfId="535"/>
    <cellStyle name="20% - Accent1 4 2 4" xfId="536"/>
    <cellStyle name="20% - Accent1 4 3" xfId="537"/>
    <cellStyle name="20% - Accent1 4 3 2" xfId="538"/>
    <cellStyle name="20% - Accent1 4 4" xfId="539"/>
    <cellStyle name="20% - Accent1 4 4 2" xfId="540"/>
    <cellStyle name="20% - Accent1 4 5" xfId="541"/>
    <cellStyle name="20% - Accent1 5" xfId="14"/>
    <cellStyle name="20% - Accent1 5 2" xfId="542"/>
    <cellStyle name="20% - Accent1 5 2 2" xfId="543"/>
    <cellStyle name="20% - Accent1 5 3" xfId="544"/>
    <cellStyle name="20% - Accent1 5 3 2" xfId="545"/>
    <cellStyle name="20% - Accent1 5 4" xfId="546"/>
    <cellStyle name="20% - Accent2 2" xfId="15"/>
    <cellStyle name="20% - Accent2 2 2" xfId="16"/>
    <cellStyle name="20% - Accent2 2 2 2" xfId="547"/>
    <cellStyle name="20% - Accent2 2 2 2 2" xfId="548"/>
    <cellStyle name="20% - Accent2 2 2 3" xfId="549"/>
    <cellStyle name="20% - Accent2 2 2 3 2" xfId="550"/>
    <cellStyle name="20% - Accent2 2 2 4" xfId="551"/>
    <cellStyle name="20% - Accent2 2 3" xfId="552"/>
    <cellStyle name="20% - Accent2 2 3 2" xfId="553"/>
    <cellStyle name="20% - Accent2 2 4" xfId="554"/>
    <cellStyle name="20% - Accent2 2 4 2" xfId="555"/>
    <cellStyle name="20% - Accent2 2 5" xfId="556"/>
    <cellStyle name="20% - Accent2 2 5 2" xfId="557"/>
    <cellStyle name="20% - Accent2 3" xfId="17"/>
    <cellStyle name="20% - Accent2 3 2" xfId="18"/>
    <cellStyle name="20% - Accent2 3 2 2" xfId="558"/>
    <cellStyle name="20% - Accent2 3 2 2 2" xfId="559"/>
    <cellStyle name="20% - Accent2 3 2 3" xfId="560"/>
    <cellStyle name="20% - Accent2 3 2 3 2" xfId="561"/>
    <cellStyle name="20% - Accent2 3 2 4" xfId="562"/>
    <cellStyle name="20% - Accent2 3 3" xfId="563"/>
    <cellStyle name="20% - Accent2 3 3 2" xfId="564"/>
    <cellStyle name="20% - Accent2 3 4" xfId="565"/>
    <cellStyle name="20% - Accent2 3 4 2" xfId="566"/>
    <cellStyle name="20% - Accent2 3 5" xfId="567"/>
    <cellStyle name="20% - Accent2 4" xfId="19"/>
    <cellStyle name="20% - Accent2 4 2" xfId="20"/>
    <cellStyle name="20% - Accent2 4 2 2" xfId="568"/>
    <cellStyle name="20% - Accent2 4 2 2 2" xfId="569"/>
    <cellStyle name="20% - Accent2 4 2 3" xfId="570"/>
    <cellStyle name="20% - Accent2 4 2 3 2" xfId="571"/>
    <cellStyle name="20% - Accent2 4 2 4" xfId="572"/>
    <cellStyle name="20% - Accent2 4 3" xfId="573"/>
    <cellStyle name="20% - Accent2 4 3 2" xfId="574"/>
    <cellStyle name="20% - Accent2 4 4" xfId="575"/>
    <cellStyle name="20% - Accent2 4 4 2" xfId="576"/>
    <cellStyle name="20% - Accent2 4 5" xfId="577"/>
    <cellStyle name="20% - Accent2 5" xfId="21"/>
    <cellStyle name="20% - Accent2 5 2" xfId="578"/>
    <cellStyle name="20% - Accent2 5 2 2" xfId="579"/>
    <cellStyle name="20% - Accent2 5 3" xfId="580"/>
    <cellStyle name="20% - Accent2 5 3 2" xfId="581"/>
    <cellStyle name="20% - Accent2 5 4" xfId="582"/>
    <cellStyle name="20% - Accent3 2" xfId="22"/>
    <cellStyle name="20% - Accent3 2 2" xfId="23"/>
    <cellStyle name="20% - Accent3 2 2 2" xfId="583"/>
    <cellStyle name="20% - Accent3 2 2 2 2" xfId="584"/>
    <cellStyle name="20% - Accent3 2 2 3" xfId="585"/>
    <cellStyle name="20% - Accent3 2 2 3 2" xfId="586"/>
    <cellStyle name="20% - Accent3 2 2 4" xfId="587"/>
    <cellStyle name="20% - Accent3 2 2 5" xfId="588"/>
    <cellStyle name="20% - Accent3 2 3" xfId="589"/>
    <cellStyle name="20% - Accent3 2 3 2" xfId="590"/>
    <cellStyle name="20% - Accent3 2 4" xfId="591"/>
    <cellStyle name="20% - Accent3 2 4 2" xfId="592"/>
    <cellStyle name="20% - Accent3 2 5" xfId="593"/>
    <cellStyle name="20% - Accent3 2 5 2" xfId="594"/>
    <cellStyle name="20% - Accent3 3" xfId="24"/>
    <cellStyle name="20% - Accent3 3 2" xfId="25"/>
    <cellStyle name="20% - Accent3 3 2 2" xfId="595"/>
    <cellStyle name="20% - Accent3 3 2 2 2" xfId="596"/>
    <cellStyle name="20% - Accent3 3 2 3" xfId="597"/>
    <cellStyle name="20% - Accent3 3 2 3 2" xfId="598"/>
    <cellStyle name="20% - Accent3 3 2 4" xfId="599"/>
    <cellStyle name="20% - Accent3 3 3" xfId="600"/>
    <cellStyle name="20% - Accent3 3 3 2" xfId="601"/>
    <cellStyle name="20% - Accent3 3 4" xfId="602"/>
    <cellStyle name="20% - Accent3 3 4 2" xfId="603"/>
    <cellStyle name="20% - Accent3 3 5" xfId="604"/>
    <cellStyle name="20% - Accent3 4" xfId="26"/>
    <cellStyle name="20% - Accent3 4 2" xfId="27"/>
    <cellStyle name="20% - Accent3 4 2 2" xfId="605"/>
    <cellStyle name="20% - Accent3 4 2 2 2" xfId="606"/>
    <cellStyle name="20% - Accent3 4 2 3" xfId="607"/>
    <cellStyle name="20% - Accent3 4 2 3 2" xfId="608"/>
    <cellStyle name="20% - Accent3 4 2 4" xfId="609"/>
    <cellStyle name="20% - Accent3 4 3" xfId="610"/>
    <cellStyle name="20% - Accent3 4 3 2" xfId="611"/>
    <cellStyle name="20% - Accent3 4 4" xfId="612"/>
    <cellStyle name="20% - Accent3 4 4 2" xfId="613"/>
    <cellStyle name="20% - Accent3 4 5" xfId="614"/>
    <cellStyle name="20% - Accent3 5" xfId="28"/>
    <cellStyle name="20% - Accent3 5 2" xfId="615"/>
    <cellStyle name="20% - Accent3 5 2 2" xfId="616"/>
    <cellStyle name="20% - Accent3 5 3" xfId="617"/>
    <cellStyle name="20% - Accent3 5 3 2" xfId="618"/>
    <cellStyle name="20% - Accent3 5 4" xfId="619"/>
    <cellStyle name="20% - Accent4 2" xfId="29"/>
    <cellStyle name="20% - Accent4 2 2" xfId="30"/>
    <cellStyle name="20% - Accent4 2 2 2" xfId="620"/>
    <cellStyle name="20% - Accent4 2 2 2 2" xfId="621"/>
    <cellStyle name="20% - Accent4 2 2 3" xfId="622"/>
    <cellStyle name="20% - Accent4 2 2 3 2" xfId="623"/>
    <cellStyle name="20% - Accent4 2 2 4" xfId="624"/>
    <cellStyle name="20% - Accent4 2 2 5" xfId="625"/>
    <cellStyle name="20% - Accent4 2 3" xfId="626"/>
    <cellStyle name="20% - Accent4 2 3 2" xfId="627"/>
    <cellStyle name="20% - Accent4 2 4" xfId="628"/>
    <cellStyle name="20% - Accent4 2 4 2" xfId="629"/>
    <cellStyle name="20% - Accent4 2 5" xfId="630"/>
    <cellStyle name="20% - Accent4 2 5 2" xfId="631"/>
    <cellStyle name="20% - Accent4 3" xfId="31"/>
    <cellStyle name="20% - Accent4 3 2" xfId="32"/>
    <cellStyle name="20% - Accent4 3 2 2" xfId="632"/>
    <cellStyle name="20% - Accent4 3 2 2 2" xfId="633"/>
    <cellStyle name="20% - Accent4 3 2 3" xfId="634"/>
    <cellStyle name="20% - Accent4 3 2 3 2" xfId="635"/>
    <cellStyle name="20% - Accent4 3 2 4" xfId="636"/>
    <cellStyle name="20% - Accent4 3 3" xfId="637"/>
    <cellStyle name="20% - Accent4 3 3 2" xfId="638"/>
    <cellStyle name="20% - Accent4 3 4" xfId="639"/>
    <cellStyle name="20% - Accent4 3 4 2" xfId="640"/>
    <cellStyle name="20% - Accent4 3 5" xfId="641"/>
    <cellStyle name="20% - Accent4 4" xfId="33"/>
    <cellStyle name="20% - Accent4 4 2" xfId="34"/>
    <cellStyle name="20% - Accent4 4 2 2" xfId="642"/>
    <cellStyle name="20% - Accent4 4 2 2 2" xfId="643"/>
    <cellStyle name="20% - Accent4 4 2 3" xfId="644"/>
    <cellStyle name="20% - Accent4 4 2 3 2" xfId="645"/>
    <cellStyle name="20% - Accent4 4 2 4" xfId="646"/>
    <cellStyle name="20% - Accent4 4 3" xfId="647"/>
    <cellStyle name="20% - Accent4 4 3 2" xfId="648"/>
    <cellStyle name="20% - Accent4 4 4" xfId="649"/>
    <cellStyle name="20% - Accent4 4 4 2" xfId="650"/>
    <cellStyle name="20% - Accent4 4 5" xfId="651"/>
    <cellStyle name="20% - Accent4 5" xfId="35"/>
    <cellStyle name="20% - Accent4 5 2" xfId="652"/>
    <cellStyle name="20% - Accent4 5 2 2" xfId="653"/>
    <cellStyle name="20% - Accent4 5 3" xfId="654"/>
    <cellStyle name="20% - Accent4 5 3 2" xfId="655"/>
    <cellStyle name="20% - Accent4 5 4" xfId="656"/>
    <cellStyle name="20% - Accent5 2" xfId="36"/>
    <cellStyle name="20% - Accent5 2 2" xfId="37"/>
    <cellStyle name="20% - Accent5 2 2 2" xfId="657"/>
    <cellStyle name="20% - Accent5 2 2 2 2" xfId="658"/>
    <cellStyle name="20% - Accent5 2 2 3" xfId="659"/>
    <cellStyle name="20% - Accent5 2 2 3 2" xfId="660"/>
    <cellStyle name="20% - Accent5 2 2 4" xfId="661"/>
    <cellStyle name="20% - Accent5 2 3" xfId="662"/>
    <cellStyle name="20% - Accent5 2 3 2" xfId="663"/>
    <cellStyle name="20% - Accent5 2 4" xfId="664"/>
    <cellStyle name="20% - Accent5 2 4 2" xfId="665"/>
    <cellStyle name="20% - Accent5 2 5" xfId="666"/>
    <cellStyle name="20% - Accent5 2 5 2" xfId="667"/>
    <cellStyle name="20% - Accent5 3" xfId="38"/>
    <cellStyle name="20% - Accent5 3 2" xfId="39"/>
    <cellStyle name="20% - Accent5 3 2 2" xfId="668"/>
    <cellStyle name="20% - Accent5 3 2 2 2" xfId="669"/>
    <cellStyle name="20% - Accent5 3 2 3" xfId="670"/>
    <cellStyle name="20% - Accent5 3 2 3 2" xfId="671"/>
    <cellStyle name="20% - Accent5 3 2 4" xfId="672"/>
    <cellStyle name="20% - Accent5 3 3" xfId="673"/>
    <cellStyle name="20% - Accent5 3 3 2" xfId="674"/>
    <cellStyle name="20% - Accent5 3 4" xfId="675"/>
    <cellStyle name="20% - Accent5 3 4 2" xfId="676"/>
    <cellStyle name="20% - Accent5 3 5" xfId="677"/>
    <cellStyle name="20% - Accent5 4" xfId="40"/>
    <cellStyle name="20% - Accent5 4 2" xfId="41"/>
    <cellStyle name="20% - Accent5 4 2 2" xfId="678"/>
    <cellStyle name="20% - Accent5 4 2 2 2" xfId="679"/>
    <cellStyle name="20% - Accent5 4 2 3" xfId="680"/>
    <cellStyle name="20% - Accent5 4 2 3 2" xfId="681"/>
    <cellStyle name="20% - Accent5 4 2 4" xfId="682"/>
    <cellStyle name="20% - Accent5 4 3" xfId="683"/>
    <cellStyle name="20% - Accent5 4 3 2" xfId="684"/>
    <cellStyle name="20% - Accent5 4 4" xfId="685"/>
    <cellStyle name="20% - Accent5 4 4 2" xfId="686"/>
    <cellStyle name="20% - Accent5 4 5" xfId="687"/>
    <cellStyle name="20% - Accent5 5" xfId="42"/>
    <cellStyle name="20% - Accent5 5 2" xfId="688"/>
    <cellStyle name="20% - Accent5 5 2 2" xfId="689"/>
    <cellStyle name="20% - Accent5 5 3" xfId="690"/>
    <cellStyle name="20% - Accent5 5 3 2" xfId="691"/>
    <cellStyle name="20% - Accent5 5 4" xfId="692"/>
    <cellStyle name="20% - Accent6 2" xfId="43"/>
    <cellStyle name="20% - Accent6 2 2" xfId="44"/>
    <cellStyle name="20% - Accent6 2 2 2" xfId="693"/>
    <cellStyle name="20% - Accent6 2 2 2 2" xfId="694"/>
    <cellStyle name="20% - Accent6 2 2 3" xfId="695"/>
    <cellStyle name="20% - Accent6 2 2 3 2" xfId="696"/>
    <cellStyle name="20% - Accent6 2 2 4" xfId="697"/>
    <cellStyle name="20% - Accent6 2 3" xfId="698"/>
    <cellStyle name="20% - Accent6 2 3 2" xfId="699"/>
    <cellStyle name="20% - Accent6 2 4" xfId="700"/>
    <cellStyle name="20% - Accent6 2 4 2" xfId="701"/>
    <cellStyle name="20% - Accent6 2 5" xfId="702"/>
    <cellStyle name="20% - Accent6 2 5 2" xfId="703"/>
    <cellStyle name="20% - Accent6 3" xfId="45"/>
    <cellStyle name="20% - Accent6 3 2" xfId="46"/>
    <cellStyle name="20% - Accent6 3 2 2" xfId="704"/>
    <cellStyle name="20% - Accent6 3 2 2 2" xfId="705"/>
    <cellStyle name="20% - Accent6 3 2 3" xfId="706"/>
    <cellStyle name="20% - Accent6 3 2 3 2" xfId="707"/>
    <cellStyle name="20% - Accent6 3 2 4" xfId="708"/>
    <cellStyle name="20% - Accent6 3 3" xfId="709"/>
    <cellStyle name="20% - Accent6 3 3 2" xfId="710"/>
    <cellStyle name="20% - Accent6 3 4" xfId="711"/>
    <cellStyle name="20% - Accent6 3 4 2" xfId="712"/>
    <cellStyle name="20% - Accent6 3 5" xfId="713"/>
    <cellStyle name="20% - Accent6 4" xfId="47"/>
    <cellStyle name="20% - Accent6 4 2" xfId="48"/>
    <cellStyle name="20% - Accent6 4 2 2" xfId="714"/>
    <cellStyle name="20% - Accent6 4 2 2 2" xfId="715"/>
    <cellStyle name="20% - Accent6 4 2 3" xfId="716"/>
    <cellStyle name="20% - Accent6 4 2 3 2" xfId="717"/>
    <cellStyle name="20% - Accent6 4 2 4" xfId="718"/>
    <cellStyle name="20% - Accent6 4 3" xfId="719"/>
    <cellStyle name="20% - Accent6 4 3 2" xfId="720"/>
    <cellStyle name="20% - Accent6 4 4" xfId="721"/>
    <cellStyle name="20% - Accent6 4 4 2" xfId="722"/>
    <cellStyle name="20% - Accent6 4 5" xfId="723"/>
    <cellStyle name="20% - Accent6 5" xfId="49"/>
    <cellStyle name="20% - Accent6 5 2" xfId="724"/>
    <cellStyle name="20% - Accent6 5 2 2" xfId="725"/>
    <cellStyle name="20% - Accent6 5 3" xfId="726"/>
    <cellStyle name="20% - Accent6 5 3 2" xfId="727"/>
    <cellStyle name="20% - Accent6 5 4" xfId="728"/>
    <cellStyle name="40% - Accent1 2" xfId="50"/>
    <cellStyle name="40% - Accent1 2 2" xfId="51"/>
    <cellStyle name="40% - Accent1 2 2 2" xfId="729"/>
    <cellStyle name="40% - Accent1 2 2 2 2" xfId="730"/>
    <cellStyle name="40% - Accent1 2 2 3" xfId="731"/>
    <cellStyle name="40% - Accent1 2 2 3 2" xfId="732"/>
    <cellStyle name="40% - Accent1 2 2 4" xfId="733"/>
    <cellStyle name="40% - Accent1 2 2 5" xfId="734"/>
    <cellStyle name="40% - Accent1 2 3" xfId="735"/>
    <cellStyle name="40% - Accent1 2 3 2" xfId="736"/>
    <cellStyle name="40% - Accent1 2 4" xfId="737"/>
    <cellStyle name="40% - Accent1 2 4 2" xfId="738"/>
    <cellStyle name="40% - Accent1 2 5" xfId="739"/>
    <cellStyle name="40% - Accent1 2 5 2" xfId="740"/>
    <cellStyle name="40% - Accent1 3" xfId="52"/>
    <cellStyle name="40% - Accent1 3 2" xfId="53"/>
    <cellStyle name="40% - Accent1 3 2 2" xfId="741"/>
    <cellStyle name="40% - Accent1 3 2 2 2" xfId="742"/>
    <cellStyle name="40% - Accent1 3 2 3" xfId="743"/>
    <cellStyle name="40% - Accent1 3 2 3 2" xfId="744"/>
    <cellStyle name="40% - Accent1 3 2 4" xfId="745"/>
    <cellStyle name="40% - Accent1 3 3" xfId="746"/>
    <cellStyle name="40% - Accent1 3 3 2" xfId="747"/>
    <cellStyle name="40% - Accent1 3 4" xfId="748"/>
    <cellStyle name="40% - Accent1 3 4 2" xfId="749"/>
    <cellStyle name="40% - Accent1 3 5" xfId="750"/>
    <cellStyle name="40% - Accent1 4" xfId="54"/>
    <cellStyle name="40% - Accent1 4 2" xfId="55"/>
    <cellStyle name="40% - Accent1 4 2 2" xfId="751"/>
    <cellStyle name="40% - Accent1 4 2 2 2" xfId="752"/>
    <cellStyle name="40% - Accent1 4 2 3" xfId="753"/>
    <cellStyle name="40% - Accent1 4 2 3 2" xfId="754"/>
    <cellStyle name="40% - Accent1 4 2 4" xfId="755"/>
    <cellStyle name="40% - Accent1 4 3" xfId="756"/>
    <cellStyle name="40% - Accent1 4 3 2" xfId="757"/>
    <cellStyle name="40% - Accent1 4 4" xfId="758"/>
    <cellStyle name="40% - Accent1 4 4 2" xfId="759"/>
    <cellStyle name="40% - Accent1 4 5" xfId="760"/>
    <cellStyle name="40% - Accent1 5" xfId="56"/>
    <cellStyle name="40% - Accent1 5 2" xfId="761"/>
    <cellStyle name="40% - Accent1 5 2 2" xfId="762"/>
    <cellStyle name="40% - Accent1 5 3" xfId="763"/>
    <cellStyle name="40% - Accent1 5 3 2" xfId="764"/>
    <cellStyle name="40% - Accent1 5 4" xfId="765"/>
    <cellStyle name="40% - Accent2 2" xfId="57"/>
    <cellStyle name="40% - Accent2 2 2" xfId="58"/>
    <cellStyle name="40% - Accent2 2 2 2" xfId="766"/>
    <cellStyle name="40% - Accent2 2 2 2 2" xfId="767"/>
    <cellStyle name="40% - Accent2 2 2 3" xfId="768"/>
    <cellStyle name="40% - Accent2 2 2 3 2" xfId="769"/>
    <cellStyle name="40% - Accent2 2 2 4" xfId="770"/>
    <cellStyle name="40% - Accent2 2 2 5" xfId="771"/>
    <cellStyle name="40% - Accent2 2 3" xfId="772"/>
    <cellStyle name="40% - Accent2 2 3 2" xfId="773"/>
    <cellStyle name="40% - Accent2 2 4" xfId="774"/>
    <cellStyle name="40% - Accent2 2 4 2" xfId="775"/>
    <cellStyle name="40% - Accent2 2 5" xfId="776"/>
    <cellStyle name="40% - Accent2 2 5 2" xfId="777"/>
    <cellStyle name="40% - Accent2 3" xfId="59"/>
    <cellStyle name="40% - Accent2 3 2" xfId="60"/>
    <cellStyle name="40% - Accent2 3 2 2" xfId="778"/>
    <cellStyle name="40% - Accent2 3 2 2 2" xfId="779"/>
    <cellStyle name="40% - Accent2 3 2 3" xfId="780"/>
    <cellStyle name="40% - Accent2 3 2 3 2" xfId="781"/>
    <cellStyle name="40% - Accent2 3 2 4" xfId="782"/>
    <cellStyle name="40% - Accent2 3 3" xfId="783"/>
    <cellStyle name="40% - Accent2 3 3 2" xfId="784"/>
    <cellStyle name="40% - Accent2 3 4" xfId="785"/>
    <cellStyle name="40% - Accent2 3 4 2" xfId="786"/>
    <cellStyle name="40% - Accent2 3 5" xfId="787"/>
    <cellStyle name="40% - Accent2 4" xfId="61"/>
    <cellStyle name="40% - Accent2 4 2" xfId="62"/>
    <cellStyle name="40% - Accent2 4 2 2" xfId="788"/>
    <cellStyle name="40% - Accent2 4 2 2 2" xfId="789"/>
    <cellStyle name="40% - Accent2 4 2 3" xfId="790"/>
    <cellStyle name="40% - Accent2 4 2 3 2" xfId="791"/>
    <cellStyle name="40% - Accent2 4 2 4" xfId="792"/>
    <cellStyle name="40% - Accent2 4 3" xfId="793"/>
    <cellStyle name="40% - Accent2 4 3 2" xfId="794"/>
    <cellStyle name="40% - Accent2 4 4" xfId="795"/>
    <cellStyle name="40% - Accent2 4 4 2" xfId="796"/>
    <cellStyle name="40% - Accent2 4 5" xfId="797"/>
    <cellStyle name="40% - Accent2 5" xfId="63"/>
    <cellStyle name="40% - Accent2 5 2" xfId="798"/>
    <cellStyle name="40% - Accent2 5 2 2" xfId="799"/>
    <cellStyle name="40% - Accent2 5 3" xfId="800"/>
    <cellStyle name="40% - Accent2 5 3 2" xfId="801"/>
    <cellStyle name="40% - Accent2 5 4" xfId="802"/>
    <cellStyle name="40% - Accent3 2" xfId="64"/>
    <cellStyle name="40% - Accent3 2 2" xfId="65"/>
    <cellStyle name="40% - Accent3 2 2 2" xfId="803"/>
    <cellStyle name="40% - Accent3 2 2 2 2" xfId="804"/>
    <cellStyle name="40% - Accent3 2 2 3" xfId="805"/>
    <cellStyle name="40% - Accent3 2 2 3 2" xfId="806"/>
    <cellStyle name="40% - Accent3 2 2 4" xfId="807"/>
    <cellStyle name="40% - Accent3 2 2 5" xfId="808"/>
    <cellStyle name="40% - Accent3 2 3" xfId="809"/>
    <cellStyle name="40% - Accent3 2 3 2" xfId="810"/>
    <cellStyle name="40% - Accent3 2 4" xfId="811"/>
    <cellStyle name="40% - Accent3 2 4 2" xfId="812"/>
    <cellStyle name="40% - Accent3 2 5" xfId="813"/>
    <cellStyle name="40% - Accent3 2 5 2" xfId="814"/>
    <cellStyle name="40% - Accent3 3" xfId="66"/>
    <cellStyle name="40% - Accent3 3 2" xfId="67"/>
    <cellStyle name="40% - Accent3 3 2 2" xfId="815"/>
    <cellStyle name="40% - Accent3 3 2 2 2" xfId="816"/>
    <cellStyle name="40% - Accent3 3 2 3" xfId="817"/>
    <cellStyle name="40% - Accent3 3 2 3 2" xfId="818"/>
    <cellStyle name="40% - Accent3 3 2 4" xfId="819"/>
    <cellStyle name="40% - Accent3 3 3" xfId="820"/>
    <cellStyle name="40% - Accent3 3 3 2" xfId="821"/>
    <cellStyle name="40% - Accent3 3 4" xfId="822"/>
    <cellStyle name="40% - Accent3 3 4 2" xfId="823"/>
    <cellStyle name="40% - Accent3 3 5" xfId="824"/>
    <cellStyle name="40% - Accent3 4" xfId="68"/>
    <cellStyle name="40% - Accent3 4 2" xfId="69"/>
    <cellStyle name="40% - Accent3 4 2 2" xfId="825"/>
    <cellStyle name="40% - Accent3 4 2 2 2" xfId="826"/>
    <cellStyle name="40% - Accent3 4 2 3" xfId="827"/>
    <cellStyle name="40% - Accent3 4 2 3 2" xfId="828"/>
    <cellStyle name="40% - Accent3 4 2 4" xfId="829"/>
    <cellStyle name="40% - Accent3 4 3" xfId="830"/>
    <cellStyle name="40% - Accent3 4 3 2" xfId="831"/>
    <cellStyle name="40% - Accent3 4 4" xfId="832"/>
    <cellStyle name="40% - Accent3 4 4 2" xfId="833"/>
    <cellStyle name="40% - Accent3 4 5" xfId="834"/>
    <cellStyle name="40% - Accent3 5" xfId="70"/>
    <cellStyle name="40% - Accent3 5 2" xfId="835"/>
    <cellStyle name="40% - Accent3 5 2 2" xfId="836"/>
    <cellStyle name="40% - Accent3 5 3" xfId="837"/>
    <cellStyle name="40% - Accent3 5 3 2" xfId="838"/>
    <cellStyle name="40% - Accent3 5 4" xfId="839"/>
    <cellStyle name="40% - Accent4 2" xfId="71"/>
    <cellStyle name="40% - Accent4 2 2" xfId="72"/>
    <cellStyle name="40% - Accent4 2 2 2" xfId="840"/>
    <cellStyle name="40% - Accent4 2 2 2 2" xfId="841"/>
    <cellStyle name="40% - Accent4 2 2 3" xfId="842"/>
    <cellStyle name="40% - Accent4 2 2 3 2" xfId="843"/>
    <cellStyle name="40% - Accent4 2 2 4" xfId="844"/>
    <cellStyle name="40% - Accent4 2 2 5" xfId="845"/>
    <cellStyle name="40% - Accent4 2 3" xfId="846"/>
    <cellStyle name="40% - Accent4 2 3 2" xfId="847"/>
    <cellStyle name="40% - Accent4 2 4" xfId="848"/>
    <cellStyle name="40% - Accent4 2 4 2" xfId="849"/>
    <cellStyle name="40% - Accent4 2 5" xfId="850"/>
    <cellStyle name="40% - Accent4 2 5 2" xfId="851"/>
    <cellStyle name="40% - Accent4 3" xfId="73"/>
    <cellStyle name="40% - Accent4 3 2" xfId="74"/>
    <cellStyle name="40% - Accent4 3 2 2" xfId="852"/>
    <cellStyle name="40% - Accent4 3 2 2 2" xfId="853"/>
    <cellStyle name="40% - Accent4 3 2 3" xfId="854"/>
    <cellStyle name="40% - Accent4 3 2 3 2" xfId="855"/>
    <cellStyle name="40% - Accent4 3 2 4" xfId="856"/>
    <cellStyle name="40% - Accent4 3 3" xfId="857"/>
    <cellStyle name="40% - Accent4 3 3 2" xfId="858"/>
    <cellStyle name="40% - Accent4 3 4" xfId="859"/>
    <cellStyle name="40% - Accent4 3 4 2" xfId="860"/>
    <cellStyle name="40% - Accent4 3 5" xfId="861"/>
    <cellStyle name="40% - Accent4 4" xfId="75"/>
    <cellStyle name="40% - Accent4 4 2" xfId="76"/>
    <cellStyle name="40% - Accent4 4 2 2" xfId="862"/>
    <cellStyle name="40% - Accent4 4 2 2 2" xfId="863"/>
    <cellStyle name="40% - Accent4 4 2 3" xfId="864"/>
    <cellStyle name="40% - Accent4 4 2 3 2" xfId="865"/>
    <cellStyle name="40% - Accent4 4 2 4" xfId="866"/>
    <cellStyle name="40% - Accent4 4 3" xfId="867"/>
    <cellStyle name="40% - Accent4 4 3 2" xfId="868"/>
    <cellStyle name="40% - Accent4 4 4" xfId="869"/>
    <cellStyle name="40% - Accent4 4 4 2" xfId="870"/>
    <cellStyle name="40% - Accent4 4 5" xfId="871"/>
    <cellStyle name="40% - Accent4 5" xfId="77"/>
    <cellStyle name="40% - Accent4 5 2" xfId="872"/>
    <cellStyle name="40% - Accent4 5 2 2" xfId="873"/>
    <cellStyle name="40% - Accent4 5 3" xfId="874"/>
    <cellStyle name="40% - Accent4 5 3 2" xfId="875"/>
    <cellStyle name="40% - Accent4 5 4" xfId="876"/>
    <cellStyle name="40% - Accent5 2" xfId="78"/>
    <cellStyle name="40% - Accent5 2 2" xfId="79"/>
    <cellStyle name="40% - Accent5 2 2 2" xfId="877"/>
    <cellStyle name="40% - Accent5 2 2 2 2" xfId="878"/>
    <cellStyle name="40% - Accent5 2 2 3" xfId="879"/>
    <cellStyle name="40% - Accent5 2 2 3 2" xfId="880"/>
    <cellStyle name="40% - Accent5 2 2 4" xfId="881"/>
    <cellStyle name="40% - Accent5 2 3" xfId="882"/>
    <cellStyle name="40% - Accent5 2 3 2" xfId="883"/>
    <cellStyle name="40% - Accent5 2 4" xfId="884"/>
    <cellStyle name="40% - Accent5 2 4 2" xfId="885"/>
    <cellStyle name="40% - Accent5 2 5" xfId="886"/>
    <cellStyle name="40% - Accent5 2 5 2" xfId="887"/>
    <cellStyle name="40% - Accent5 3" xfId="80"/>
    <cellStyle name="40% - Accent5 3 2" xfId="81"/>
    <cellStyle name="40% - Accent5 3 2 2" xfId="888"/>
    <cellStyle name="40% - Accent5 3 2 2 2" xfId="889"/>
    <cellStyle name="40% - Accent5 3 2 3" xfId="890"/>
    <cellStyle name="40% - Accent5 3 2 3 2" xfId="891"/>
    <cellStyle name="40% - Accent5 3 2 4" xfId="892"/>
    <cellStyle name="40% - Accent5 3 3" xfId="893"/>
    <cellStyle name="40% - Accent5 3 3 2" xfId="894"/>
    <cellStyle name="40% - Accent5 3 4" xfId="895"/>
    <cellStyle name="40% - Accent5 3 4 2" xfId="896"/>
    <cellStyle name="40% - Accent5 3 5" xfId="897"/>
    <cellStyle name="40% - Accent5 4" xfId="82"/>
    <cellStyle name="40% - Accent5 4 2" xfId="83"/>
    <cellStyle name="40% - Accent5 4 2 2" xfId="898"/>
    <cellStyle name="40% - Accent5 4 2 2 2" xfId="899"/>
    <cellStyle name="40% - Accent5 4 2 3" xfId="900"/>
    <cellStyle name="40% - Accent5 4 2 3 2" xfId="901"/>
    <cellStyle name="40% - Accent5 4 2 4" xfId="902"/>
    <cellStyle name="40% - Accent5 4 3" xfId="903"/>
    <cellStyle name="40% - Accent5 4 3 2" xfId="904"/>
    <cellStyle name="40% - Accent5 4 4" xfId="905"/>
    <cellStyle name="40% - Accent5 4 4 2" xfId="906"/>
    <cellStyle name="40% - Accent5 4 5" xfId="907"/>
    <cellStyle name="40% - Accent5 5" xfId="84"/>
    <cellStyle name="40% - Accent5 5 2" xfId="908"/>
    <cellStyle name="40% - Accent5 5 2 2" xfId="909"/>
    <cellStyle name="40% - Accent5 5 3" xfId="910"/>
    <cellStyle name="40% - Accent5 5 3 2" xfId="911"/>
    <cellStyle name="40% - Accent5 5 4" xfId="912"/>
    <cellStyle name="40% - Accent6 2" xfId="85"/>
    <cellStyle name="40% - Accent6 2 2" xfId="86"/>
    <cellStyle name="40% - Accent6 2 2 2" xfId="913"/>
    <cellStyle name="40% - Accent6 2 2 2 2" xfId="914"/>
    <cellStyle name="40% - Accent6 2 2 3" xfId="915"/>
    <cellStyle name="40% - Accent6 2 2 3 2" xfId="916"/>
    <cellStyle name="40% - Accent6 2 2 4" xfId="917"/>
    <cellStyle name="40% - Accent6 2 2 5" xfId="918"/>
    <cellStyle name="40% - Accent6 2 3" xfId="919"/>
    <cellStyle name="40% - Accent6 2 3 2" xfId="920"/>
    <cellStyle name="40% - Accent6 2 4" xfId="921"/>
    <cellStyle name="40% - Accent6 2 4 2" xfId="922"/>
    <cellStyle name="40% - Accent6 2 5" xfId="923"/>
    <cellStyle name="40% - Accent6 2 5 2" xfId="924"/>
    <cellStyle name="40% - Accent6 3" xfId="87"/>
    <cellStyle name="40% - Accent6 3 2" xfId="88"/>
    <cellStyle name="40% - Accent6 3 2 2" xfId="925"/>
    <cellStyle name="40% - Accent6 3 2 2 2" xfId="926"/>
    <cellStyle name="40% - Accent6 3 2 3" xfId="927"/>
    <cellStyle name="40% - Accent6 3 2 3 2" xfId="928"/>
    <cellStyle name="40% - Accent6 3 2 4" xfId="929"/>
    <cellStyle name="40% - Accent6 3 3" xfId="930"/>
    <cellStyle name="40% - Accent6 3 3 2" xfId="931"/>
    <cellStyle name="40% - Accent6 3 4" xfId="932"/>
    <cellStyle name="40% - Accent6 3 4 2" xfId="933"/>
    <cellStyle name="40% - Accent6 3 5" xfId="934"/>
    <cellStyle name="40% - Accent6 4" xfId="89"/>
    <cellStyle name="40% - Accent6 4 2" xfId="90"/>
    <cellStyle name="40% - Accent6 4 2 2" xfId="935"/>
    <cellStyle name="40% - Accent6 4 2 2 2" xfId="936"/>
    <cellStyle name="40% - Accent6 4 2 3" xfId="937"/>
    <cellStyle name="40% - Accent6 4 2 3 2" xfId="938"/>
    <cellStyle name="40% - Accent6 4 2 4" xfId="939"/>
    <cellStyle name="40% - Accent6 4 3" xfId="940"/>
    <cellStyle name="40% - Accent6 4 3 2" xfId="941"/>
    <cellStyle name="40% - Accent6 4 4" xfId="942"/>
    <cellStyle name="40% - Accent6 4 4 2" xfId="943"/>
    <cellStyle name="40% - Accent6 4 5" xfId="944"/>
    <cellStyle name="40% - Accent6 5" xfId="91"/>
    <cellStyle name="40% - Accent6 5 2" xfId="945"/>
    <cellStyle name="40% - Accent6 5 2 2" xfId="946"/>
    <cellStyle name="40% - Accent6 5 3" xfId="947"/>
    <cellStyle name="40% - Accent6 5 3 2" xfId="948"/>
    <cellStyle name="40% - Accent6 5 4" xfId="949"/>
    <cellStyle name="60% - Accent1 2" xfId="313"/>
    <cellStyle name="60% - Accent1 2 2" xfId="426"/>
    <cellStyle name="60% - Accent1 3" xfId="427"/>
    <cellStyle name="60% - Accent2 2" xfId="314"/>
    <cellStyle name="60% - Accent2 2 2" xfId="428"/>
    <cellStyle name="60% - Accent2 3" xfId="429"/>
    <cellStyle name="60% - Accent3 2" xfId="315"/>
    <cellStyle name="60% - Accent3 2 2" xfId="430"/>
    <cellStyle name="60% - Accent3 3" xfId="431"/>
    <cellStyle name="60% - Accent4 2" xfId="316"/>
    <cellStyle name="60% - Accent4 2 2" xfId="432"/>
    <cellStyle name="60% - Accent4 3" xfId="433"/>
    <cellStyle name="60% - Accent5 2" xfId="317"/>
    <cellStyle name="60% - Accent5 3" xfId="434"/>
    <cellStyle name="60% - Accent6 2" xfId="318"/>
    <cellStyle name="60% - Accent6 2 2" xfId="435"/>
    <cellStyle name="60% - Accent6 3" xfId="436"/>
    <cellStyle name="Accent1 - 20%" xfId="319"/>
    <cellStyle name="Accent1 - 40%" xfId="320"/>
    <cellStyle name="Accent1 - 60%" xfId="321"/>
    <cellStyle name="Accent1 2" xfId="322"/>
    <cellStyle name="Accent1 2 2" xfId="437"/>
    <cellStyle name="Accent1 3" xfId="438"/>
    <cellStyle name="Accent2 - 20%" xfId="323"/>
    <cellStyle name="Accent2 - 40%" xfId="324"/>
    <cellStyle name="Accent2 - 60%" xfId="325"/>
    <cellStyle name="Accent2 2" xfId="326"/>
    <cellStyle name="Accent2 3" xfId="439"/>
    <cellStyle name="Accent3 - 20%" xfId="327"/>
    <cellStyle name="Accent3 - 40%" xfId="328"/>
    <cellStyle name="Accent3 - 60%" xfId="329"/>
    <cellStyle name="Accent3 2" xfId="330"/>
    <cellStyle name="Accent3 2 2" xfId="440"/>
    <cellStyle name="Accent3 3" xfId="441"/>
    <cellStyle name="Accent4 - 20%" xfId="331"/>
    <cellStyle name="Accent4 - 40%" xfId="332"/>
    <cellStyle name="Accent4 - 60%" xfId="333"/>
    <cellStyle name="Accent4 2" xfId="334"/>
    <cellStyle name="Accent4 2 2" xfId="442"/>
    <cellStyle name="Accent4 3" xfId="443"/>
    <cellStyle name="Accent5 - 20%" xfId="335"/>
    <cellStyle name="Accent5 - 40%" xfId="336"/>
    <cellStyle name="Accent5 - 60%" xfId="337"/>
    <cellStyle name="Accent5 2" xfId="338"/>
    <cellStyle name="Accent5 3" xfId="444"/>
    <cellStyle name="Accent6 - 20%" xfId="339"/>
    <cellStyle name="Accent6 - 40%" xfId="340"/>
    <cellStyle name="Accent6 - 60%" xfId="341"/>
    <cellStyle name="Accent6 2" xfId="342"/>
    <cellStyle name="Accent6 3" xfId="445"/>
    <cellStyle name="Bad 2" xfId="343"/>
    <cellStyle name="Bad 2 2" xfId="446"/>
    <cellStyle name="Bad 3" xfId="447"/>
    <cellStyle name="Calculation 2" xfId="344"/>
    <cellStyle name="Calculation 2 2" xfId="448"/>
    <cellStyle name="Calculation 3" xfId="449"/>
    <cellStyle name="Calculation 4" xfId="1414"/>
    <cellStyle name="Check Cell 2" xfId="345"/>
    <cellStyle name="Check Cell 3" xfId="450"/>
    <cellStyle name="Comma" xfId="508" builtinId="3"/>
    <cellStyle name="Comma [0] 2" xfId="92"/>
    <cellStyle name="Comma 10" xfId="950"/>
    <cellStyle name="Comma 11" xfId="951"/>
    <cellStyle name="Comma 12" xfId="952"/>
    <cellStyle name="Comma 2" xfId="93"/>
    <cellStyle name="Comma 2 2" xfId="94"/>
    <cellStyle name="Comma 2 2 2" xfId="95"/>
    <cellStyle name="Comma 2 2 2 2" xfId="953"/>
    <cellStyle name="Comma 2 2 3" xfId="96"/>
    <cellStyle name="Comma 2 2 3 2" xfId="97"/>
    <cellStyle name="Comma 2 2 3 2 2" xfId="954"/>
    <cellStyle name="Comma 2 2 3 2 2 2" xfId="955"/>
    <cellStyle name="Comma 2 2 3 2 3" xfId="956"/>
    <cellStyle name="Comma 2 2 3 2 3 2" xfId="957"/>
    <cellStyle name="Comma 2 2 3 2 4" xfId="958"/>
    <cellStyle name="Comma 2 2 3 3" xfId="959"/>
    <cellStyle name="Comma 2 2 3 3 2" xfId="960"/>
    <cellStyle name="Comma 2 2 3 4" xfId="961"/>
    <cellStyle name="Comma 2 2 3 4 2" xfId="962"/>
    <cellStyle name="Comma 2 2 3 5" xfId="963"/>
    <cellStyle name="Comma 2 2 3 6" xfId="964"/>
    <cellStyle name="Comma 2 2 4" xfId="98"/>
    <cellStyle name="Comma 2 2 4 2" xfId="99"/>
    <cellStyle name="Comma 2 2 4 2 2" xfId="965"/>
    <cellStyle name="Comma 2 2 4 2 2 2" xfId="966"/>
    <cellStyle name="Comma 2 2 4 2 3" xfId="967"/>
    <cellStyle name="Comma 2 2 4 2 3 2" xfId="968"/>
    <cellStyle name="Comma 2 2 4 2 4" xfId="969"/>
    <cellStyle name="Comma 2 2 4 3" xfId="970"/>
    <cellStyle name="Comma 2 2 4 3 2" xfId="971"/>
    <cellStyle name="Comma 2 2 4 4" xfId="972"/>
    <cellStyle name="Comma 2 2 4 4 2" xfId="973"/>
    <cellStyle name="Comma 2 2 4 5" xfId="974"/>
    <cellStyle name="Comma 2 2 5" xfId="100"/>
    <cellStyle name="Comma 2 2 5 2" xfId="101"/>
    <cellStyle name="Comma 2 2 5 2 2" xfId="975"/>
    <cellStyle name="Comma 2 2 5 2 2 2" xfId="976"/>
    <cellStyle name="Comma 2 2 5 2 3" xfId="977"/>
    <cellStyle name="Comma 2 2 5 2 3 2" xfId="978"/>
    <cellStyle name="Comma 2 2 5 2 4" xfId="979"/>
    <cellStyle name="Comma 2 2 5 3" xfId="980"/>
    <cellStyle name="Comma 2 2 5 3 2" xfId="981"/>
    <cellStyle name="Comma 2 2 5 4" xfId="982"/>
    <cellStyle name="Comma 2 2 5 4 2" xfId="983"/>
    <cellStyle name="Comma 2 2 5 5" xfId="984"/>
    <cellStyle name="Comma 2 2 6" xfId="102"/>
    <cellStyle name="Comma 2 2 6 2" xfId="103"/>
    <cellStyle name="Comma 2 2 6 2 2" xfId="985"/>
    <cellStyle name="Comma 2 2 6 2 2 2" xfId="986"/>
    <cellStyle name="Comma 2 2 6 2 3" xfId="987"/>
    <cellStyle name="Comma 2 2 6 2 3 2" xfId="988"/>
    <cellStyle name="Comma 2 2 6 2 4" xfId="989"/>
    <cellStyle name="Comma 2 2 6 3" xfId="990"/>
    <cellStyle name="Comma 2 2 6 3 2" xfId="991"/>
    <cellStyle name="Comma 2 2 6 4" xfId="992"/>
    <cellStyle name="Comma 2 2 6 4 2" xfId="993"/>
    <cellStyle name="Comma 2 2 6 5" xfId="994"/>
    <cellStyle name="Comma 2 2 7" xfId="104"/>
    <cellStyle name="Comma 2 2 7 2" xfId="995"/>
    <cellStyle name="Comma 2 2 7 2 2" xfId="996"/>
    <cellStyle name="Comma 2 2 7 3" xfId="997"/>
    <cellStyle name="Comma 2 2 7 3 2" xfId="998"/>
    <cellStyle name="Comma 2 2 7 4" xfId="999"/>
    <cellStyle name="Comma 2 2 8" xfId="105"/>
    <cellStyle name="Comma 2 2 9" xfId="1000"/>
    <cellStyle name="Comma 2 3" xfId="106"/>
    <cellStyle name="Comma 2 3 2" xfId="1001"/>
    <cellStyle name="Comma 2 4" xfId="107"/>
    <cellStyle name="Comma 2 4 2" xfId="1415"/>
    <cellStyle name="Comma 2 5" xfId="108"/>
    <cellStyle name="Comma 3" xfId="109"/>
    <cellStyle name="Comma 3 10" xfId="110"/>
    <cellStyle name="Comma 3 11" xfId="1002"/>
    <cellStyle name="Comma 3 2" xfId="111"/>
    <cellStyle name="Comma 3 2 2" xfId="112"/>
    <cellStyle name="Comma 3 2 2 2" xfId="1003"/>
    <cellStyle name="Comma 3 2 3" xfId="113"/>
    <cellStyle name="Comma 3 2 4" xfId="1004"/>
    <cellStyle name="Comma 3 3" xfId="114"/>
    <cellStyle name="Comma 3 3 2" xfId="115"/>
    <cellStyle name="Comma 3 3 2 2" xfId="1005"/>
    <cellStyle name="Comma 3 3 2 2 2" xfId="1006"/>
    <cellStyle name="Comma 3 3 2 3" xfId="1007"/>
    <cellStyle name="Comma 3 3 2 3 2" xfId="1008"/>
    <cellStyle name="Comma 3 3 2 4" xfId="1009"/>
    <cellStyle name="Comma 3 3 2 5" xfId="1010"/>
    <cellStyle name="Comma 3 3 3" xfId="116"/>
    <cellStyle name="Comma 3 3 3 2" xfId="1011"/>
    <cellStyle name="Comma 3 3 3 2 2" xfId="1012"/>
    <cellStyle name="Comma 3 3 3 3" xfId="1013"/>
    <cellStyle name="Comma 3 3 3 3 2" xfId="1014"/>
    <cellStyle name="Comma 3 3 3 4" xfId="1015"/>
    <cellStyle name="Comma 3 3 4" xfId="346"/>
    <cellStyle name="Comma 3 4" xfId="117"/>
    <cellStyle name="Comma 3 4 2" xfId="118"/>
    <cellStyle name="Comma 3 4 2 2" xfId="1016"/>
    <cellStyle name="Comma 3 4 2 2 2" xfId="1017"/>
    <cellStyle name="Comma 3 4 2 3" xfId="1018"/>
    <cellStyle name="Comma 3 4 2 3 2" xfId="1019"/>
    <cellStyle name="Comma 3 4 2 4" xfId="1020"/>
    <cellStyle name="Comma 3 4 3" xfId="1021"/>
    <cellStyle name="Comma 3 4 3 2" xfId="1022"/>
    <cellStyle name="Comma 3 4 4" xfId="1023"/>
    <cellStyle name="Comma 3 4 4 2" xfId="1024"/>
    <cellStyle name="Comma 3 4 5" xfId="1025"/>
    <cellStyle name="Comma 3 4 6" xfId="1026"/>
    <cellStyle name="Comma 3 5" xfId="119"/>
    <cellStyle name="Comma 3 5 2" xfId="120"/>
    <cellStyle name="Comma 3 5 2 2" xfId="1027"/>
    <cellStyle name="Comma 3 5 2 2 2" xfId="1028"/>
    <cellStyle name="Comma 3 5 2 3" xfId="1029"/>
    <cellStyle name="Comma 3 5 2 3 2" xfId="1030"/>
    <cellStyle name="Comma 3 5 2 4" xfId="1031"/>
    <cellStyle name="Comma 3 5 3" xfId="1032"/>
    <cellStyle name="Comma 3 5 3 2" xfId="1033"/>
    <cellStyle name="Comma 3 5 4" xfId="1034"/>
    <cellStyle name="Comma 3 5 4 2" xfId="1035"/>
    <cellStyle name="Comma 3 5 5" xfId="1036"/>
    <cellStyle name="Comma 3 6" xfId="121"/>
    <cellStyle name="Comma 3 6 2" xfId="122"/>
    <cellStyle name="Comma 3 6 2 2" xfId="1037"/>
    <cellStyle name="Comma 3 6 2 2 2" xfId="1038"/>
    <cellStyle name="Comma 3 6 2 3" xfId="1039"/>
    <cellStyle name="Comma 3 6 2 3 2" xfId="1040"/>
    <cellStyle name="Comma 3 6 2 4" xfId="1041"/>
    <cellStyle name="Comma 3 6 3" xfId="1042"/>
    <cellStyle name="Comma 3 6 3 2" xfId="1043"/>
    <cellStyle name="Comma 3 6 4" xfId="1044"/>
    <cellStyle name="Comma 3 6 4 2" xfId="1045"/>
    <cellStyle name="Comma 3 6 5" xfId="1046"/>
    <cellStyle name="Comma 3 7" xfId="123"/>
    <cellStyle name="Comma 3 8" xfId="124"/>
    <cellStyle name="Comma 3 8 2" xfId="1047"/>
    <cellStyle name="Comma 3 8 2 2" xfId="1048"/>
    <cellStyle name="Comma 3 8 3" xfId="1049"/>
    <cellStyle name="Comma 3 8 3 2" xfId="1050"/>
    <cellStyle name="Comma 3 8 4" xfId="1051"/>
    <cellStyle name="Comma 3 9" xfId="125"/>
    <cellStyle name="Comma 4" xfId="126"/>
    <cellStyle name="Comma 4 2" xfId="347"/>
    <cellStyle name="Comma 4 2 2" xfId="348"/>
    <cellStyle name="Comma 4 3" xfId="349"/>
    <cellStyle name="Comma 5" xfId="127"/>
    <cellStyle name="Comma 5 2" xfId="350"/>
    <cellStyle name="Comma 5 3" xfId="351"/>
    <cellStyle name="Comma 6" xfId="128"/>
    <cellStyle name="Comma 7" xfId="129"/>
    <cellStyle name="Comma 8" xfId="130"/>
    <cellStyle name="Comma 9" xfId="1052"/>
    <cellStyle name="Currency" xfId="509" builtinId="4"/>
    <cellStyle name="Currency 2" xfId="131"/>
    <cellStyle name="Currency 2 2" xfId="132"/>
    <cellStyle name="Currency 2 2 2" xfId="133"/>
    <cellStyle name="Currency 2 2 2 2" xfId="1053"/>
    <cellStyle name="Currency 2 2 3" xfId="134"/>
    <cellStyle name="Currency 2 2 4" xfId="1054"/>
    <cellStyle name="Currency 2 3" xfId="135"/>
    <cellStyle name="Currency 2 3 2" xfId="1055"/>
    <cellStyle name="Currency 2 4" xfId="136"/>
    <cellStyle name="Currency 2 5" xfId="137"/>
    <cellStyle name="Currency 2 6" xfId="1416"/>
    <cellStyle name="Currency 3" xfId="138"/>
    <cellStyle name="Currency 3 2" xfId="139"/>
    <cellStyle name="Currency 3 2 2" xfId="140"/>
    <cellStyle name="Currency 3 2 2 2" xfId="1056"/>
    <cellStyle name="Currency 3 2 3" xfId="141"/>
    <cellStyle name="Currency 3 2 4" xfId="1057"/>
    <cellStyle name="Currency 3 3" xfId="7"/>
    <cellStyle name="Currency 3 3 2" xfId="1058"/>
    <cellStyle name="Currency 3 4" xfId="142"/>
    <cellStyle name="Currency 3 4 2" xfId="1417"/>
    <cellStyle name="Currency 3 5" xfId="143"/>
    <cellStyle name="Currency 3 6" xfId="1059"/>
    <cellStyle name="Currency 4" xfId="144"/>
    <cellStyle name="Currency 4 2" xfId="145"/>
    <cellStyle name="Currency 4 3" xfId="146"/>
    <cellStyle name="Currency 5" xfId="147"/>
    <cellStyle name="Currency 5 2" xfId="352"/>
    <cellStyle name="Currency 5 2 2" xfId="353"/>
    <cellStyle name="Currency 5 2 2 2" xfId="1060"/>
    <cellStyle name="Currency 5 2 3" xfId="1061"/>
    <cellStyle name="Currency 5 2 3 2" xfId="1062"/>
    <cellStyle name="Currency 5 2 4" xfId="1063"/>
    <cellStyle name="Currency 5 2 5" xfId="1064"/>
    <cellStyle name="Currency 5 3" xfId="354"/>
    <cellStyle name="Currency 5 3 2" xfId="1065"/>
    <cellStyle name="Currency 5 4" xfId="1066"/>
    <cellStyle name="Currency 5 4 2" xfId="1067"/>
    <cellStyle name="Currency 5 5" xfId="1068"/>
    <cellStyle name="Currency 5 6" xfId="1069"/>
    <cellStyle name="Currency 6" xfId="148"/>
    <cellStyle name="Currency 6 2" xfId="355"/>
    <cellStyle name="Currency 7" xfId="149"/>
    <cellStyle name="Currency 7 2" xfId="356"/>
    <cellStyle name="Currency 8" xfId="357"/>
    <cellStyle name="Data Field" xfId="150"/>
    <cellStyle name="Data Field 2" xfId="151"/>
    <cellStyle name="Data Field 2 2" xfId="152"/>
    <cellStyle name="Data Field 2 2 2" xfId="1070"/>
    <cellStyle name="Data Field 2 3" xfId="153"/>
    <cellStyle name="Data Field 2 4" xfId="1071"/>
    <cellStyle name="Data Field 3" xfId="154"/>
    <cellStyle name="Data Field 3 2" xfId="1072"/>
    <cellStyle name="Data Field 4" xfId="155"/>
    <cellStyle name="Data Field 4 2" xfId="1418"/>
    <cellStyle name="Data Field 5" xfId="156"/>
    <cellStyle name="Data Field 6" xfId="1073"/>
    <cellStyle name="Data Name" xfId="157"/>
    <cellStyle name="Data Name 2" xfId="158"/>
    <cellStyle name="Data Name 2 2" xfId="159"/>
    <cellStyle name="Data Name 2 3" xfId="1419"/>
    <cellStyle name="Data Name 3" xfId="160"/>
    <cellStyle name="Data Name 4" xfId="161"/>
    <cellStyle name="Date/Time" xfId="162"/>
    <cellStyle name="Emphasis 1" xfId="358"/>
    <cellStyle name="Emphasis 2" xfId="359"/>
    <cellStyle name="Emphasis 3" xfId="360"/>
    <cellStyle name="Explanatory Text 2" xfId="361"/>
    <cellStyle name="Explanatory Text 3" xfId="451"/>
    <cellStyle name="Good 2" xfId="362"/>
    <cellStyle name="Good 3" xfId="452"/>
    <cellStyle name="Heading" xfId="163"/>
    <cellStyle name="Heading 1 2" xfId="363"/>
    <cellStyle name="Heading 1 2 2" xfId="453"/>
    <cellStyle name="Heading 1 3" xfId="454"/>
    <cellStyle name="Heading 2 2" xfId="164"/>
    <cellStyle name="Heading 2 2 2" xfId="1074"/>
    <cellStyle name="Heading 2 3" xfId="364"/>
    <cellStyle name="Heading 2 3 2" xfId="1075"/>
    <cellStyle name="Heading 2 4" xfId="1420"/>
    <cellStyle name="Heading 3 2" xfId="365"/>
    <cellStyle name="Heading 3 2 2" xfId="455"/>
    <cellStyle name="Heading 3 3" xfId="456"/>
    <cellStyle name="Heading 4 2" xfId="366"/>
    <cellStyle name="Heading 4 2 2" xfId="457"/>
    <cellStyle name="Heading 4 3" xfId="458"/>
    <cellStyle name="Hyperlink 2" xfId="165"/>
    <cellStyle name="Hyperlink 2 2" xfId="166"/>
    <cellStyle name="Hyperlink 2 2 2" xfId="167"/>
    <cellStyle name="Hyperlink 2 3" xfId="1421"/>
    <cellStyle name="Hyperlink 2_ResWXMF_FY10v2_0" xfId="367"/>
    <cellStyle name="Hyperlink 3" xfId="168"/>
    <cellStyle name="Hyperlink 3 2" xfId="368"/>
    <cellStyle name="Hyperlink 3 2 2" xfId="369"/>
    <cellStyle name="Hyperlink 3 3" xfId="1076"/>
    <cellStyle name="Hyperlink 4" xfId="370"/>
    <cellStyle name="Hyperlink 4 2" xfId="1077"/>
    <cellStyle name="Hyperlink 4 2 2" xfId="1078"/>
    <cellStyle name="Hyperlink 4 3" xfId="1079"/>
    <cellStyle name="Hyperlink 4 4" xfId="1080"/>
    <cellStyle name="Hyperlink 4 5" xfId="1413"/>
    <cellStyle name="Hyperlink 5" xfId="371"/>
    <cellStyle name="Hyperlink 6" xfId="372"/>
    <cellStyle name="Hyperlink 7" xfId="373"/>
    <cellStyle name="Hyperlink 8" xfId="374"/>
    <cellStyle name="Input 2" xfId="375"/>
    <cellStyle name="Input 3" xfId="459"/>
    <cellStyle name="Linked Cell 2" xfId="376"/>
    <cellStyle name="Linked Cell 3" xfId="460"/>
    <cellStyle name="Neutral 2" xfId="377"/>
    <cellStyle name="Neutral 3" xfId="461"/>
    <cellStyle name="Normal" xfId="0" builtinId="0"/>
    <cellStyle name="Normal 10" xfId="169"/>
    <cellStyle name="Normal 10 2" xfId="170"/>
    <cellStyle name="Normal 10 2 2" xfId="1081"/>
    <cellStyle name="Normal 10 3" xfId="1422"/>
    <cellStyle name="Normal 10 3 2" xfId="1423"/>
    <cellStyle name="Normal 10 4" xfId="1424"/>
    <cellStyle name="Normal 10 5" xfId="1425"/>
    <cellStyle name="Normal 11" xfId="171"/>
    <cellStyle name="Normal 11 2" xfId="172"/>
    <cellStyle name="Normal 12" xfId="173"/>
    <cellStyle name="Normal 12 2" xfId="174"/>
    <cellStyle name="Normal 13" xfId="175"/>
    <cellStyle name="Normal 13 2" xfId="176"/>
    <cellStyle name="Normal 13 2 2" xfId="1082"/>
    <cellStyle name="Normal 13 2 2 2" xfId="1083"/>
    <cellStyle name="Normal 13 3" xfId="378"/>
    <cellStyle name="Normal 13 3 2" xfId="1084"/>
    <cellStyle name="Normal 14" xfId="1"/>
    <cellStyle name="Normal 14 2" xfId="379"/>
    <cellStyle name="Normal 14 2 2" xfId="380"/>
    <cellStyle name="Normal 14 2 2 2" xfId="1085"/>
    <cellStyle name="Normal 14 2 3" xfId="1086"/>
    <cellStyle name="Normal 14 2 3 2" xfId="1087"/>
    <cellStyle name="Normal 14 2 4" xfId="1088"/>
    <cellStyle name="Normal 14 2 5" xfId="1089"/>
    <cellStyle name="Normal 14 3" xfId="381"/>
    <cellStyle name="Normal 14 3 2" xfId="382"/>
    <cellStyle name="Normal 14 4" xfId="462"/>
    <cellStyle name="Normal 14 4 2" xfId="1412"/>
    <cellStyle name="Normal 14 5" xfId="1090"/>
    <cellStyle name="Normal 15" xfId="5"/>
    <cellStyle name="Normal 15 2" xfId="383"/>
    <cellStyle name="Normal 15 2 2" xfId="384"/>
    <cellStyle name="Normal 15 2 2 2" xfId="1091"/>
    <cellStyle name="Normal 15 2 3" xfId="1092"/>
    <cellStyle name="Normal 15 2 3 2" xfId="1093"/>
    <cellStyle name="Normal 15 2 4" xfId="1094"/>
    <cellStyle name="Normal 15 2 5" xfId="1095"/>
    <cellStyle name="Normal 15 3" xfId="385"/>
    <cellStyle name="Normal 15 3 2" xfId="1096"/>
    <cellStyle name="Normal 15 4" xfId="386"/>
    <cellStyle name="Normal 15 4 2" xfId="1097"/>
    <cellStyle name="Normal 15 5" xfId="1098"/>
    <cellStyle name="Normal 15 5 2" xfId="1099"/>
    <cellStyle name="Normal 15 6" xfId="1100"/>
    <cellStyle name="Normal 15 7" xfId="1101"/>
    <cellStyle name="Normal 16" xfId="177"/>
    <cellStyle name="Normal 16 2" xfId="387"/>
    <cellStyle name="Normal 16 2 2" xfId="1102"/>
    <cellStyle name="Normal 16 3" xfId="388"/>
    <cellStyle name="Normal 16 4" xfId="1103"/>
    <cellStyle name="Normal 17" xfId="178"/>
    <cellStyle name="Normal 17 2" xfId="389"/>
    <cellStyle name="Normal 17 3" xfId="1104"/>
    <cellStyle name="Normal 17 4" xfId="1105"/>
    <cellStyle name="Normal 18" xfId="179"/>
    <cellStyle name="Normal 18 2" xfId="1106"/>
    <cellStyle name="Normal 19" xfId="180"/>
    <cellStyle name="Normal 19 2" xfId="1426"/>
    <cellStyle name="Normal 2" xfId="181"/>
    <cellStyle name="Normal 2 10" xfId="182"/>
    <cellStyle name="Normal 2 10 10" xfId="1427"/>
    <cellStyle name="Normal 2 10 10 2" xfId="1428"/>
    <cellStyle name="Normal 2 10 10 2 2" xfId="1429"/>
    <cellStyle name="Normal 2 10 10 3" xfId="1430"/>
    <cellStyle name="Normal 2 10 11" xfId="1431"/>
    <cellStyle name="Normal 2 10 11 2" xfId="1432"/>
    <cellStyle name="Normal 2 10 11 2 2" xfId="1433"/>
    <cellStyle name="Normal 2 10 11 3" xfId="1434"/>
    <cellStyle name="Normal 2 10 12" xfId="1435"/>
    <cellStyle name="Normal 2 10 12 2" xfId="1436"/>
    <cellStyle name="Normal 2 10 12 2 2" xfId="1437"/>
    <cellStyle name="Normal 2 10 12 3" xfId="1438"/>
    <cellStyle name="Normal 2 10 13" xfId="1439"/>
    <cellStyle name="Normal 2 10 13 2" xfId="1440"/>
    <cellStyle name="Normal 2 10 13 2 2" xfId="1441"/>
    <cellStyle name="Normal 2 10 13 3" xfId="1442"/>
    <cellStyle name="Normal 2 10 14" xfId="1443"/>
    <cellStyle name="Normal 2 10 14 2" xfId="1444"/>
    <cellStyle name="Normal 2 10 14 2 2" xfId="1445"/>
    <cellStyle name="Normal 2 10 14 3" xfId="1446"/>
    <cellStyle name="Normal 2 10 15" xfId="1447"/>
    <cellStyle name="Normal 2 10 15 2" xfId="1448"/>
    <cellStyle name="Normal 2 10 15 2 2" xfId="1449"/>
    <cellStyle name="Normal 2 10 15 3" xfId="1450"/>
    <cellStyle name="Normal 2 10 16" xfId="1451"/>
    <cellStyle name="Normal 2 10 16 2" xfId="1452"/>
    <cellStyle name="Normal 2 10 16 2 2" xfId="1453"/>
    <cellStyle name="Normal 2 10 16 3" xfId="1454"/>
    <cellStyle name="Normal 2 10 17" xfId="1455"/>
    <cellStyle name="Normal 2 10 17 2" xfId="1456"/>
    <cellStyle name="Normal 2 10 17 2 2" xfId="1457"/>
    <cellStyle name="Normal 2 10 17 3" xfId="1458"/>
    <cellStyle name="Normal 2 10 18" xfId="1459"/>
    <cellStyle name="Normal 2 10 18 2" xfId="1460"/>
    <cellStyle name="Normal 2 10 18 2 2" xfId="1461"/>
    <cellStyle name="Normal 2 10 18 3" xfId="1462"/>
    <cellStyle name="Normal 2 10 19" xfId="1463"/>
    <cellStyle name="Normal 2 10 19 2" xfId="1464"/>
    <cellStyle name="Normal 2 10 19 2 2" xfId="1465"/>
    <cellStyle name="Normal 2 10 19 3" xfId="1466"/>
    <cellStyle name="Normal 2 10 2" xfId="1107"/>
    <cellStyle name="Normal 2 10 2 2" xfId="1108"/>
    <cellStyle name="Normal 2 10 2 2 2" xfId="1467"/>
    <cellStyle name="Normal 2 10 2 3" xfId="1468"/>
    <cellStyle name="Normal 2 10 20" xfId="1469"/>
    <cellStyle name="Normal 2 10 20 2" xfId="1470"/>
    <cellStyle name="Normal 2 10 20 2 2" xfId="1471"/>
    <cellStyle name="Normal 2 10 20 3" xfId="1472"/>
    <cellStyle name="Normal 2 10 21" xfId="1473"/>
    <cellStyle name="Normal 2 10 21 2" xfId="1474"/>
    <cellStyle name="Normal 2 10 21 2 2" xfId="1475"/>
    <cellStyle name="Normal 2 10 21 3" xfId="1476"/>
    <cellStyle name="Normal 2 10 22" xfId="1477"/>
    <cellStyle name="Normal 2 10 22 2" xfId="1478"/>
    <cellStyle name="Normal 2 10 22 2 2" xfId="1479"/>
    <cellStyle name="Normal 2 10 22 3" xfId="1480"/>
    <cellStyle name="Normal 2 10 23" xfId="1481"/>
    <cellStyle name="Normal 2 10 23 2" xfId="1482"/>
    <cellStyle name="Normal 2 10 23 2 2" xfId="1483"/>
    <cellStyle name="Normal 2 10 23 3" xfId="1484"/>
    <cellStyle name="Normal 2 10 24" xfId="1485"/>
    <cellStyle name="Normal 2 10 24 2" xfId="1486"/>
    <cellStyle name="Normal 2 10 25" xfId="1487"/>
    <cellStyle name="Normal 2 10 3" xfId="1109"/>
    <cellStyle name="Normal 2 10 3 2" xfId="1110"/>
    <cellStyle name="Normal 2 10 3 2 2" xfId="1488"/>
    <cellStyle name="Normal 2 10 3 3" xfId="1489"/>
    <cellStyle name="Normal 2 10 4" xfId="1111"/>
    <cellStyle name="Normal 2 10 4 2" xfId="1490"/>
    <cellStyle name="Normal 2 10 4 2 2" xfId="1491"/>
    <cellStyle name="Normal 2 10 4 3" xfId="1492"/>
    <cellStyle name="Normal 2 10 5" xfId="1493"/>
    <cellStyle name="Normal 2 10 5 2" xfId="1494"/>
    <cellStyle name="Normal 2 10 5 2 2" xfId="1495"/>
    <cellStyle name="Normal 2 10 5 3" xfId="1496"/>
    <cellStyle name="Normal 2 10 6" xfId="1497"/>
    <cellStyle name="Normal 2 10 6 2" xfId="1498"/>
    <cellStyle name="Normal 2 10 6 2 2" xfId="1499"/>
    <cellStyle name="Normal 2 10 6 3" xfId="1500"/>
    <cellStyle name="Normal 2 10 7" xfId="1501"/>
    <cellStyle name="Normal 2 10 7 2" xfId="1502"/>
    <cellStyle name="Normal 2 10 7 2 2" xfId="1503"/>
    <cellStyle name="Normal 2 10 7 3" xfId="1504"/>
    <cellStyle name="Normal 2 10 8" xfId="1505"/>
    <cellStyle name="Normal 2 10 8 2" xfId="1506"/>
    <cellStyle name="Normal 2 10 8 2 2" xfId="1507"/>
    <cellStyle name="Normal 2 10 8 3" xfId="1508"/>
    <cellStyle name="Normal 2 10 9" xfId="1509"/>
    <cellStyle name="Normal 2 10 9 2" xfId="1510"/>
    <cellStyle name="Normal 2 10 9 2 2" xfId="1511"/>
    <cellStyle name="Normal 2 10 9 3" xfId="1512"/>
    <cellStyle name="Normal 2 100" xfId="1513"/>
    <cellStyle name="Normal 2 100 2" xfId="1514"/>
    <cellStyle name="Normal 2 100 3" xfId="1515"/>
    <cellStyle name="Normal 2 101" xfId="1516"/>
    <cellStyle name="Normal 2 101 2" xfId="1517"/>
    <cellStyle name="Normal 2 101 3" xfId="1518"/>
    <cellStyle name="Normal 2 102" xfId="1519"/>
    <cellStyle name="Normal 2 103" xfId="1520"/>
    <cellStyle name="Normal 2 104" xfId="1521"/>
    <cellStyle name="Normal 2 105" xfId="1522"/>
    <cellStyle name="Normal 2 106" xfId="1523"/>
    <cellStyle name="Normal 2 107" xfId="1524"/>
    <cellStyle name="Normal 2 108" xfId="1525"/>
    <cellStyle name="Normal 2 109" xfId="1526"/>
    <cellStyle name="Normal 2 11" xfId="183"/>
    <cellStyle name="Normal 2 11 10" xfId="1527"/>
    <cellStyle name="Normal 2 11 10 2" xfId="1528"/>
    <cellStyle name="Normal 2 11 10 2 2" xfId="1529"/>
    <cellStyle name="Normal 2 11 10 3" xfId="1530"/>
    <cellStyle name="Normal 2 11 11" xfId="1531"/>
    <cellStyle name="Normal 2 11 11 2" xfId="1532"/>
    <cellStyle name="Normal 2 11 11 2 2" xfId="1533"/>
    <cellStyle name="Normal 2 11 11 3" xfId="1534"/>
    <cellStyle name="Normal 2 11 12" xfId="1535"/>
    <cellStyle name="Normal 2 11 12 2" xfId="1536"/>
    <cellStyle name="Normal 2 11 12 2 2" xfId="1537"/>
    <cellStyle name="Normal 2 11 12 3" xfId="1538"/>
    <cellStyle name="Normal 2 11 13" xfId="1539"/>
    <cellStyle name="Normal 2 11 13 2" xfId="1540"/>
    <cellStyle name="Normal 2 11 13 2 2" xfId="1541"/>
    <cellStyle name="Normal 2 11 13 3" xfId="1542"/>
    <cellStyle name="Normal 2 11 14" xfId="1543"/>
    <cellStyle name="Normal 2 11 14 2" xfId="1544"/>
    <cellStyle name="Normal 2 11 14 2 2" xfId="1545"/>
    <cellStyle name="Normal 2 11 14 3" xfId="1546"/>
    <cellStyle name="Normal 2 11 15" xfId="1547"/>
    <cellStyle name="Normal 2 11 15 2" xfId="1548"/>
    <cellStyle name="Normal 2 11 15 2 2" xfId="1549"/>
    <cellStyle name="Normal 2 11 15 3" xfId="1550"/>
    <cellStyle name="Normal 2 11 16" xfId="1551"/>
    <cellStyle name="Normal 2 11 16 2" xfId="1552"/>
    <cellStyle name="Normal 2 11 16 2 2" xfId="1553"/>
    <cellStyle name="Normal 2 11 16 3" xfId="1554"/>
    <cellStyle name="Normal 2 11 17" xfId="1555"/>
    <cellStyle name="Normal 2 11 17 2" xfId="1556"/>
    <cellStyle name="Normal 2 11 17 2 2" xfId="1557"/>
    <cellStyle name="Normal 2 11 17 3" xfId="1558"/>
    <cellStyle name="Normal 2 11 18" xfId="1559"/>
    <cellStyle name="Normal 2 11 18 2" xfId="1560"/>
    <cellStyle name="Normal 2 11 18 2 2" xfId="1561"/>
    <cellStyle name="Normal 2 11 18 3" xfId="1562"/>
    <cellStyle name="Normal 2 11 19" xfId="1563"/>
    <cellStyle name="Normal 2 11 19 2" xfId="1564"/>
    <cellStyle name="Normal 2 11 19 2 2" xfId="1565"/>
    <cellStyle name="Normal 2 11 19 3" xfId="1566"/>
    <cellStyle name="Normal 2 11 2" xfId="1567"/>
    <cellStyle name="Normal 2 11 2 2" xfId="1568"/>
    <cellStyle name="Normal 2 11 2 2 2" xfId="1569"/>
    <cellStyle name="Normal 2 11 2 3" xfId="1570"/>
    <cellStyle name="Normal 2 11 20" xfId="1571"/>
    <cellStyle name="Normal 2 11 20 2" xfId="1572"/>
    <cellStyle name="Normal 2 11 20 2 2" xfId="1573"/>
    <cellStyle name="Normal 2 11 20 3" xfId="1574"/>
    <cellStyle name="Normal 2 11 21" xfId="1575"/>
    <cellStyle name="Normal 2 11 21 2" xfId="1576"/>
    <cellStyle name="Normal 2 11 21 2 2" xfId="1577"/>
    <cellStyle name="Normal 2 11 21 3" xfId="1578"/>
    <cellStyle name="Normal 2 11 22" xfId="1579"/>
    <cellStyle name="Normal 2 11 22 2" xfId="1580"/>
    <cellStyle name="Normal 2 11 22 2 2" xfId="1581"/>
    <cellStyle name="Normal 2 11 22 3" xfId="1582"/>
    <cellStyle name="Normal 2 11 23" xfId="1583"/>
    <cellStyle name="Normal 2 11 23 2" xfId="1584"/>
    <cellStyle name="Normal 2 11 23 2 2" xfId="1585"/>
    <cellStyle name="Normal 2 11 23 3" xfId="1586"/>
    <cellStyle name="Normal 2 11 24" xfId="1587"/>
    <cellStyle name="Normal 2 11 24 2" xfId="1588"/>
    <cellStyle name="Normal 2 11 25" xfId="1589"/>
    <cellStyle name="Normal 2 11 3" xfId="1590"/>
    <cellStyle name="Normal 2 11 3 2" xfId="1591"/>
    <cellStyle name="Normal 2 11 3 2 2" xfId="1592"/>
    <cellStyle name="Normal 2 11 3 3" xfId="1593"/>
    <cellStyle name="Normal 2 11 4" xfId="1594"/>
    <cellStyle name="Normal 2 11 4 2" xfId="1595"/>
    <cellStyle name="Normal 2 11 4 2 2" xfId="1596"/>
    <cellStyle name="Normal 2 11 4 3" xfId="1597"/>
    <cellStyle name="Normal 2 11 5" xfId="1598"/>
    <cellStyle name="Normal 2 11 5 2" xfId="1599"/>
    <cellStyle name="Normal 2 11 5 2 2" xfId="1600"/>
    <cellStyle name="Normal 2 11 5 3" xfId="1601"/>
    <cellStyle name="Normal 2 11 6" xfId="1602"/>
    <cellStyle name="Normal 2 11 6 2" xfId="1603"/>
    <cellStyle name="Normal 2 11 6 2 2" xfId="1604"/>
    <cellStyle name="Normal 2 11 6 3" xfId="1605"/>
    <cellStyle name="Normal 2 11 7" xfId="1606"/>
    <cellStyle name="Normal 2 11 7 2" xfId="1607"/>
    <cellStyle name="Normal 2 11 7 2 2" xfId="1608"/>
    <cellStyle name="Normal 2 11 7 3" xfId="1609"/>
    <cellStyle name="Normal 2 11 8" xfId="1610"/>
    <cellStyle name="Normal 2 11 8 2" xfId="1611"/>
    <cellStyle name="Normal 2 11 8 2 2" xfId="1612"/>
    <cellStyle name="Normal 2 11 8 3" xfId="1613"/>
    <cellStyle name="Normal 2 11 9" xfId="1614"/>
    <cellStyle name="Normal 2 11 9 2" xfId="1615"/>
    <cellStyle name="Normal 2 11 9 2 2" xfId="1616"/>
    <cellStyle name="Normal 2 11 9 3" xfId="1617"/>
    <cellStyle name="Normal 2 12" xfId="184"/>
    <cellStyle name="Normal 2 12 10" xfId="1618"/>
    <cellStyle name="Normal 2 12 10 2" xfId="1619"/>
    <cellStyle name="Normal 2 12 10 2 2" xfId="1620"/>
    <cellStyle name="Normal 2 12 10 3" xfId="1621"/>
    <cellStyle name="Normal 2 12 11" xfId="1622"/>
    <cellStyle name="Normal 2 12 11 2" xfId="1623"/>
    <cellStyle name="Normal 2 12 11 2 2" xfId="1624"/>
    <cellStyle name="Normal 2 12 11 3" xfId="1625"/>
    <cellStyle name="Normal 2 12 12" xfId="1626"/>
    <cellStyle name="Normal 2 12 12 2" xfId="1627"/>
    <cellStyle name="Normal 2 12 12 2 2" xfId="1628"/>
    <cellStyle name="Normal 2 12 12 3" xfId="1629"/>
    <cellStyle name="Normal 2 12 13" xfId="1630"/>
    <cellStyle name="Normal 2 12 13 2" xfId="1631"/>
    <cellStyle name="Normal 2 12 13 2 2" xfId="1632"/>
    <cellStyle name="Normal 2 12 13 3" xfId="1633"/>
    <cellStyle name="Normal 2 12 14" xfId="1634"/>
    <cellStyle name="Normal 2 12 14 2" xfId="1635"/>
    <cellStyle name="Normal 2 12 14 2 2" xfId="1636"/>
    <cellStyle name="Normal 2 12 14 3" xfId="1637"/>
    <cellStyle name="Normal 2 12 15" xfId="1638"/>
    <cellStyle name="Normal 2 12 15 2" xfId="1639"/>
    <cellStyle name="Normal 2 12 15 2 2" xfId="1640"/>
    <cellStyle name="Normal 2 12 15 3" xfId="1641"/>
    <cellStyle name="Normal 2 12 16" xfId="1642"/>
    <cellStyle name="Normal 2 12 16 2" xfId="1643"/>
    <cellStyle name="Normal 2 12 16 2 2" xfId="1644"/>
    <cellStyle name="Normal 2 12 16 3" xfId="1645"/>
    <cellStyle name="Normal 2 12 17" xfId="1646"/>
    <cellStyle name="Normal 2 12 17 2" xfId="1647"/>
    <cellStyle name="Normal 2 12 17 2 2" xfId="1648"/>
    <cellStyle name="Normal 2 12 17 3" xfId="1649"/>
    <cellStyle name="Normal 2 12 18" xfId="1650"/>
    <cellStyle name="Normal 2 12 18 2" xfId="1651"/>
    <cellStyle name="Normal 2 12 18 2 2" xfId="1652"/>
    <cellStyle name="Normal 2 12 18 3" xfId="1653"/>
    <cellStyle name="Normal 2 12 19" xfId="1654"/>
    <cellStyle name="Normal 2 12 19 2" xfId="1655"/>
    <cellStyle name="Normal 2 12 19 2 2" xfId="1656"/>
    <cellStyle name="Normal 2 12 19 3" xfId="1657"/>
    <cellStyle name="Normal 2 12 2" xfId="1112"/>
    <cellStyle name="Normal 2 12 2 2" xfId="1113"/>
    <cellStyle name="Normal 2 12 2 2 2" xfId="1658"/>
    <cellStyle name="Normal 2 12 2 3" xfId="1659"/>
    <cellStyle name="Normal 2 12 20" xfId="1660"/>
    <cellStyle name="Normal 2 12 20 2" xfId="1661"/>
    <cellStyle name="Normal 2 12 20 2 2" xfId="1662"/>
    <cellStyle name="Normal 2 12 20 3" xfId="1663"/>
    <cellStyle name="Normal 2 12 21" xfId="1664"/>
    <cellStyle name="Normal 2 12 21 2" xfId="1665"/>
    <cellStyle name="Normal 2 12 21 2 2" xfId="1666"/>
    <cellStyle name="Normal 2 12 21 3" xfId="1667"/>
    <cellStyle name="Normal 2 12 22" xfId="1668"/>
    <cellStyle name="Normal 2 12 22 2" xfId="1669"/>
    <cellStyle name="Normal 2 12 22 2 2" xfId="1670"/>
    <cellStyle name="Normal 2 12 22 3" xfId="1671"/>
    <cellStyle name="Normal 2 12 23" xfId="1672"/>
    <cellStyle name="Normal 2 12 23 2" xfId="1673"/>
    <cellStyle name="Normal 2 12 23 2 2" xfId="1674"/>
    <cellStyle name="Normal 2 12 23 3" xfId="1675"/>
    <cellStyle name="Normal 2 12 24" xfId="1676"/>
    <cellStyle name="Normal 2 12 24 2" xfId="1677"/>
    <cellStyle name="Normal 2 12 25" xfId="1678"/>
    <cellStyle name="Normal 2 12 3" xfId="1114"/>
    <cellStyle name="Normal 2 12 3 2" xfId="1115"/>
    <cellStyle name="Normal 2 12 3 2 2" xfId="1679"/>
    <cellStyle name="Normal 2 12 3 3" xfId="1680"/>
    <cellStyle name="Normal 2 12 4" xfId="1116"/>
    <cellStyle name="Normal 2 12 4 2" xfId="1681"/>
    <cellStyle name="Normal 2 12 4 2 2" xfId="1682"/>
    <cellStyle name="Normal 2 12 4 3" xfId="1683"/>
    <cellStyle name="Normal 2 12 5" xfId="1684"/>
    <cellStyle name="Normal 2 12 5 2" xfId="1685"/>
    <cellStyle name="Normal 2 12 5 2 2" xfId="1686"/>
    <cellStyle name="Normal 2 12 5 3" xfId="1687"/>
    <cellStyle name="Normal 2 12 6" xfId="1688"/>
    <cellStyle name="Normal 2 12 6 2" xfId="1689"/>
    <cellStyle name="Normal 2 12 6 2 2" xfId="1690"/>
    <cellStyle name="Normal 2 12 6 3" xfId="1691"/>
    <cellStyle name="Normal 2 12 7" xfId="1692"/>
    <cellStyle name="Normal 2 12 7 2" xfId="1693"/>
    <cellStyle name="Normal 2 12 7 2 2" xfId="1694"/>
    <cellStyle name="Normal 2 12 7 3" xfId="1695"/>
    <cellStyle name="Normal 2 12 8" xfId="1696"/>
    <cellStyle name="Normal 2 12 8 2" xfId="1697"/>
    <cellStyle name="Normal 2 12 8 2 2" xfId="1698"/>
    <cellStyle name="Normal 2 12 8 3" xfId="1699"/>
    <cellStyle name="Normal 2 12 9" xfId="1700"/>
    <cellStyle name="Normal 2 12 9 2" xfId="1701"/>
    <cellStyle name="Normal 2 12 9 2 2" xfId="1702"/>
    <cellStyle name="Normal 2 12 9 3" xfId="1703"/>
    <cellStyle name="Normal 2 13" xfId="1704"/>
    <cellStyle name="Normal 2 13 10" xfId="1705"/>
    <cellStyle name="Normal 2 13 10 2" xfId="1706"/>
    <cellStyle name="Normal 2 13 10 2 2" xfId="1707"/>
    <cellStyle name="Normal 2 13 10 3" xfId="1708"/>
    <cellStyle name="Normal 2 13 11" xfId="1709"/>
    <cellStyle name="Normal 2 13 11 2" xfId="1710"/>
    <cellStyle name="Normal 2 13 11 2 2" xfId="1711"/>
    <cellStyle name="Normal 2 13 11 3" xfId="1712"/>
    <cellStyle name="Normal 2 13 12" xfId="1713"/>
    <cellStyle name="Normal 2 13 12 2" xfId="1714"/>
    <cellStyle name="Normal 2 13 12 2 2" xfId="1715"/>
    <cellStyle name="Normal 2 13 12 3" xfId="1716"/>
    <cellStyle name="Normal 2 13 13" xfId="1717"/>
    <cellStyle name="Normal 2 13 13 2" xfId="1718"/>
    <cellStyle name="Normal 2 13 13 2 2" xfId="1719"/>
    <cellStyle name="Normal 2 13 13 3" xfId="1720"/>
    <cellStyle name="Normal 2 13 14" xfId="1721"/>
    <cellStyle name="Normal 2 13 14 2" xfId="1722"/>
    <cellStyle name="Normal 2 13 14 2 2" xfId="1723"/>
    <cellStyle name="Normal 2 13 14 3" xfId="1724"/>
    <cellStyle name="Normal 2 13 15" xfId="1725"/>
    <cellStyle name="Normal 2 13 15 2" xfId="1726"/>
    <cellStyle name="Normal 2 13 15 2 2" xfId="1727"/>
    <cellStyle name="Normal 2 13 15 3" xfId="1728"/>
    <cellStyle name="Normal 2 13 16" xfId="1729"/>
    <cellStyle name="Normal 2 13 16 2" xfId="1730"/>
    <cellStyle name="Normal 2 13 16 2 2" xfId="1731"/>
    <cellStyle name="Normal 2 13 16 3" xfId="1732"/>
    <cellStyle name="Normal 2 13 17" xfId="1733"/>
    <cellStyle name="Normal 2 13 17 2" xfId="1734"/>
    <cellStyle name="Normal 2 13 17 2 2" xfId="1735"/>
    <cellStyle name="Normal 2 13 17 3" xfId="1736"/>
    <cellStyle name="Normal 2 13 18" xfId="1737"/>
    <cellStyle name="Normal 2 13 18 2" xfId="1738"/>
    <cellStyle name="Normal 2 13 18 2 2" xfId="1739"/>
    <cellStyle name="Normal 2 13 18 3" xfId="1740"/>
    <cellStyle name="Normal 2 13 19" xfId="1741"/>
    <cellStyle name="Normal 2 13 19 2" xfId="1742"/>
    <cellStyle name="Normal 2 13 19 2 2" xfId="1743"/>
    <cellStyle name="Normal 2 13 19 3" xfId="1744"/>
    <cellStyle name="Normal 2 13 2" xfId="1745"/>
    <cellStyle name="Normal 2 13 2 2" xfId="1746"/>
    <cellStyle name="Normal 2 13 2 2 2" xfId="1747"/>
    <cellStyle name="Normal 2 13 2 3" xfId="1748"/>
    <cellStyle name="Normal 2 13 20" xfId="1749"/>
    <cellStyle name="Normal 2 13 20 2" xfId="1750"/>
    <cellStyle name="Normal 2 13 20 2 2" xfId="1751"/>
    <cellStyle name="Normal 2 13 20 3" xfId="1752"/>
    <cellStyle name="Normal 2 13 21" xfId="1753"/>
    <cellStyle name="Normal 2 13 21 2" xfId="1754"/>
    <cellStyle name="Normal 2 13 21 2 2" xfId="1755"/>
    <cellStyle name="Normal 2 13 21 3" xfId="1756"/>
    <cellStyle name="Normal 2 13 22" xfId="1757"/>
    <cellStyle name="Normal 2 13 22 2" xfId="1758"/>
    <cellStyle name="Normal 2 13 22 2 2" xfId="1759"/>
    <cellStyle name="Normal 2 13 22 3" xfId="1760"/>
    <cellStyle name="Normal 2 13 23" xfId="1761"/>
    <cellStyle name="Normal 2 13 23 2" xfId="1762"/>
    <cellStyle name="Normal 2 13 23 2 2" xfId="1763"/>
    <cellStyle name="Normal 2 13 23 3" xfId="1764"/>
    <cellStyle name="Normal 2 13 24" xfId="1765"/>
    <cellStyle name="Normal 2 13 24 2" xfId="1766"/>
    <cellStyle name="Normal 2 13 25" xfId="1767"/>
    <cellStyle name="Normal 2 13 3" xfId="1768"/>
    <cellStyle name="Normal 2 13 3 2" xfId="1769"/>
    <cellStyle name="Normal 2 13 3 2 2" xfId="1770"/>
    <cellStyle name="Normal 2 13 3 3" xfId="1771"/>
    <cellStyle name="Normal 2 13 4" xfId="1772"/>
    <cellStyle name="Normal 2 13 4 2" xfId="1773"/>
    <cellStyle name="Normal 2 13 4 2 2" xfId="1774"/>
    <cellStyle name="Normal 2 13 4 3" xfId="1775"/>
    <cellStyle name="Normal 2 13 5" xfId="1776"/>
    <cellStyle name="Normal 2 13 5 2" xfId="1777"/>
    <cellStyle name="Normal 2 13 5 2 2" xfId="1778"/>
    <cellStyle name="Normal 2 13 5 3" xfId="1779"/>
    <cellStyle name="Normal 2 13 6" xfId="1780"/>
    <cellStyle name="Normal 2 13 6 2" xfId="1781"/>
    <cellStyle name="Normal 2 13 6 2 2" xfId="1782"/>
    <cellStyle name="Normal 2 13 6 3" xfId="1783"/>
    <cellStyle name="Normal 2 13 7" xfId="1784"/>
    <cellStyle name="Normal 2 13 7 2" xfId="1785"/>
    <cellStyle name="Normal 2 13 7 2 2" xfId="1786"/>
    <cellStyle name="Normal 2 13 7 3" xfId="1787"/>
    <cellStyle name="Normal 2 13 8" xfId="1788"/>
    <cellStyle name="Normal 2 13 8 2" xfId="1789"/>
    <cellStyle name="Normal 2 13 8 2 2" xfId="1790"/>
    <cellStyle name="Normal 2 13 8 3" xfId="1791"/>
    <cellStyle name="Normal 2 13 9" xfId="1792"/>
    <cellStyle name="Normal 2 13 9 2" xfId="1793"/>
    <cellStyle name="Normal 2 13 9 2 2" xfId="1794"/>
    <cellStyle name="Normal 2 13 9 3" xfId="1795"/>
    <cellStyle name="Normal 2 14" xfId="1796"/>
    <cellStyle name="Normal 2 14 10" xfId="1797"/>
    <cellStyle name="Normal 2 14 10 2" xfId="1798"/>
    <cellStyle name="Normal 2 14 10 2 2" xfId="1799"/>
    <cellStyle name="Normal 2 14 10 3" xfId="1800"/>
    <cellStyle name="Normal 2 14 11" xfId="1801"/>
    <cellStyle name="Normal 2 14 11 2" xfId="1802"/>
    <cellStyle name="Normal 2 14 11 2 2" xfId="1803"/>
    <cellStyle name="Normal 2 14 11 3" xfId="1804"/>
    <cellStyle name="Normal 2 14 12" xfId="1805"/>
    <cellStyle name="Normal 2 14 12 2" xfId="1806"/>
    <cellStyle name="Normal 2 14 12 2 2" xfId="1807"/>
    <cellStyle name="Normal 2 14 12 3" xfId="1808"/>
    <cellStyle name="Normal 2 14 13" xfId="1809"/>
    <cellStyle name="Normal 2 14 13 2" xfId="1810"/>
    <cellStyle name="Normal 2 14 13 2 2" xfId="1811"/>
    <cellStyle name="Normal 2 14 13 3" xfId="1812"/>
    <cellStyle name="Normal 2 14 14" xfId="1813"/>
    <cellStyle name="Normal 2 14 14 2" xfId="1814"/>
    <cellStyle name="Normal 2 14 14 2 2" xfId="1815"/>
    <cellStyle name="Normal 2 14 14 3" xfId="1816"/>
    <cellStyle name="Normal 2 14 15" xfId="1817"/>
    <cellStyle name="Normal 2 14 15 2" xfId="1818"/>
    <cellStyle name="Normal 2 14 15 2 2" xfId="1819"/>
    <cellStyle name="Normal 2 14 15 3" xfId="1820"/>
    <cellStyle name="Normal 2 14 16" xfId="1821"/>
    <cellStyle name="Normal 2 14 16 2" xfId="1822"/>
    <cellStyle name="Normal 2 14 16 2 2" xfId="1823"/>
    <cellStyle name="Normal 2 14 16 3" xfId="1824"/>
    <cellStyle name="Normal 2 14 17" xfId="1825"/>
    <cellStyle name="Normal 2 14 17 2" xfId="1826"/>
    <cellStyle name="Normal 2 14 17 2 2" xfId="1827"/>
    <cellStyle name="Normal 2 14 17 3" xfId="1828"/>
    <cellStyle name="Normal 2 14 18" xfId="1829"/>
    <cellStyle name="Normal 2 14 18 2" xfId="1830"/>
    <cellStyle name="Normal 2 14 18 2 2" xfId="1831"/>
    <cellStyle name="Normal 2 14 18 3" xfId="1832"/>
    <cellStyle name="Normal 2 14 19" xfId="1833"/>
    <cellStyle name="Normal 2 14 19 2" xfId="1834"/>
    <cellStyle name="Normal 2 14 19 2 2" xfId="1835"/>
    <cellStyle name="Normal 2 14 19 3" xfId="1836"/>
    <cellStyle name="Normal 2 14 2" xfId="1837"/>
    <cellStyle name="Normal 2 14 2 2" xfId="1838"/>
    <cellStyle name="Normal 2 14 2 2 2" xfId="1839"/>
    <cellStyle name="Normal 2 14 2 3" xfId="1840"/>
    <cellStyle name="Normal 2 14 20" xfId="1841"/>
    <cellStyle name="Normal 2 14 20 2" xfId="1842"/>
    <cellStyle name="Normal 2 14 20 2 2" xfId="1843"/>
    <cellStyle name="Normal 2 14 20 3" xfId="1844"/>
    <cellStyle name="Normal 2 14 21" xfId="1845"/>
    <cellStyle name="Normal 2 14 21 2" xfId="1846"/>
    <cellStyle name="Normal 2 14 21 2 2" xfId="1847"/>
    <cellStyle name="Normal 2 14 21 3" xfId="1848"/>
    <cellStyle name="Normal 2 14 22" xfId="1849"/>
    <cellStyle name="Normal 2 14 22 2" xfId="1850"/>
    <cellStyle name="Normal 2 14 22 2 2" xfId="1851"/>
    <cellStyle name="Normal 2 14 22 3" xfId="1852"/>
    <cellStyle name="Normal 2 14 23" xfId="1853"/>
    <cellStyle name="Normal 2 14 23 2" xfId="1854"/>
    <cellStyle name="Normal 2 14 23 2 2" xfId="1855"/>
    <cellStyle name="Normal 2 14 23 3" xfId="1856"/>
    <cellStyle name="Normal 2 14 24" xfId="1857"/>
    <cellStyle name="Normal 2 14 24 2" xfId="1858"/>
    <cellStyle name="Normal 2 14 25" xfId="1859"/>
    <cellStyle name="Normal 2 14 3" xfId="1860"/>
    <cellStyle name="Normal 2 14 3 2" xfId="1861"/>
    <cellStyle name="Normal 2 14 3 2 2" xfId="1862"/>
    <cellStyle name="Normal 2 14 3 3" xfId="1863"/>
    <cellStyle name="Normal 2 14 4" xfId="1864"/>
    <cellStyle name="Normal 2 14 4 2" xfId="1865"/>
    <cellStyle name="Normal 2 14 4 2 2" xfId="1866"/>
    <cellStyle name="Normal 2 14 4 3" xfId="1867"/>
    <cellStyle name="Normal 2 14 5" xfId="1868"/>
    <cellStyle name="Normal 2 14 5 2" xfId="1869"/>
    <cellStyle name="Normal 2 14 5 2 2" xfId="1870"/>
    <cellStyle name="Normal 2 14 5 3" xfId="1871"/>
    <cellStyle name="Normal 2 14 6" xfId="1872"/>
    <cellStyle name="Normal 2 14 6 2" xfId="1873"/>
    <cellStyle name="Normal 2 14 6 2 2" xfId="1874"/>
    <cellStyle name="Normal 2 14 6 3" xfId="1875"/>
    <cellStyle name="Normal 2 14 7" xfId="1876"/>
    <cellStyle name="Normal 2 14 7 2" xfId="1877"/>
    <cellStyle name="Normal 2 14 7 2 2" xfId="1878"/>
    <cellStyle name="Normal 2 14 7 3" xfId="1879"/>
    <cellStyle name="Normal 2 14 8" xfId="1880"/>
    <cellStyle name="Normal 2 14 8 2" xfId="1881"/>
    <cellStyle name="Normal 2 14 8 2 2" xfId="1882"/>
    <cellStyle name="Normal 2 14 8 3" xfId="1883"/>
    <cellStyle name="Normal 2 14 9" xfId="1884"/>
    <cellStyle name="Normal 2 14 9 2" xfId="1885"/>
    <cellStyle name="Normal 2 14 9 2 2" xfId="1886"/>
    <cellStyle name="Normal 2 14 9 3" xfId="1887"/>
    <cellStyle name="Normal 2 15" xfId="1888"/>
    <cellStyle name="Normal 2 15 10" xfId="1889"/>
    <cellStyle name="Normal 2 15 10 2" xfId="1890"/>
    <cellStyle name="Normal 2 15 10 2 2" xfId="1891"/>
    <cellStyle name="Normal 2 15 10 3" xfId="1892"/>
    <cellStyle name="Normal 2 15 11" xfId="1893"/>
    <cellStyle name="Normal 2 15 11 2" xfId="1894"/>
    <cellStyle name="Normal 2 15 11 2 2" xfId="1895"/>
    <cellStyle name="Normal 2 15 11 3" xfId="1896"/>
    <cellStyle name="Normal 2 15 12" xfId="1897"/>
    <cellStyle name="Normal 2 15 12 2" xfId="1898"/>
    <cellStyle name="Normal 2 15 12 2 2" xfId="1899"/>
    <cellStyle name="Normal 2 15 12 3" xfId="1900"/>
    <cellStyle name="Normal 2 15 13" xfId="1901"/>
    <cellStyle name="Normal 2 15 13 2" xfId="1902"/>
    <cellStyle name="Normal 2 15 13 2 2" xfId="1903"/>
    <cellStyle name="Normal 2 15 13 3" xfId="1904"/>
    <cellStyle name="Normal 2 15 14" xfId="1905"/>
    <cellStyle name="Normal 2 15 14 2" xfId="1906"/>
    <cellStyle name="Normal 2 15 14 2 2" xfId="1907"/>
    <cellStyle name="Normal 2 15 14 3" xfId="1908"/>
    <cellStyle name="Normal 2 15 15" xfId="1909"/>
    <cellStyle name="Normal 2 15 15 2" xfId="1910"/>
    <cellStyle name="Normal 2 15 15 2 2" xfId="1911"/>
    <cellStyle name="Normal 2 15 15 3" xfId="1912"/>
    <cellStyle name="Normal 2 15 16" xfId="1913"/>
    <cellStyle name="Normal 2 15 16 2" xfId="1914"/>
    <cellStyle name="Normal 2 15 16 2 2" xfId="1915"/>
    <cellStyle name="Normal 2 15 16 3" xfId="1916"/>
    <cellStyle name="Normal 2 15 17" xfId="1917"/>
    <cellStyle name="Normal 2 15 17 2" xfId="1918"/>
    <cellStyle name="Normal 2 15 17 2 2" xfId="1919"/>
    <cellStyle name="Normal 2 15 17 3" xfId="1920"/>
    <cellStyle name="Normal 2 15 18" xfId="1921"/>
    <cellStyle name="Normal 2 15 18 2" xfId="1922"/>
    <cellStyle name="Normal 2 15 18 2 2" xfId="1923"/>
    <cellStyle name="Normal 2 15 18 3" xfId="1924"/>
    <cellStyle name="Normal 2 15 19" xfId="1925"/>
    <cellStyle name="Normal 2 15 19 2" xfId="1926"/>
    <cellStyle name="Normal 2 15 19 2 2" xfId="1927"/>
    <cellStyle name="Normal 2 15 19 3" xfId="1928"/>
    <cellStyle name="Normal 2 15 2" xfId="1929"/>
    <cellStyle name="Normal 2 15 2 2" xfId="1930"/>
    <cellStyle name="Normal 2 15 2 2 2" xfId="1931"/>
    <cellStyle name="Normal 2 15 2 3" xfId="1932"/>
    <cellStyle name="Normal 2 15 20" xfId="1933"/>
    <cellStyle name="Normal 2 15 20 2" xfId="1934"/>
    <cellStyle name="Normal 2 15 20 2 2" xfId="1935"/>
    <cellStyle name="Normal 2 15 20 3" xfId="1936"/>
    <cellStyle name="Normal 2 15 21" xfId="1937"/>
    <cellStyle name="Normal 2 15 21 2" xfId="1938"/>
    <cellStyle name="Normal 2 15 21 2 2" xfId="1939"/>
    <cellStyle name="Normal 2 15 21 3" xfId="1940"/>
    <cellStyle name="Normal 2 15 22" xfId="1941"/>
    <cellStyle name="Normal 2 15 22 2" xfId="1942"/>
    <cellStyle name="Normal 2 15 22 2 2" xfId="1943"/>
    <cellStyle name="Normal 2 15 22 3" xfId="1944"/>
    <cellStyle name="Normal 2 15 23" xfId="1945"/>
    <cellStyle name="Normal 2 15 23 2" xfId="1946"/>
    <cellStyle name="Normal 2 15 23 2 2" xfId="1947"/>
    <cellStyle name="Normal 2 15 23 3" xfId="1948"/>
    <cellStyle name="Normal 2 15 24" xfId="1949"/>
    <cellStyle name="Normal 2 15 24 2" xfId="1950"/>
    <cellStyle name="Normal 2 15 25" xfId="1951"/>
    <cellStyle name="Normal 2 15 3" xfId="1952"/>
    <cellStyle name="Normal 2 15 3 2" xfId="1953"/>
    <cellStyle name="Normal 2 15 3 2 2" xfId="1954"/>
    <cellStyle name="Normal 2 15 3 3" xfId="1955"/>
    <cellStyle name="Normal 2 15 4" xfId="1956"/>
    <cellStyle name="Normal 2 15 4 2" xfId="1957"/>
    <cellStyle name="Normal 2 15 4 2 2" xfId="1958"/>
    <cellStyle name="Normal 2 15 4 3" xfId="1959"/>
    <cellStyle name="Normal 2 15 5" xfId="1960"/>
    <cellStyle name="Normal 2 15 5 2" xfId="1961"/>
    <cellStyle name="Normal 2 15 5 2 2" xfId="1962"/>
    <cellStyle name="Normal 2 15 5 3" xfId="1963"/>
    <cellStyle name="Normal 2 15 6" xfId="1964"/>
    <cellStyle name="Normal 2 15 6 2" xfId="1965"/>
    <cellStyle name="Normal 2 15 6 2 2" xfId="1966"/>
    <cellStyle name="Normal 2 15 6 3" xfId="1967"/>
    <cellStyle name="Normal 2 15 7" xfId="1968"/>
    <cellStyle name="Normal 2 15 7 2" xfId="1969"/>
    <cellStyle name="Normal 2 15 7 2 2" xfId="1970"/>
    <cellStyle name="Normal 2 15 7 3" xfId="1971"/>
    <cellStyle name="Normal 2 15 8" xfId="1972"/>
    <cellStyle name="Normal 2 15 8 2" xfId="1973"/>
    <cellStyle name="Normal 2 15 8 2 2" xfId="1974"/>
    <cellStyle name="Normal 2 15 8 3" xfId="1975"/>
    <cellStyle name="Normal 2 15 9" xfId="1976"/>
    <cellStyle name="Normal 2 15 9 2" xfId="1977"/>
    <cellStyle name="Normal 2 15 9 2 2" xfId="1978"/>
    <cellStyle name="Normal 2 15 9 3" xfId="1979"/>
    <cellStyle name="Normal 2 16" xfId="1980"/>
    <cellStyle name="Normal 2 16 10" xfId="1981"/>
    <cellStyle name="Normal 2 16 10 2" xfId="1982"/>
    <cellStyle name="Normal 2 16 10 2 2" xfId="1983"/>
    <cellStyle name="Normal 2 16 10 3" xfId="1984"/>
    <cellStyle name="Normal 2 16 11" xfId="1985"/>
    <cellStyle name="Normal 2 16 11 2" xfId="1986"/>
    <cellStyle name="Normal 2 16 11 2 2" xfId="1987"/>
    <cellStyle name="Normal 2 16 11 3" xfId="1988"/>
    <cellStyle name="Normal 2 16 12" xfId="1989"/>
    <cellStyle name="Normal 2 16 12 2" xfId="1990"/>
    <cellStyle name="Normal 2 16 12 2 2" xfId="1991"/>
    <cellStyle name="Normal 2 16 12 3" xfId="1992"/>
    <cellStyle name="Normal 2 16 13" xfId="1993"/>
    <cellStyle name="Normal 2 16 13 2" xfId="1994"/>
    <cellStyle name="Normal 2 16 13 2 2" xfId="1995"/>
    <cellStyle name="Normal 2 16 13 3" xfId="1996"/>
    <cellStyle name="Normal 2 16 14" xfId="1997"/>
    <cellStyle name="Normal 2 16 14 2" xfId="1998"/>
    <cellStyle name="Normal 2 16 14 2 2" xfId="1999"/>
    <cellStyle name="Normal 2 16 14 3" xfId="2000"/>
    <cellStyle name="Normal 2 16 15" xfId="2001"/>
    <cellStyle name="Normal 2 16 15 2" xfId="2002"/>
    <cellStyle name="Normal 2 16 15 2 2" xfId="2003"/>
    <cellStyle name="Normal 2 16 15 3" xfId="2004"/>
    <cellStyle name="Normal 2 16 16" xfId="2005"/>
    <cellStyle name="Normal 2 16 16 2" xfId="2006"/>
    <cellStyle name="Normal 2 16 16 2 2" xfId="2007"/>
    <cellStyle name="Normal 2 16 16 3" xfId="2008"/>
    <cellStyle name="Normal 2 16 17" xfId="2009"/>
    <cellStyle name="Normal 2 16 17 2" xfId="2010"/>
    <cellStyle name="Normal 2 16 17 2 2" xfId="2011"/>
    <cellStyle name="Normal 2 16 17 3" xfId="2012"/>
    <cellStyle name="Normal 2 16 18" xfId="2013"/>
    <cellStyle name="Normal 2 16 18 2" xfId="2014"/>
    <cellStyle name="Normal 2 16 18 2 2" xfId="2015"/>
    <cellStyle name="Normal 2 16 18 3" xfId="2016"/>
    <cellStyle name="Normal 2 16 19" xfId="2017"/>
    <cellStyle name="Normal 2 16 19 2" xfId="2018"/>
    <cellStyle name="Normal 2 16 19 2 2" xfId="2019"/>
    <cellStyle name="Normal 2 16 19 3" xfId="2020"/>
    <cellStyle name="Normal 2 16 2" xfId="2021"/>
    <cellStyle name="Normal 2 16 2 2" xfId="2022"/>
    <cellStyle name="Normal 2 16 2 2 2" xfId="2023"/>
    <cellStyle name="Normal 2 16 2 3" xfId="2024"/>
    <cellStyle name="Normal 2 16 20" xfId="2025"/>
    <cellStyle name="Normal 2 16 20 2" xfId="2026"/>
    <cellStyle name="Normal 2 16 20 2 2" xfId="2027"/>
    <cellStyle name="Normal 2 16 20 3" xfId="2028"/>
    <cellStyle name="Normal 2 16 21" xfId="2029"/>
    <cellStyle name="Normal 2 16 21 2" xfId="2030"/>
    <cellStyle name="Normal 2 16 21 2 2" xfId="2031"/>
    <cellStyle name="Normal 2 16 21 3" xfId="2032"/>
    <cellStyle name="Normal 2 16 22" xfId="2033"/>
    <cellStyle name="Normal 2 16 22 2" xfId="2034"/>
    <cellStyle name="Normal 2 16 22 2 2" xfId="2035"/>
    <cellStyle name="Normal 2 16 22 3" xfId="2036"/>
    <cellStyle name="Normal 2 16 23" xfId="2037"/>
    <cellStyle name="Normal 2 16 23 2" xfId="2038"/>
    <cellStyle name="Normal 2 16 23 2 2" xfId="2039"/>
    <cellStyle name="Normal 2 16 23 3" xfId="2040"/>
    <cellStyle name="Normal 2 16 24" xfId="2041"/>
    <cellStyle name="Normal 2 16 24 2" xfId="2042"/>
    <cellStyle name="Normal 2 16 25" xfId="2043"/>
    <cellStyle name="Normal 2 16 3" xfId="2044"/>
    <cellStyle name="Normal 2 16 3 2" xfId="2045"/>
    <cellStyle name="Normal 2 16 3 2 2" xfId="2046"/>
    <cellStyle name="Normal 2 16 3 3" xfId="2047"/>
    <cellStyle name="Normal 2 16 4" xfId="2048"/>
    <cellStyle name="Normal 2 16 4 2" xfId="2049"/>
    <cellStyle name="Normal 2 16 4 2 2" xfId="2050"/>
    <cellStyle name="Normal 2 16 4 3" xfId="2051"/>
    <cellStyle name="Normal 2 16 5" xfId="2052"/>
    <cellStyle name="Normal 2 16 5 2" xfId="2053"/>
    <cellStyle name="Normal 2 16 5 2 2" xfId="2054"/>
    <cellStyle name="Normal 2 16 5 3" xfId="2055"/>
    <cellStyle name="Normal 2 16 6" xfId="2056"/>
    <cellStyle name="Normal 2 16 6 2" xfId="2057"/>
    <cellStyle name="Normal 2 16 6 2 2" xfId="2058"/>
    <cellStyle name="Normal 2 16 6 3" xfId="2059"/>
    <cellStyle name="Normal 2 16 7" xfId="2060"/>
    <cellStyle name="Normal 2 16 7 2" xfId="2061"/>
    <cellStyle name="Normal 2 16 7 2 2" xfId="2062"/>
    <cellStyle name="Normal 2 16 7 3" xfId="2063"/>
    <cellStyle name="Normal 2 16 8" xfId="2064"/>
    <cellStyle name="Normal 2 16 8 2" xfId="2065"/>
    <cellStyle name="Normal 2 16 8 2 2" xfId="2066"/>
    <cellStyle name="Normal 2 16 8 3" xfId="2067"/>
    <cellStyle name="Normal 2 16 9" xfId="2068"/>
    <cellStyle name="Normal 2 16 9 2" xfId="2069"/>
    <cellStyle name="Normal 2 16 9 2 2" xfId="2070"/>
    <cellStyle name="Normal 2 16 9 3" xfId="2071"/>
    <cellStyle name="Normal 2 17" xfId="2072"/>
    <cellStyle name="Normal 2 17 10" xfId="2073"/>
    <cellStyle name="Normal 2 17 10 2" xfId="2074"/>
    <cellStyle name="Normal 2 17 10 2 2" xfId="2075"/>
    <cellStyle name="Normal 2 17 10 3" xfId="2076"/>
    <cellStyle name="Normal 2 17 11" xfId="2077"/>
    <cellStyle name="Normal 2 17 11 2" xfId="2078"/>
    <cellStyle name="Normal 2 17 11 2 2" xfId="2079"/>
    <cellStyle name="Normal 2 17 11 3" xfId="2080"/>
    <cellStyle name="Normal 2 17 12" xfId="2081"/>
    <cellStyle name="Normal 2 17 12 2" xfId="2082"/>
    <cellStyle name="Normal 2 17 12 2 2" xfId="2083"/>
    <cellStyle name="Normal 2 17 12 3" xfId="2084"/>
    <cellStyle name="Normal 2 17 13" xfId="2085"/>
    <cellStyle name="Normal 2 17 13 2" xfId="2086"/>
    <cellStyle name="Normal 2 17 13 2 2" xfId="2087"/>
    <cellStyle name="Normal 2 17 13 3" xfId="2088"/>
    <cellStyle name="Normal 2 17 14" xfId="2089"/>
    <cellStyle name="Normal 2 17 14 2" xfId="2090"/>
    <cellStyle name="Normal 2 17 14 2 2" xfId="2091"/>
    <cellStyle name="Normal 2 17 14 3" xfId="2092"/>
    <cellStyle name="Normal 2 17 15" xfId="2093"/>
    <cellStyle name="Normal 2 17 15 2" xfId="2094"/>
    <cellStyle name="Normal 2 17 15 2 2" xfId="2095"/>
    <cellStyle name="Normal 2 17 15 3" xfId="2096"/>
    <cellStyle name="Normal 2 17 16" xfId="2097"/>
    <cellStyle name="Normal 2 17 16 2" xfId="2098"/>
    <cellStyle name="Normal 2 17 16 2 2" xfId="2099"/>
    <cellStyle name="Normal 2 17 16 3" xfId="2100"/>
    <cellStyle name="Normal 2 17 17" xfId="2101"/>
    <cellStyle name="Normal 2 17 17 2" xfId="2102"/>
    <cellStyle name="Normal 2 17 17 2 2" xfId="2103"/>
    <cellStyle name="Normal 2 17 17 3" xfId="2104"/>
    <cellStyle name="Normal 2 17 18" xfId="2105"/>
    <cellStyle name="Normal 2 17 18 2" xfId="2106"/>
    <cellStyle name="Normal 2 17 18 2 2" xfId="2107"/>
    <cellStyle name="Normal 2 17 18 3" xfId="2108"/>
    <cellStyle name="Normal 2 17 19" xfId="2109"/>
    <cellStyle name="Normal 2 17 19 2" xfId="2110"/>
    <cellStyle name="Normal 2 17 19 2 2" xfId="2111"/>
    <cellStyle name="Normal 2 17 19 3" xfId="2112"/>
    <cellStyle name="Normal 2 17 2" xfId="2113"/>
    <cellStyle name="Normal 2 17 2 2" xfId="2114"/>
    <cellStyle name="Normal 2 17 2 2 2" xfId="2115"/>
    <cellStyle name="Normal 2 17 2 3" xfId="2116"/>
    <cellStyle name="Normal 2 17 20" xfId="2117"/>
    <cellStyle name="Normal 2 17 20 2" xfId="2118"/>
    <cellStyle name="Normal 2 17 20 2 2" xfId="2119"/>
    <cellStyle name="Normal 2 17 20 3" xfId="2120"/>
    <cellStyle name="Normal 2 17 21" xfId="2121"/>
    <cellStyle name="Normal 2 17 21 2" xfId="2122"/>
    <cellStyle name="Normal 2 17 21 2 2" xfId="2123"/>
    <cellStyle name="Normal 2 17 21 3" xfId="2124"/>
    <cellStyle name="Normal 2 17 22" xfId="2125"/>
    <cellStyle name="Normal 2 17 22 2" xfId="2126"/>
    <cellStyle name="Normal 2 17 22 2 2" xfId="2127"/>
    <cellStyle name="Normal 2 17 22 3" xfId="2128"/>
    <cellStyle name="Normal 2 17 23" xfId="2129"/>
    <cellStyle name="Normal 2 17 23 2" xfId="2130"/>
    <cellStyle name="Normal 2 17 23 2 2" xfId="2131"/>
    <cellStyle name="Normal 2 17 23 3" xfId="2132"/>
    <cellStyle name="Normal 2 17 24" xfId="2133"/>
    <cellStyle name="Normal 2 17 24 2" xfId="2134"/>
    <cellStyle name="Normal 2 17 25" xfId="2135"/>
    <cellStyle name="Normal 2 17 3" xfId="2136"/>
    <cellStyle name="Normal 2 17 3 2" xfId="2137"/>
    <cellStyle name="Normal 2 17 3 2 2" xfId="2138"/>
    <cellStyle name="Normal 2 17 3 3" xfId="2139"/>
    <cellStyle name="Normal 2 17 4" xfId="2140"/>
    <cellStyle name="Normal 2 17 4 2" xfId="2141"/>
    <cellStyle name="Normal 2 17 4 2 2" xfId="2142"/>
    <cellStyle name="Normal 2 17 4 3" xfId="2143"/>
    <cellStyle name="Normal 2 17 5" xfId="2144"/>
    <cellStyle name="Normal 2 17 5 2" xfId="2145"/>
    <cellStyle name="Normal 2 17 5 2 2" xfId="2146"/>
    <cellStyle name="Normal 2 17 5 3" xfId="2147"/>
    <cellStyle name="Normal 2 17 6" xfId="2148"/>
    <cellStyle name="Normal 2 17 6 2" xfId="2149"/>
    <cellStyle name="Normal 2 17 6 2 2" xfId="2150"/>
    <cellStyle name="Normal 2 17 6 3" xfId="2151"/>
    <cellStyle name="Normal 2 17 7" xfId="2152"/>
    <cellStyle name="Normal 2 17 7 2" xfId="2153"/>
    <cellStyle name="Normal 2 17 7 2 2" xfId="2154"/>
    <cellStyle name="Normal 2 17 7 3" xfId="2155"/>
    <cellStyle name="Normal 2 17 8" xfId="2156"/>
    <cellStyle name="Normal 2 17 8 2" xfId="2157"/>
    <cellStyle name="Normal 2 17 8 2 2" xfId="2158"/>
    <cellStyle name="Normal 2 17 8 3" xfId="2159"/>
    <cellStyle name="Normal 2 17 9" xfId="2160"/>
    <cellStyle name="Normal 2 17 9 2" xfId="2161"/>
    <cellStyle name="Normal 2 17 9 2 2" xfId="2162"/>
    <cellStyle name="Normal 2 17 9 3" xfId="2163"/>
    <cellStyle name="Normal 2 18" xfId="2164"/>
    <cellStyle name="Normal 2 18 10" xfId="2165"/>
    <cellStyle name="Normal 2 18 10 2" xfId="2166"/>
    <cellStyle name="Normal 2 18 10 2 2" xfId="2167"/>
    <cellStyle name="Normal 2 18 10 3" xfId="2168"/>
    <cellStyle name="Normal 2 18 11" xfId="2169"/>
    <cellStyle name="Normal 2 18 11 2" xfId="2170"/>
    <cellStyle name="Normal 2 18 11 2 2" xfId="2171"/>
    <cellStyle name="Normal 2 18 11 3" xfId="2172"/>
    <cellStyle name="Normal 2 18 12" xfId="2173"/>
    <cellStyle name="Normal 2 18 12 2" xfId="2174"/>
    <cellStyle name="Normal 2 18 12 2 2" xfId="2175"/>
    <cellStyle name="Normal 2 18 12 3" xfId="2176"/>
    <cellStyle name="Normal 2 18 13" xfId="2177"/>
    <cellStyle name="Normal 2 18 13 2" xfId="2178"/>
    <cellStyle name="Normal 2 18 13 2 2" xfId="2179"/>
    <cellStyle name="Normal 2 18 13 3" xfId="2180"/>
    <cellStyle name="Normal 2 18 14" xfId="2181"/>
    <cellStyle name="Normal 2 18 14 2" xfId="2182"/>
    <cellStyle name="Normal 2 18 14 2 2" xfId="2183"/>
    <cellStyle name="Normal 2 18 14 3" xfId="2184"/>
    <cellStyle name="Normal 2 18 15" xfId="2185"/>
    <cellStyle name="Normal 2 18 15 2" xfId="2186"/>
    <cellStyle name="Normal 2 18 15 2 2" xfId="2187"/>
    <cellStyle name="Normal 2 18 15 3" xfId="2188"/>
    <cellStyle name="Normal 2 18 16" xfId="2189"/>
    <cellStyle name="Normal 2 18 16 2" xfId="2190"/>
    <cellStyle name="Normal 2 18 16 2 2" xfId="2191"/>
    <cellStyle name="Normal 2 18 16 3" xfId="2192"/>
    <cellStyle name="Normal 2 18 17" xfId="2193"/>
    <cellStyle name="Normal 2 18 17 2" xfId="2194"/>
    <cellStyle name="Normal 2 18 17 2 2" xfId="2195"/>
    <cellStyle name="Normal 2 18 17 3" xfId="2196"/>
    <cellStyle name="Normal 2 18 18" xfId="2197"/>
    <cellStyle name="Normal 2 18 18 2" xfId="2198"/>
    <cellStyle name="Normal 2 18 18 2 2" xfId="2199"/>
    <cellStyle name="Normal 2 18 18 3" xfId="2200"/>
    <cellStyle name="Normal 2 18 19" xfId="2201"/>
    <cellStyle name="Normal 2 18 19 2" xfId="2202"/>
    <cellStyle name="Normal 2 18 19 2 2" xfId="2203"/>
    <cellStyle name="Normal 2 18 19 3" xfId="2204"/>
    <cellStyle name="Normal 2 18 2" xfId="2205"/>
    <cellStyle name="Normal 2 18 2 2" xfId="2206"/>
    <cellStyle name="Normal 2 18 2 2 2" xfId="2207"/>
    <cellStyle name="Normal 2 18 2 3" xfId="2208"/>
    <cellStyle name="Normal 2 18 20" xfId="2209"/>
    <cellStyle name="Normal 2 18 20 2" xfId="2210"/>
    <cellStyle name="Normal 2 18 20 2 2" xfId="2211"/>
    <cellStyle name="Normal 2 18 20 3" xfId="2212"/>
    <cellStyle name="Normal 2 18 21" xfId="2213"/>
    <cellStyle name="Normal 2 18 21 2" xfId="2214"/>
    <cellStyle name="Normal 2 18 21 2 2" xfId="2215"/>
    <cellStyle name="Normal 2 18 21 3" xfId="2216"/>
    <cellStyle name="Normal 2 18 22" xfId="2217"/>
    <cellStyle name="Normal 2 18 22 2" xfId="2218"/>
    <cellStyle name="Normal 2 18 22 2 2" xfId="2219"/>
    <cellStyle name="Normal 2 18 22 3" xfId="2220"/>
    <cellStyle name="Normal 2 18 23" xfId="2221"/>
    <cellStyle name="Normal 2 18 23 2" xfId="2222"/>
    <cellStyle name="Normal 2 18 23 2 2" xfId="2223"/>
    <cellStyle name="Normal 2 18 23 3" xfId="2224"/>
    <cellStyle name="Normal 2 18 24" xfId="2225"/>
    <cellStyle name="Normal 2 18 24 2" xfId="2226"/>
    <cellStyle name="Normal 2 18 25" xfId="2227"/>
    <cellStyle name="Normal 2 18 3" xfId="2228"/>
    <cellStyle name="Normal 2 18 3 2" xfId="2229"/>
    <cellStyle name="Normal 2 18 3 2 2" xfId="2230"/>
    <cellStyle name="Normal 2 18 3 3" xfId="2231"/>
    <cellStyle name="Normal 2 18 4" xfId="2232"/>
    <cellStyle name="Normal 2 18 4 2" xfId="2233"/>
    <cellStyle name="Normal 2 18 4 2 2" xfId="2234"/>
    <cellStyle name="Normal 2 18 4 3" xfId="2235"/>
    <cellStyle name="Normal 2 18 5" xfId="2236"/>
    <cellStyle name="Normal 2 18 5 2" xfId="2237"/>
    <cellStyle name="Normal 2 18 5 2 2" xfId="2238"/>
    <cellStyle name="Normal 2 18 5 3" xfId="2239"/>
    <cellStyle name="Normal 2 18 6" xfId="2240"/>
    <cellStyle name="Normal 2 18 6 2" xfId="2241"/>
    <cellStyle name="Normal 2 18 6 2 2" xfId="2242"/>
    <cellStyle name="Normal 2 18 6 3" xfId="2243"/>
    <cellStyle name="Normal 2 18 7" xfId="2244"/>
    <cellStyle name="Normal 2 18 7 2" xfId="2245"/>
    <cellStyle name="Normal 2 18 7 2 2" xfId="2246"/>
    <cellStyle name="Normal 2 18 7 3" xfId="2247"/>
    <cellStyle name="Normal 2 18 8" xfId="2248"/>
    <cellStyle name="Normal 2 18 8 2" xfId="2249"/>
    <cellStyle name="Normal 2 18 8 2 2" xfId="2250"/>
    <cellStyle name="Normal 2 18 8 3" xfId="2251"/>
    <cellStyle name="Normal 2 18 9" xfId="2252"/>
    <cellStyle name="Normal 2 18 9 2" xfId="2253"/>
    <cellStyle name="Normal 2 18 9 2 2" xfId="2254"/>
    <cellStyle name="Normal 2 18 9 3" xfId="2255"/>
    <cellStyle name="Normal 2 19" xfId="2256"/>
    <cellStyle name="Normal 2 19 10" xfId="2257"/>
    <cellStyle name="Normal 2 19 10 2" xfId="2258"/>
    <cellStyle name="Normal 2 19 10 2 2" xfId="2259"/>
    <cellStyle name="Normal 2 19 10 3" xfId="2260"/>
    <cellStyle name="Normal 2 19 11" xfId="2261"/>
    <cellStyle name="Normal 2 19 11 2" xfId="2262"/>
    <cellStyle name="Normal 2 19 11 2 2" xfId="2263"/>
    <cellStyle name="Normal 2 19 11 3" xfId="2264"/>
    <cellStyle name="Normal 2 19 12" xfId="2265"/>
    <cellStyle name="Normal 2 19 12 2" xfId="2266"/>
    <cellStyle name="Normal 2 19 12 2 2" xfId="2267"/>
    <cellStyle name="Normal 2 19 12 3" xfId="2268"/>
    <cellStyle name="Normal 2 19 13" xfId="2269"/>
    <cellStyle name="Normal 2 19 13 2" xfId="2270"/>
    <cellStyle name="Normal 2 19 13 2 2" xfId="2271"/>
    <cellStyle name="Normal 2 19 13 3" xfId="2272"/>
    <cellStyle name="Normal 2 19 14" xfId="2273"/>
    <cellStyle name="Normal 2 19 14 2" xfId="2274"/>
    <cellStyle name="Normal 2 19 14 2 2" xfId="2275"/>
    <cellStyle name="Normal 2 19 14 3" xfId="2276"/>
    <cellStyle name="Normal 2 19 15" xfId="2277"/>
    <cellStyle name="Normal 2 19 15 2" xfId="2278"/>
    <cellStyle name="Normal 2 19 15 2 2" xfId="2279"/>
    <cellStyle name="Normal 2 19 15 3" xfId="2280"/>
    <cellStyle name="Normal 2 19 16" xfId="2281"/>
    <cellStyle name="Normal 2 19 16 2" xfId="2282"/>
    <cellStyle name="Normal 2 19 16 2 2" xfId="2283"/>
    <cellStyle name="Normal 2 19 16 3" xfId="2284"/>
    <cellStyle name="Normal 2 19 17" xfId="2285"/>
    <cellStyle name="Normal 2 19 17 2" xfId="2286"/>
    <cellStyle name="Normal 2 19 17 2 2" xfId="2287"/>
    <cellStyle name="Normal 2 19 17 3" xfId="2288"/>
    <cellStyle name="Normal 2 19 18" xfId="2289"/>
    <cellStyle name="Normal 2 19 18 2" xfId="2290"/>
    <cellStyle name="Normal 2 19 18 2 2" xfId="2291"/>
    <cellStyle name="Normal 2 19 18 3" xfId="2292"/>
    <cellStyle name="Normal 2 19 19" xfId="2293"/>
    <cellStyle name="Normal 2 19 19 2" xfId="2294"/>
    <cellStyle name="Normal 2 19 19 2 2" xfId="2295"/>
    <cellStyle name="Normal 2 19 19 3" xfId="2296"/>
    <cellStyle name="Normal 2 19 2" xfId="2297"/>
    <cellStyle name="Normal 2 19 2 2" xfId="2298"/>
    <cellStyle name="Normal 2 19 2 2 2" xfId="2299"/>
    <cellStyle name="Normal 2 19 2 3" xfId="2300"/>
    <cellStyle name="Normal 2 19 20" xfId="2301"/>
    <cellStyle name="Normal 2 19 20 2" xfId="2302"/>
    <cellStyle name="Normal 2 19 20 2 2" xfId="2303"/>
    <cellStyle name="Normal 2 19 20 3" xfId="2304"/>
    <cellStyle name="Normal 2 19 21" xfId="2305"/>
    <cellStyle name="Normal 2 19 21 2" xfId="2306"/>
    <cellStyle name="Normal 2 19 21 2 2" xfId="2307"/>
    <cellStyle name="Normal 2 19 21 3" xfId="2308"/>
    <cellStyle name="Normal 2 19 22" xfId="2309"/>
    <cellStyle name="Normal 2 19 22 2" xfId="2310"/>
    <cellStyle name="Normal 2 19 22 2 2" xfId="2311"/>
    <cellStyle name="Normal 2 19 22 3" xfId="2312"/>
    <cellStyle name="Normal 2 19 23" xfId="2313"/>
    <cellStyle name="Normal 2 19 23 2" xfId="2314"/>
    <cellStyle name="Normal 2 19 23 2 2" xfId="2315"/>
    <cellStyle name="Normal 2 19 23 3" xfId="2316"/>
    <cellStyle name="Normal 2 19 24" xfId="2317"/>
    <cellStyle name="Normal 2 19 24 2" xfId="2318"/>
    <cellStyle name="Normal 2 19 25" xfId="2319"/>
    <cellStyle name="Normal 2 19 3" xfId="2320"/>
    <cellStyle name="Normal 2 19 3 2" xfId="2321"/>
    <cellStyle name="Normal 2 19 3 2 2" xfId="2322"/>
    <cellStyle name="Normal 2 19 3 3" xfId="2323"/>
    <cellStyle name="Normal 2 19 4" xfId="2324"/>
    <cellStyle name="Normal 2 19 4 2" xfId="2325"/>
    <cellStyle name="Normal 2 19 4 2 2" xfId="2326"/>
    <cellStyle name="Normal 2 19 4 3" xfId="2327"/>
    <cellStyle name="Normal 2 19 5" xfId="2328"/>
    <cellStyle name="Normal 2 19 5 2" xfId="2329"/>
    <cellStyle name="Normal 2 19 5 2 2" xfId="2330"/>
    <cellStyle name="Normal 2 19 5 3" xfId="2331"/>
    <cellStyle name="Normal 2 19 6" xfId="2332"/>
    <cellStyle name="Normal 2 19 6 2" xfId="2333"/>
    <cellStyle name="Normal 2 19 6 2 2" xfId="2334"/>
    <cellStyle name="Normal 2 19 6 3" xfId="2335"/>
    <cellStyle name="Normal 2 19 7" xfId="2336"/>
    <cellStyle name="Normal 2 19 7 2" xfId="2337"/>
    <cellStyle name="Normal 2 19 7 2 2" xfId="2338"/>
    <cellStyle name="Normal 2 19 7 3" xfId="2339"/>
    <cellStyle name="Normal 2 19 8" xfId="2340"/>
    <cellStyle name="Normal 2 19 8 2" xfId="2341"/>
    <cellStyle name="Normal 2 19 8 2 2" xfId="2342"/>
    <cellStyle name="Normal 2 19 8 3" xfId="2343"/>
    <cellStyle name="Normal 2 19 9" xfId="2344"/>
    <cellStyle name="Normal 2 19 9 2" xfId="2345"/>
    <cellStyle name="Normal 2 19 9 2 2" xfId="2346"/>
    <cellStyle name="Normal 2 19 9 3" xfId="2347"/>
    <cellStyle name="Normal 2 2" xfId="185"/>
    <cellStyle name="Normal 2 2 2" xfId="186"/>
    <cellStyle name="Normal 2 2 2 2" xfId="187"/>
    <cellStyle name="Normal 2 2 2 2 2" xfId="1117"/>
    <cellStyle name="Normal 2 2 2 3" xfId="188"/>
    <cellStyle name="Normal 2 2 2 4" xfId="1118"/>
    <cellStyle name="Normal 2 2 3" xfId="2"/>
    <cellStyle name="Normal 2 2 3 2" xfId="189"/>
    <cellStyle name="Normal 2 2 3 2 2" xfId="1119"/>
    <cellStyle name="Normal 2 2 3 3" xfId="390"/>
    <cellStyle name="Normal 2 2 4" xfId="190"/>
    <cellStyle name="Normal 2 2 4 2" xfId="191"/>
    <cellStyle name="Normal 2 2 5" xfId="192"/>
    <cellStyle name="Normal 2 2 6" xfId="1120"/>
    <cellStyle name="Normal 2 2 7" xfId="2348"/>
    <cellStyle name="Normal 2 2 8" xfId="2349"/>
    <cellStyle name="Normal 2 20" xfId="2350"/>
    <cellStyle name="Normal 2 20 10" xfId="2351"/>
    <cellStyle name="Normal 2 20 10 2" xfId="2352"/>
    <cellStyle name="Normal 2 20 10 2 2" xfId="2353"/>
    <cellStyle name="Normal 2 20 10 3" xfId="2354"/>
    <cellStyle name="Normal 2 20 11" xfId="2355"/>
    <cellStyle name="Normal 2 20 11 2" xfId="2356"/>
    <cellStyle name="Normal 2 20 11 2 2" xfId="2357"/>
    <cellStyle name="Normal 2 20 11 3" xfId="2358"/>
    <cellStyle name="Normal 2 20 12" xfId="2359"/>
    <cellStyle name="Normal 2 20 12 2" xfId="2360"/>
    <cellStyle name="Normal 2 20 12 2 2" xfId="2361"/>
    <cellStyle name="Normal 2 20 12 3" xfId="2362"/>
    <cellStyle name="Normal 2 20 13" xfId="2363"/>
    <cellStyle name="Normal 2 20 13 2" xfId="2364"/>
    <cellStyle name="Normal 2 20 13 2 2" xfId="2365"/>
    <cellStyle name="Normal 2 20 13 3" xfId="2366"/>
    <cellStyle name="Normal 2 20 14" xfId="2367"/>
    <cellStyle name="Normal 2 20 14 2" xfId="2368"/>
    <cellStyle name="Normal 2 20 14 2 2" xfId="2369"/>
    <cellStyle name="Normal 2 20 14 3" xfId="2370"/>
    <cellStyle name="Normal 2 20 15" xfId="2371"/>
    <cellStyle name="Normal 2 20 15 2" xfId="2372"/>
    <cellStyle name="Normal 2 20 15 2 2" xfId="2373"/>
    <cellStyle name="Normal 2 20 15 3" xfId="2374"/>
    <cellStyle name="Normal 2 20 16" xfId="2375"/>
    <cellStyle name="Normal 2 20 16 2" xfId="2376"/>
    <cellStyle name="Normal 2 20 16 2 2" xfId="2377"/>
    <cellStyle name="Normal 2 20 16 3" xfId="2378"/>
    <cellStyle name="Normal 2 20 17" xfId="2379"/>
    <cellStyle name="Normal 2 20 17 2" xfId="2380"/>
    <cellStyle name="Normal 2 20 17 2 2" xfId="2381"/>
    <cellStyle name="Normal 2 20 17 3" xfId="2382"/>
    <cellStyle name="Normal 2 20 18" xfId="2383"/>
    <cellStyle name="Normal 2 20 18 2" xfId="2384"/>
    <cellStyle name="Normal 2 20 18 2 2" xfId="2385"/>
    <cellStyle name="Normal 2 20 18 3" xfId="2386"/>
    <cellStyle name="Normal 2 20 19" xfId="2387"/>
    <cellStyle name="Normal 2 20 19 2" xfId="2388"/>
    <cellStyle name="Normal 2 20 19 2 2" xfId="2389"/>
    <cellStyle name="Normal 2 20 19 3" xfId="2390"/>
    <cellStyle name="Normal 2 20 2" xfId="2391"/>
    <cellStyle name="Normal 2 20 2 2" xfId="2392"/>
    <cellStyle name="Normal 2 20 2 2 2" xfId="2393"/>
    <cellStyle name="Normal 2 20 2 3" xfId="2394"/>
    <cellStyle name="Normal 2 20 20" xfId="2395"/>
    <cellStyle name="Normal 2 20 20 2" xfId="2396"/>
    <cellStyle name="Normal 2 20 20 2 2" xfId="2397"/>
    <cellStyle name="Normal 2 20 20 3" xfId="2398"/>
    <cellStyle name="Normal 2 20 21" xfId="2399"/>
    <cellStyle name="Normal 2 20 21 2" xfId="2400"/>
    <cellStyle name="Normal 2 20 21 2 2" xfId="2401"/>
    <cellStyle name="Normal 2 20 21 3" xfId="2402"/>
    <cellStyle name="Normal 2 20 22" xfId="2403"/>
    <cellStyle name="Normal 2 20 22 2" xfId="2404"/>
    <cellStyle name="Normal 2 20 22 2 2" xfId="2405"/>
    <cellStyle name="Normal 2 20 22 3" xfId="2406"/>
    <cellStyle name="Normal 2 20 23" xfId="2407"/>
    <cellStyle name="Normal 2 20 23 2" xfId="2408"/>
    <cellStyle name="Normal 2 20 23 2 2" xfId="2409"/>
    <cellStyle name="Normal 2 20 23 3" xfId="2410"/>
    <cellStyle name="Normal 2 20 24" xfId="2411"/>
    <cellStyle name="Normal 2 20 24 2" xfId="2412"/>
    <cellStyle name="Normal 2 20 25" xfId="2413"/>
    <cellStyle name="Normal 2 20 3" xfId="2414"/>
    <cellStyle name="Normal 2 20 3 2" xfId="2415"/>
    <cellStyle name="Normal 2 20 3 2 2" xfId="2416"/>
    <cellStyle name="Normal 2 20 3 3" xfId="2417"/>
    <cellStyle name="Normal 2 20 4" xfId="2418"/>
    <cellStyle name="Normal 2 20 4 2" xfId="2419"/>
    <cellStyle name="Normal 2 20 4 2 2" xfId="2420"/>
    <cellStyle name="Normal 2 20 4 3" xfId="2421"/>
    <cellStyle name="Normal 2 20 5" xfId="2422"/>
    <cellStyle name="Normal 2 20 5 2" xfId="2423"/>
    <cellStyle name="Normal 2 20 5 2 2" xfId="2424"/>
    <cellStyle name="Normal 2 20 5 3" xfId="2425"/>
    <cellStyle name="Normal 2 20 6" xfId="2426"/>
    <cellStyle name="Normal 2 20 6 2" xfId="2427"/>
    <cellStyle name="Normal 2 20 6 2 2" xfId="2428"/>
    <cellStyle name="Normal 2 20 6 3" xfId="2429"/>
    <cellStyle name="Normal 2 20 7" xfId="2430"/>
    <cellStyle name="Normal 2 20 7 2" xfId="2431"/>
    <cellStyle name="Normal 2 20 7 2 2" xfId="2432"/>
    <cellStyle name="Normal 2 20 7 3" xfId="2433"/>
    <cellStyle name="Normal 2 20 8" xfId="2434"/>
    <cellStyle name="Normal 2 20 8 2" xfId="2435"/>
    <cellStyle name="Normal 2 20 8 2 2" xfId="2436"/>
    <cellStyle name="Normal 2 20 8 3" xfId="2437"/>
    <cellStyle name="Normal 2 20 9" xfId="2438"/>
    <cellStyle name="Normal 2 20 9 2" xfId="2439"/>
    <cellStyle name="Normal 2 20 9 2 2" xfId="2440"/>
    <cellStyle name="Normal 2 20 9 3" xfId="2441"/>
    <cellStyle name="Normal 2 21" xfId="2442"/>
    <cellStyle name="Normal 2 21 10" xfId="2443"/>
    <cellStyle name="Normal 2 21 10 2" xfId="2444"/>
    <cellStyle name="Normal 2 21 10 2 2" xfId="2445"/>
    <cellStyle name="Normal 2 21 10 3" xfId="2446"/>
    <cellStyle name="Normal 2 21 11" xfId="2447"/>
    <cellStyle name="Normal 2 21 11 2" xfId="2448"/>
    <cellStyle name="Normal 2 21 11 2 2" xfId="2449"/>
    <cellStyle name="Normal 2 21 11 3" xfId="2450"/>
    <cellStyle name="Normal 2 21 12" xfId="2451"/>
    <cellStyle name="Normal 2 21 12 2" xfId="2452"/>
    <cellStyle name="Normal 2 21 12 2 2" xfId="2453"/>
    <cellStyle name="Normal 2 21 12 3" xfId="2454"/>
    <cellStyle name="Normal 2 21 13" xfId="2455"/>
    <cellStyle name="Normal 2 21 13 2" xfId="2456"/>
    <cellStyle name="Normal 2 21 13 2 2" xfId="2457"/>
    <cellStyle name="Normal 2 21 13 3" xfId="2458"/>
    <cellStyle name="Normal 2 21 14" xfId="2459"/>
    <cellStyle name="Normal 2 21 14 2" xfId="2460"/>
    <cellStyle name="Normal 2 21 14 2 2" xfId="2461"/>
    <cellStyle name="Normal 2 21 14 3" xfId="2462"/>
    <cellStyle name="Normal 2 21 15" xfId="2463"/>
    <cellStyle name="Normal 2 21 15 2" xfId="2464"/>
    <cellStyle name="Normal 2 21 15 2 2" xfId="2465"/>
    <cellStyle name="Normal 2 21 15 3" xfId="2466"/>
    <cellStyle name="Normal 2 21 16" xfId="2467"/>
    <cellStyle name="Normal 2 21 16 2" xfId="2468"/>
    <cellStyle name="Normal 2 21 16 2 2" xfId="2469"/>
    <cellStyle name="Normal 2 21 16 3" xfId="2470"/>
    <cellStyle name="Normal 2 21 17" xfId="2471"/>
    <cellStyle name="Normal 2 21 17 2" xfId="2472"/>
    <cellStyle name="Normal 2 21 17 2 2" xfId="2473"/>
    <cellStyle name="Normal 2 21 17 3" xfId="2474"/>
    <cellStyle name="Normal 2 21 18" xfId="2475"/>
    <cellStyle name="Normal 2 21 18 2" xfId="2476"/>
    <cellStyle name="Normal 2 21 18 2 2" xfId="2477"/>
    <cellStyle name="Normal 2 21 18 3" xfId="2478"/>
    <cellStyle name="Normal 2 21 19" xfId="2479"/>
    <cellStyle name="Normal 2 21 19 2" xfId="2480"/>
    <cellStyle name="Normal 2 21 19 2 2" xfId="2481"/>
    <cellStyle name="Normal 2 21 19 3" xfId="2482"/>
    <cellStyle name="Normal 2 21 2" xfId="2483"/>
    <cellStyle name="Normal 2 21 2 2" xfId="2484"/>
    <cellStyle name="Normal 2 21 2 2 2" xfId="2485"/>
    <cellStyle name="Normal 2 21 2 3" xfId="2486"/>
    <cellStyle name="Normal 2 21 20" xfId="2487"/>
    <cellStyle name="Normal 2 21 20 2" xfId="2488"/>
    <cellStyle name="Normal 2 21 20 2 2" xfId="2489"/>
    <cellStyle name="Normal 2 21 20 3" xfId="2490"/>
    <cellStyle name="Normal 2 21 21" xfId="2491"/>
    <cellStyle name="Normal 2 21 21 2" xfId="2492"/>
    <cellStyle name="Normal 2 21 21 2 2" xfId="2493"/>
    <cellStyle name="Normal 2 21 21 3" xfId="2494"/>
    <cellStyle name="Normal 2 21 22" xfId="2495"/>
    <cellStyle name="Normal 2 21 22 2" xfId="2496"/>
    <cellStyle name="Normal 2 21 22 2 2" xfId="2497"/>
    <cellStyle name="Normal 2 21 22 3" xfId="2498"/>
    <cellStyle name="Normal 2 21 23" xfId="2499"/>
    <cellStyle name="Normal 2 21 23 2" xfId="2500"/>
    <cellStyle name="Normal 2 21 23 2 2" xfId="2501"/>
    <cellStyle name="Normal 2 21 23 3" xfId="2502"/>
    <cellStyle name="Normal 2 21 24" xfId="2503"/>
    <cellStyle name="Normal 2 21 24 2" xfId="2504"/>
    <cellStyle name="Normal 2 21 25" xfId="2505"/>
    <cellStyle name="Normal 2 21 3" xfId="2506"/>
    <cellStyle name="Normal 2 21 3 2" xfId="2507"/>
    <cellStyle name="Normal 2 21 3 2 2" xfId="2508"/>
    <cellStyle name="Normal 2 21 3 3" xfId="2509"/>
    <cellStyle name="Normal 2 21 4" xfId="2510"/>
    <cellStyle name="Normal 2 21 4 2" xfId="2511"/>
    <cellStyle name="Normal 2 21 4 2 2" xfId="2512"/>
    <cellStyle name="Normal 2 21 4 3" xfId="2513"/>
    <cellStyle name="Normal 2 21 5" xfId="2514"/>
    <cellStyle name="Normal 2 21 5 2" xfId="2515"/>
    <cellStyle name="Normal 2 21 5 2 2" xfId="2516"/>
    <cellStyle name="Normal 2 21 5 3" xfId="2517"/>
    <cellStyle name="Normal 2 21 6" xfId="2518"/>
    <cellStyle name="Normal 2 21 6 2" xfId="2519"/>
    <cellStyle name="Normal 2 21 6 2 2" xfId="2520"/>
    <cellStyle name="Normal 2 21 6 3" xfId="2521"/>
    <cellStyle name="Normal 2 21 7" xfId="2522"/>
    <cellStyle name="Normal 2 21 7 2" xfId="2523"/>
    <cellStyle name="Normal 2 21 7 2 2" xfId="2524"/>
    <cellStyle name="Normal 2 21 7 3" xfId="2525"/>
    <cellStyle name="Normal 2 21 8" xfId="2526"/>
    <cellStyle name="Normal 2 21 8 2" xfId="2527"/>
    <cellStyle name="Normal 2 21 8 2 2" xfId="2528"/>
    <cellStyle name="Normal 2 21 8 3" xfId="2529"/>
    <cellStyle name="Normal 2 21 9" xfId="2530"/>
    <cellStyle name="Normal 2 21 9 2" xfId="2531"/>
    <cellStyle name="Normal 2 21 9 2 2" xfId="2532"/>
    <cellStyle name="Normal 2 21 9 3" xfId="2533"/>
    <cellStyle name="Normal 2 22" xfId="2534"/>
    <cellStyle name="Normal 2 22 10" xfId="2535"/>
    <cellStyle name="Normal 2 22 10 2" xfId="2536"/>
    <cellStyle name="Normal 2 22 10 2 2" xfId="2537"/>
    <cellStyle name="Normal 2 22 10 3" xfId="2538"/>
    <cellStyle name="Normal 2 22 11" xfId="2539"/>
    <cellStyle name="Normal 2 22 11 2" xfId="2540"/>
    <cellStyle name="Normal 2 22 11 2 2" xfId="2541"/>
    <cellStyle name="Normal 2 22 11 3" xfId="2542"/>
    <cellStyle name="Normal 2 22 12" xfId="2543"/>
    <cellStyle name="Normal 2 22 12 2" xfId="2544"/>
    <cellStyle name="Normal 2 22 12 2 2" xfId="2545"/>
    <cellStyle name="Normal 2 22 12 3" xfId="2546"/>
    <cellStyle name="Normal 2 22 13" xfId="2547"/>
    <cellStyle name="Normal 2 22 13 2" xfId="2548"/>
    <cellStyle name="Normal 2 22 13 2 2" xfId="2549"/>
    <cellStyle name="Normal 2 22 13 3" xfId="2550"/>
    <cellStyle name="Normal 2 22 14" xfId="2551"/>
    <cellStyle name="Normal 2 22 14 2" xfId="2552"/>
    <cellStyle name="Normal 2 22 14 2 2" xfId="2553"/>
    <cellStyle name="Normal 2 22 14 3" xfId="2554"/>
    <cellStyle name="Normal 2 22 15" xfId="2555"/>
    <cellStyle name="Normal 2 22 15 2" xfId="2556"/>
    <cellStyle name="Normal 2 22 15 2 2" xfId="2557"/>
    <cellStyle name="Normal 2 22 15 3" xfId="2558"/>
    <cellStyle name="Normal 2 22 16" xfId="2559"/>
    <cellStyle name="Normal 2 22 16 2" xfId="2560"/>
    <cellStyle name="Normal 2 22 16 2 2" xfId="2561"/>
    <cellStyle name="Normal 2 22 16 3" xfId="2562"/>
    <cellStyle name="Normal 2 22 17" xfId="2563"/>
    <cellStyle name="Normal 2 22 17 2" xfId="2564"/>
    <cellStyle name="Normal 2 22 17 2 2" xfId="2565"/>
    <cellStyle name="Normal 2 22 17 3" xfId="2566"/>
    <cellStyle name="Normal 2 22 18" xfId="2567"/>
    <cellStyle name="Normal 2 22 18 2" xfId="2568"/>
    <cellStyle name="Normal 2 22 18 2 2" xfId="2569"/>
    <cellStyle name="Normal 2 22 18 3" xfId="2570"/>
    <cellStyle name="Normal 2 22 19" xfId="2571"/>
    <cellStyle name="Normal 2 22 19 2" xfId="2572"/>
    <cellStyle name="Normal 2 22 19 2 2" xfId="2573"/>
    <cellStyle name="Normal 2 22 19 3" xfId="2574"/>
    <cellStyle name="Normal 2 22 2" xfId="2575"/>
    <cellStyle name="Normal 2 22 2 2" xfId="2576"/>
    <cellStyle name="Normal 2 22 2 2 2" xfId="2577"/>
    <cellStyle name="Normal 2 22 2 3" xfId="2578"/>
    <cellStyle name="Normal 2 22 20" xfId="2579"/>
    <cellStyle name="Normal 2 22 20 2" xfId="2580"/>
    <cellStyle name="Normal 2 22 20 2 2" xfId="2581"/>
    <cellStyle name="Normal 2 22 20 3" xfId="2582"/>
    <cellStyle name="Normal 2 22 21" xfId="2583"/>
    <cellStyle name="Normal 2 22 21 2" xfId="2584"/>
    <cellStyle name="Normal 2 22 21 2 2" xfId="2585"/>
    <cellStyle name="Normal 2 22 21 3" xfId="2586"/>
    <cellStyle name="Normal 2 22 22" xfId="2587"/>
    <cellStyle name="Normal 2 22 22 2" xfId="2588"/>
    <cellStyle name="Normal 2 22 22 2 2" xfId="2589"/>
    <cellStyle name="Normal 2 22 22 3" xfId="2590"/>
    <cellStyle name="Normal 2 22 23" xfId="2591"/>
    <cellStyle name="Normal 2 22 23 2" xfId="2592"/>
    <cellStyle name="Normal 2 22 23 2 2" xfId="2593"/>
    <cellStyle name="Normal 2 22 23 3" xfId="2594"/>
    <cellStyle name="Normal 2 22 24" xfId="2595"/>
    <cellStyle name="Normal 2 22 24 2" xfId="2596"/>
    <cellStyle name="Normal 2 22 25" xfId="2597"/>
    <cellStyle name="Normal 2 22 3" xfId="2598"/>
    <cellStyle name="Normal 2 22 3 2" xfId="2599"/>
    <cellStyle name="Normal 2 22 3 2 2" xfId="2600"/>
    <cellStyle name="Normal 2 22 3 3" xfId="2601"/>
    <cellStyle name="Normal 2 22 4" xfId="2602"/>
    <cellStyle name="Normal 2 22 4 2" xfId="2603"/>
    <cellStyle name="Normal 2 22 4 2 2" xfId="2604"/>
    <cellStyle name="Normal 2 22 4 3" xfId="2605"/>
    <cellStyle name="Normal 2 22 5" xfId="2606"/>
    <cellStyle name="Normal 2 22 5 2" xfId="2607"/>
    <cellStyle name="Normal 2 22 5 2 2" xfId="2608"/>
    <cellStyle name="Normal 2 22 5 3" xfId="2609"/>
    <cellStyle name="Normal 2 22 6" xfId="2610"/>
    <cellStyle name="Normal 2 22 6 2" xfId="2611"/>
    <cellStyle name="Normal 2 22 6 2 2" xfId="2612"/>
    <cellStyle name="Normal 2 22 6 3" xfId="2613"/>
    <cellStyle name="Normal 2 22 7" xfId="2614"/>
    <cellStyle name="Normal 2 22 7 2" xfId="2615"/>
    <cellStyle name="Normal 2 22 7 2 2" xfId="2616"/>
    <cellStyle name="Normal 2 22 7 3" xfId="2617"/>
    <cellStyle name="Normal 2 22 8" xfId="2618"/>
    <cellStyle name="Normal 2 22 8 2" xfId="2619"/>
    <cellStyle name="Normal 2 22 8 2 2" xfId="2620"/>
    <cellStyle name="Normal 2 22 8 3" xfId="2621"/>
    <cellStyle name="Normal 2 22 9" xfId="2622"/>
    <cellStyle name="Normal 2 22 9 2" xfId="2623"/>
    <cellStyle name="Normal 2 22 9 2 2" xfId="2624"/>
    <cellStyle name="Normal 2 22 9 3" xfId="2625"/>
    <cellStyle name="Normal 2 23" xfId="2626"/>
    <cellStyle name="Normal 2 23 10" xfId="2627"/>
    <cellStyle name="Normal 2 23 10 2" xfId="2628"/>
    <cellStyle name="Normal 2 23 10 2 2" xfId="2629"/>
    <cellStyle name="Normal 2 23 10 3" xfId="2630"/>
    <cellStyle name="Normal 2 23 11" xfId="2631"/>
    <cellStyle name="Normal 2 23 11 2" xfId="2632"/>
    <cellStyle name="Normal 2 23 11 2 2" xfId="2633"/>
    <cellStyle name="Normal 2 23 11 3" xfId="2634"/>
    <cellStyle name="Normal 2 23 12" xfId="2635"/>
    <cellStyle name="Normal 2 23 12 2" xfId="2636"/>
    <cellStyle name="Normal 2 23 12 2 2" xfId="2637"/>
    <cellStyle name="Normal 2 23 12 3" xfId="2638"/>
    <cellStyle name="Normal 2 23 13" xfId="2639"/>
    <cellStyle name="Normal 2 23 13 2" xfId="2640"/>
    <cellStyle name="Normal 2 23 13 2 2" xfId="2641"/>
    <cellStyle name="Normal 2 23 13 3" xfId="2642"/>
    <cellStyle name="Normal 2 23 14" xfId="2643"/>
    <cellStyle name="Normal 2 23 14 2" xfId="2644"/>
    <cellStyle name="Normal 2 23 14 2 2" xfId="2645"/>
    <cellStyle name="Normal 2 23 14 3" xfId="2646"/>
    <cellStyle name="Normal 2 23 15" xfId="2647"/>
    <cellStyle name="Normal 2 23 15 2" xfId="2648"/>
    <cellStyle name="Normal 2 23 15 2 2" xfId="2649"/>
    <cellStyle name="Normal 2 23 15 3" xfId="2650"/>
    <cellStyle name="Normal 2 23 16" xfId="2651"/>
    <cellStyle name="Normal 2 23 16 2" xfId="2652"/>
    <cellStyle name="Normal 2 23 16 2 2" xfId="2653"/>
    <cellStyle name="Normal 2 23 16 3" xfId="2654"/>
    <cellStyle name="Normal 2 23 17" xfId="2655"/>
    <cellStyle name="Normal 2 23 17 2" xfId="2656"/>
    <cellStyle name="Normal 2 23 17 2 2" xfId="2657"/>
    <cellStyle name="Normal 2 23 17 3" xfId="2658"/>
    <cellStyle name="Normal 2 23 18" xfId="2659"/>
    <cellStyle name="Normal 2 23 18 2" xfId="2660"/>
    <cellStyle name="Normal 2 23 18 2 2" xfId="2661"/>
    <cellStyle name="Normal 2 23 18 3" xfId="2662"/>
    <cellStyle name="Normal 2 23 19" xfId="2663"/>
    <cellStyle name="Normal 2 23 19 2" xfId="2664"/>
    <cellStyle name="Normal 2 23 19 2 2" xfId="2665"/>
    <cellStyle name="Normal 2 23 19 3" xfId="2666"/>
    <cellStyle name="Normal 2 23 2" xfId="2667"/>
    <cellStyle name="Normal 2 23 2 2" xfId="2668"/>
    <cellStyle name="Normal 2 23 2 2 2" xfId="2669"/>
    <cellStyle name="Normal 2 23 2 3" xfId="2670"/>
    <cellStyle name="Normal 2 23 20" xfId="2671"/>
    <cellStyle name="Normal 2 23 20 2" xfId="2672"/>
    <cellStyle name="Normal 2 23 20 2 2" xfId="2673"/>
    <cellStyle name="Normal 2 23 20 3" xfId="2674"/>
    <cellStyle name="Normal 2 23 21" xfId="2675"/>
    <cellStyle name="Normal 2 23 21 2" xfId="2676"/>
    <cellStyle name="Normal 2 23 21 2 2" xfId="2677"/>
    <cellStyle name="Normal 2 23 21 3" xfId="2678"/>
    <cellStyle name="Normal 2 23 22" xfId="2679"/>
    <cellStyle name="Normal 2 23 22 2" xfId="2680"/>
    <cellStyle name="Normal 2 23 22 2 2" xfId="2681"/>
    <cellStyle name="Normal 2 23 22 3" xfId="2682"/>
    <cellStyle name="Normal 2 23 23" xfId="2683"/>
    <cellStyle name="Normal 2 23 23 2" xfId="2684"/>
    <cellStyle name="Normal 2 23 23 2 2" xfId="2685"/>
    <cellStyle name="Normal 2 23 23 3" xfId="2686"/>
    <cellStyle name="Normal 2 23 24" xfId="2687"/>
    <cellStyle name="Normal 2 23 24 2" xfId="2688"/>
    <cellStyle name="Normal 2 23 25" xfId="2689"/>
    <cellStyle name="Normal 2 23 3" xfId="2690"/>
    <cellStyle name="Normal 2 23 3 2" xfId="2691"/>
    <cellStyle name="Normal 2 23 3 2 2" xfId="2692"/>
    <cellStyle name="Normal 2 23 3 3" xfId="2693"/>
    <cellStyle name="Normal 2 23 4" xfId="2694"/>
    <cellStyle name="Normal 2 23 4 2" xfId="2695"/>
    <cellStyle name="Normal 2 23 4 2 2" xfId="2696"/>
    <cellStyle name="Normal 2 23 4 3" xfId="2697"/>
    <cellStyle name="Normal 2 23 5" xfId="2698"/>
    <cellStyle name="Normal 2 23 5 2" xfId="2699"/>
    <cellStyle name="Normal 2 23 5 2 2" xfId="2700"/>
    <cellStyle name="Normal 2 23 5 3" xfId="2701"/>
    <cellStyle name="Normal 2 23 6" xfId="2702"/>
    <cellStyle name="Normal 2 23 6 2" xfId="2703"/>
    <cellStyle name="Normal 2 23 6 2 2" xfId="2704"/>
    <cellStyle name="Normal 2 23 6 3" xfId="2705"/>
    <cellStyle name="Normal 2 23 7" xfId="2706"/>
    <cellStyle name="Normal 2 23 7 2" xfId="2707"/>
    <cellStyle name="Normal 2 23 7 2 2" xfId="2708"/>
    <cellStyle name="Normal 2 23 7 3" xfId="2709"/>
    <cellStyle name="Normal 2 23 8" xfId="2710"/>
    <cellStyle name="Normal 2 23 8 2" xfId="2711"/>
    <cellStyle name="Normal 2 23 8 2 2" xfId="2712"/>
    <cellStyle name="Normal 2 23 8 3" xfId="2713"/>
    <cellStyle name="Normal 2 23 9" xfId="2714"/>
    <cellStyle name="Normal 2 23 9 2" xfId="2715"/>
    <cellStyle name="Normal 2 23 9 2 2" xfId="2716"/>
    <cellStyle name="Normal 2 23 9 3" xfId="2717"/>
    <cellStyle name="Normal 2 24" xfId="2718"/>
    <cellStyle name="Normal 2 24 10" xfId="2719"/>
    <cellStyle name="Normal 2 24 10 2" xfId="2720"/>
    <cellStyle name="Normal 2 24 10 2 2" xfId="2721"/>
    <cellStyle name="Normal 2 24 10 3" xfId="2722"/>
    <cellStyle name="Normal 2 24 11" xfId="2723"/>
    <cellStyle name="Normal 2 24 11 2" xfId="2724"/>
    <cellStyle name="Normal 2 24 11 2 2" xfId="2725"/>
    <cellStyle name="Normal 2 24 11 3" xfId="2726"/>
    <cellStyle name="Normal 2 24 12" xfId="2727"/>
    <cellStyle name="Normal 2 24 12 2" xfId="2728"/>
    <cellStyle name="Normal 2 24 12 2 2" xfId="2729"/>
    <cellStyle name="Normal 2 24 12 3" xfId="2730"/>
    <cellStyle name="Normal 2 24 13" xfId="2731"/>
    <cellStyle name="Normal 2 24 13 2" xfId="2732"/>
    <cellStyle name="Normal 2 24 13 2 2" xfId="2733"/>
    <cellStyle name="Normal 2 24 13 3" xfId="2734"/>
    <cellStyle name="Normal 2 24 14" xfId="2735"/>
    <cellStyle name="Normal 2 24 14 2" xfId="2736"/>
    <cellStyle name="Normal 2 24 14 2 2" xfId="2737"/>
    <cellStyle name="Normal 2 24 14 3" xfId="2738"/>
    <cellStyle name="Normal 2 24 15" xfId="2739"/>
    <cellStyle name="Normal 2 24 15 2" xfId="2740"/>
    <cellStyle name="Normal 2 24 15 2 2" xfId="2741"/>
    <cellStyle name="Normal 2 24 15 3" xfId="2742"/>
    <cellStyle name="Normal 2 24 16" xfId="2743"/>
    <cellStyle name="Normal 2 24 16 2" xfId="2744"/>
    <cellStyle name="Normal 2 24 16 2 2" xfId="2745"/>
    <cellStyle name="Normal 2 24 16 3" xfId="2746"/>
    <cellStyle name="Normal 2 24 17" xfId="2747"/>
    <cellStyle name="Normal 2 24 17 2" xfId="2748"/>
    <cellStyle name="Normal 2 24 17 2 2" xfId="2749"/>
    <cellStyle name="Normal 2 24 17 3" xfId="2750"/>
    <cellStyle name="Normal 2 24 18" xfId="2751"/>
    <cellStyle name="Normal 2 24 18 2" xfId="2752"/>
    <cellStyle name="Normal 2 24 18 2 2" xfId="2753"/>
    <cellStyle name="Normal 2 24 18 3" xfId="2754"/>
    <cellStyle name="Normal 2 24 19" xfId="2755"/>
    <cellStyle name="Normal 2 24 19 2" xfId="2756"/>
    <cellStyle name="Normal 2 24 19 2 2" xfId="2757"/>
    <cellStyle name="Normal 2 24 19 3" xfId="2758"/>
    <cellStyle name="Normal 2 24 2" xfId="2759"/>
    <cellStyle name="Normal 2 24 2 2" xfId="2760"/>
    <cellStyle name="Normal 2 24 2 2 2" xfId="2761"/>
    <cellStyle name="Normal 2 24 2 3" xfId="2762"/>
    <cellStyle name="Normal 2 24 20" xfId="2763"/>
    <cellStyle name="Normal 2 24 20 2" xfId="2764"/>
    <cellStyle name="Normal 2 24 20 2 2" xfId="2765"/>
    <cellStyle name="Normal 2 24 20 3" xfId="2766"/>
    <cellStyle name="Normal 2 24 21" xfId="2767"/>
    <cellStyle name="Normal 2 24 21 2" xfId="2768"/>
    <cellStyle name="Normal 2 24 21 2 2" xfId="2769"/>
    <cellStyle name="Normal 2 24 21 3" xfId="2770"/>
    <cellStyle name="Normal 2 24 22" xfId="2771"/>
    <cellStyle name="Normal 2 24 22 2" xfId="2772"/>
    <cellStyle name="Normal 2 24 22 2 2" xfId="2773"/>
    <cellStyle name="Normal 2 24 22 3" xfId="2774"/>
    <cellStyle name="Normal 2 24 23" xfId="2775"/>
    <cellStyle name="Normal 2 24 23 2" xfId="2776"/>
    <cellStyle name="Normal 2 24 23 2 2" xfId="2777"/>
    <cellStyle name="Normal 2 24 23 3" xfId="2778"/>
    <cellStyle name="Normal 2 24 24" xfId="2779"/>
    <cellStyle name="Normal 2 24 24 2" xfId="2780"/>
    <cellStyle name="Normal 2 24 25" xfId="2781"/>
    <cellStyle name="Normal 2 24 3" xfId="2782"/>
    <cellStyle name="Normal 2 24 3 2" xfId="2783"/>
    <cellStyle name="Normal 2 24 3 2 2" xfId="2784"/>
    <cellStyle name="Normal 2 24 3 3" xfId="2785"/>
    <cellStyle name="Normal 2 24 4" xfId="2786"/>
    <cellStyle name="Normal 2 24 4 2" xfId="2787"/>
    <cellStyle name="Normal 2 24 4 2 2" xfId="2788"/>
    <cellStyle name="Normal 2 24 4 3" xfId="2789"/>
    <cellStyle name="Normal 2 24 5" xfId="2790"/>
    <cellStyle name="Normal 2 24 5 2" xfId="2791"/>
    <cellStyle name="Normal 2 24 5 2 2" xfId="2792"/>
    <cellStyle name="Normal 2 24 5 3" xfId="2793"/>
    <cellStyle name="Normal 2 24 6" xfId="2794"/>
    <cellStyle name="Normal 2 24 6 2" xfId="2795"/>
    <cellStyle name="Normal 2 24 6 2 2" xfId="2796"/>
    <cellStyle name="Normal 2 24 6 3" xfId="2797"/>
    <cellStyle name="Normal 2 24 7" xfId="2798"/>
    <cellStyle name="Normal 2 24 7 2" xfId="2799"/>
    <cellStyle name="Normal 2 24 7 2 2" xfId="2800"/>
    <cellStyle name="Normal 2 24 7 3" xfId="2801"/>
    <cellStyle name="Normal 2 24 8" xfId="2802"/>
    <cellStyle name="Normal 2 24 8 2" xfId="2803"/>
    <cellStyle name="Normal 2 24 8 2 2" xfId="2804"/>
    <cellStyle name="Normal 2 24 8 3" xfId="2805"/>
    <cellStyle name="Normal 2 24 9" xfId="2806"/>
    <cellStyle name="Normal 2 24 9 2" xfId="2807"/>
    <cellStyle name="Normal 2 24 9 2 2" xfId="2808"/>
    <cellStyle name="Normal 2 24 9 3" xfId="2809"/>
    <cellStyle name="Normal 2 25" xfId="2810"/>
    <cellStyle name="Normal 2 25 10" xfId="2811"/>
    <cellStyle name="Normal 2 25 10 2" xfId="2812"/>
    <cellStyle name="Normal 2 25 10 2 2" xfId="2813"/>
    <cellStyle name="Normal 2 25 10 3" xfId="2814"/>
    <cellStyle name="Normal 2 25 11" xfId="2815"/>
    <cellStyle name="Normal 2 25 11 2" xfId="2816"/>
    <cellStyle name="Normal 2 25 11 2 2" xfId="2817"/>
    <cellStyle name="Normal 2 25 11 3" xfId="2818"/>
    <cellStyle name="Normal 2 25 12" xfId="2819"/>
    <cellStyle name="Normal 2 25 12 2" xfId="2820"/>
    <cellStyle name="Normal 2 25 12 2 2" xfId="2821"/>
    <cellStyle name="Normal 2 25 12 3" xfId="2822"/>
    <cellStyle name="Normal 2 25 13" xfId="2823"/>
    <cellStyle name="Normal 2 25 13 2" xfId="2824"/>
    <cellStyle name="Normal 2 25 13 2 2" xfId="2825"/>
    <cellStyle name="Normal 2 25 13 3" xfId="2826"/>
    <cellStyle name="Normal 2 25 14" xfId="2827"/>
    <cellStyle name="Normal 2 25 14 2" xfId="2828"/>
    <cellStyle name="Normal 2 25 14 2 2" xfId="2829"/>
    <cellStyle name="Normal 2 25 14 3" xfId="2830"/>
    <cellStyle name="Normal 2 25 15" xfId="2831"/>
    <cellStyle name="Normal 2 25 15 2" xfId="2832"/>
    <cellStyle name="Normal 2 25 15 2 2" xfId="2833"/>
    <cellStyle name="Normal 2 25 15 3" xfId="2834"/>
    <cellStyle name="Normal 2 25 16" xfId="2835"/>
    <cellStyle name="Normal 2 25 16 2" xfId="2836"/>
    <cellStyle name="Normal 2 25 16 2 2" xfId="2837"/>
    <cellStyle name="Normal 2 25 16 3" xfId="2838"/>
    <cellStyle name="Normal 2 25 17" xfId="2839"/>
    <cellStyle name="Normal 2 25 17 2" xfId="2840"/>
    <cellStyle name="Normal 2 25 17 2 2" xfId="2841"/>
    <cellStyle name="Normal 2 25 17 3" xfId="2842"/>
    <cellStyle name="Normal 2 25 18" xfId="2843"/>
    <cellStyle name="Normal 2 25 18 2" xfId="2844"/>
    <cellStyle name="Normal 2 25 18 2 2" xfId="2845"/>
    <cellStyle name="Normal 2 25 18 3" xfId="2846"/>
    <cellStyle name="Normal 2 25 19" xfId="2847"/>
    <cellStyle name="Normal 2 25 19 2" xfId="2848"/>
    <cellStyle name="Normal 2 25 19 2 2" xfId="2849"/>
    <cellStyle name="Normal 2 25 19 3" xfId="2850"/>
    <cellStyle name="Normal 2 25 2" xfId="2851"/>
    <cellStyle name="Normal 2 25 2 2" xfId="2852"/>
    <cellStyle name="Normal 2 25 2 2 2" xfId="2853"/>
    <cellStyle name="Normal 2 25 2 3" xfId="2854"/>
    <cellStyle name="Normal 2 25 20" xfId="2855"/>
    <cellStyle name="Normal 2 25 20 2" xfId="2856"/>
    <cellStyle name="Normal 2 25 20 2 2" xfId="2857"/>
    <cellStyle name="Normal 2 25 20 3" xfId="2858"/>
    <cellStyle name="Normal 2 25 21" xfId="2859"/>
    <cellStyle name="Normal 2 25 21 2" xfId="2860"/>
    <cellStyle name="Normal 2 25 21 2 2" xfId="2861"/>
    <cellStyle name="Normal 2 25 21 3" xfId="2862"/>
    <cellStyle name="Normal 2 25 22" xfId="2863"/>
    <cellStyle name="Normal 2 25 22 2" xfId="2864"/>
    <cellStyle name="Normal 2 25 22 2 2" xfId="2865"/>
    <cellStyle name="Normal 2 25 22 3" xfId="2866"/>
    <cellStyle name="Normal 2 25 23" xfId="2867"/>
    <cellStyle name="Normal 2 25 23 2" xfId="2868"/>
    <cellStyle name="Normal 2 25 23 2 2" xfId="2869"/>
    <cellStyle name="Normal 2 25 23 3" xfId="2870"/>
    <cellStyle name="Normal 2 25 24" xfId="2871"/>
    <cellStyle name="Normal 2 25 24 2" xfId="2872"/>
    <cellStyle name="Normal 2 25 25" xfId="2873"/>
    <cellStyle name="Normal 2 25 3" xfId="2874"/>
    <cellStyle name="Normal 2 25 3 2" xfId="2875"/>
    <cellStyle name="Normal 2 25 3 2 2" xfId="2876"/>
    <cellStyle name="Normal 2 25 3 3" xfId="2877"/>
    <cellStyle name="Normal 2 25 4" xfId="2878"/>
    <cellStyle name="Normal 2 25 4 2" xfId="2879"/>
    <cellStyle name="Normal 2 25 4 2 2" xfId="2880"/>
    <cellStyle name="Normal 2 25 4 3" xfId="2881"/>
    <cellStyle name="Normal 2 25 5" xfId="2882"/>
    <cellStyle name="Normal 2 25 5 2" xfId="2883"/>
    <cellStyle name="Normal 2 25 5 2 2" xfId="2884"/>
    <cellStyle name="Normal 2 25 5 3" xfId="2885"/>
    <cellStyle name="Normal 2 25 6" xfId="2886"/>
    <cellStyle name="Normal 2 25 6 2" xfId="2887"/>
    <cellStyle name="Normal 2 25 6 2 2" xfId="2888"/>
    <cellStyle name="Normal 2 25 6 3" xfId="2889"/>
    <cellStyle name="Normal 2 25 7" xfId="2890"/>
    <cellStyle name="Normal 2 25 7 2" xfId="2891"/>
    <cellStyle name="Normal 2 25 7 2 2" xfId="2892"/>
    <cellStyle name="Normal 2 25 7 3" xfId="2893"/>
    <cellStyle name="Normal 2 25 8" xfId="2894"/>
    <cellStyle name="Normal 2 25 8 2" xfId="2895"/>
    <cellStyle name="Normal 2 25 8 2 2" xfId="2896"/>
    <cellStyle name="Normal 2 25 8 3" xfId="2897"/>
    <cellStyle name="Normal 2 25 9" xfId="2898"/>
    <cellStyle name="Normal 2 25 9 2" xfId="2899"/>
    <cellStyle name="Normal 2 25 9 2 2" xfId="2900"/>
    <cellStyle name="Normal 2 25 9 3" xfId="2901"/>
    <cellStyle name="Normal 2 26" xfId="2902"/>
    <cellStyle name="Normal 2 26 10" xfId="2903"/>
    <cellStyle name="Normal 2 26 10 2" xfId="2904"/>
    <cellStyle name="Normal 2 26 10 2 2" xfId="2905"/>
    <cellStyle name="Normal 2 26 10 3" xfId="2906"/>
    <cellStyle name="Normal 2 26 11" xfId="2907"/>
    <cellStyle name="Normal 2 26 11 2" xfId="2908"/>
    <cellStyle name="Normal 2 26 11 2 2" xfId="2909"/>
    <cellStyle name="Normal 2 26 11 3" xfId="2910"/>
    <cellStyle name="Normal 2 26 12" xfId="2911"/>
    <cellStyle name="Normal 2 26 12 2" xfId="2912"/>
    <cellStyle name="Normal 2 26 12 2 2" xfId="2913"/>
    <cellStyle name="Normal 2 26 12 3" xfId="2914"/>
    <cellStyle name="Normal 2 26 13" xfId="2915"/>
    <cellStyle name="Normal 2 26 13 2" xfId="2916"/>
    <cellStyle name="Normal 2 26 13 2 2" xfId="2917"/>
    <cellStyle name="Normal 2 26 13 3" xfId="2918"/>
    <cellStyle name="Normal 2 26 14" xfId="2919"/>
    <cellStyle name="Normal 2 26 14 2" xfId="2920"/>
    <cellStyle name="Normal 2 26 14 2 2" xfId="2921"/>
    <cellStyle name="Normal 2 26 14 3" xfId="2922"/>
    <cellStyle name="Normal 2 26 15" xfId="2923"/>
    <cellStyle name="Normal 2 26 15 2" xfId="2924"/>
    <cellStyle name="Normal 2 26 15 2 2" xfId="2925"/>
    <cellStyle name="Normal 2 26 15 3" xfId="2926"/>
    <cellStyle name="Normal 2 26 16" xfId="2927"/>
    <cellStyle name="Normal 2 26 16 2" xfId="2928"/>
    <cellStyle name="Normal 2 26 16 2 2" xfId="2929"/>
    <cellStyle name="Normal 2 26 16 3" xfId="2930"/>
    <cellStyle name="Normal 2 26 17" xfId="2931"/>
    <cellStyle name="Normal 2 26 17 2" xfId="2932"/>
    <cellStyle name="Normal 2 26 17 2 2" xfId="2933"/>
    <cellStyle name="Normal 2 26 17 3" xfId="2934"/>
    <cellStyle name="Normal 2 26 18" xfId="2935"/>
    <cellStyle name="Normal 2 26 18 2" xfId="2936"/>
    <cellStyle name="Normal 2 26 18 2 2" xfId="2937"/>
    <cellStyle name="Normal 2 26 18 3" xfId="2938"/>
    <cellStyle name="Normal 2 26 19" xfId="2939"/>
    <cellStyle name="Normal 2 26 19 2" xfId="2940"/>
    <cellStyle name="Normal 2 26 19 2 2" xfId="2941"/>
    <cellStyle name="Normal 2 26 19 3" xfId="2942"/>
    <cellStyle name="Normal 2 26 2" xfId="2943"/>
    <cellStyle name="Normal 2 26 2 2" xfId="2944"/>
    <cellStyle name="Normal 2 26 2 2 2" xfId="2945"/>
    <cellStyle name="Normal 2 26 2 3" xfId="2946"/>
    <cellStyle name="Normal 2 26 20" xfId="2947"/>
    <cellStyle name="Normal 2 26 20 2" xfId="2948"/>
    <cellStyle name="Normal 2 26 20 2 2" xfId="2949"/>
    <cellStyle name="Normal 2 26 20 3" xfId="2950"/>
    <cellStyle name="Normal 2 26 21" xfId="2951"/>
    <cellStyle name="Normal 2 26 21 2" xfId="2952"/>
    <cellStyle name="Normal 2 26 21 2 2" xfId="2953"/>
    <cellStyle name="Normal 2 26 21 3" xfId="2954"/>
    <cellStyle name="Normal 2 26 22" xfId="2955"/>
    <cellStyle name="Normal 2 26 22 2" xfId="2956"/>
    <cellStyle name="Normal 2 26 22 2 2" xfId="2957"/>
    <cellStyle name="Normal 2 26 22 3" xfId="2958"/>
    <cellStyle name="Normal 2 26 23" xfId="2959"/>
    <cellStyle name="Normal 2 26 23 2" xfId="2960"/>
    <cellStyle name="Normal 2 26 23 2 2" xfId="2961"/>
    <cellStyle name="Normal 2 26 23 3" xfId="2962"/>
    <cellStyle name="Normal 2 26 24" xfId="2963"/>
    <cellStyle name="Normal 2 26 24 2" xfId="2964"/>
    <cellStyle name="Normal 2 26 25" xfId="2965"/>
    <cellStyle name="Normal 2 26 3" xfId="2966"/>
    <cellStyle name="Normal 2 26 3 2" xfId="2967"/>
    <cellStyle name="Normal 2 26 3 2 2" xfId="2968"/>
    <cellStyle name="Normal 2 26 3 3" xfId="2969"/>
    <cellStyle name="Normal 2 26 4" xfId="2970"/>
    <cellStyle name="Normal 2 26 4 2" xfId="2971"/>
    <cellStyle name="Normal 2 26 4 2 2" xfId="2972"/>
    <cellStyle name="Normal 2 26 4 3" xfId="2973"/>
    <cellStyle name="Normal 2 26 5" xfId="2974"/>
    <cellStyle name="Normal 2 26 5 2" xfId="2975"/>
    <cellStyle name="Normal 2 26 5 2 2" xfId="2976"/>
    <cellStyle name="Normal 2 26 5 3" xfId="2977"/>
    <cellStyle name="Normal 2 26 6" xfId="2978"/>
    <cellStyle name="Normal 2 26 6 2" xfId="2979"/>
    <cellStyle name="Normal 2 26 6 2 2" xfId="2980"/>
    <cellStyle name="Normal 2 26 6 3" xfId="2981"/>
    <cellStyle name="Normal 2 26 7" xfId="2982"/>
    <cellStyle name="Normal 2 26 7 2" xfId="2983"/>
    <cellStyle name="Normal 2 26 7 2 2" xfId="2984"/>
    <cellStyle name="Normal 2 26 7 3" xfId="2985"/>
    <cellStyle name="Normal 2 26 8" xfId="2986"/>
    <cellStyle name="Normal 2 26 8 2" xfId="2987"/>
    <cellStyle name="Normal 2 26 8 2 2" xfId="2988"/>
    <cellStyle name="Normal 2 26 8 3" xfId="2989"/>
    <cellStyle name="Normal 2 26 9" xfId="2990"/>
    <cellStyle name="Normal 2 26 9 2" xfId="2991"/>
    <cellStyle name="Normal 2 26 9 2 2" xfId="2992"/>
    <cellStyle name="Normal 2 26 9 3" xfId="2993"/>
    <cellStyle name="Normal 2 27" xfId="2994"/>
    <cellStyle name="Normal 2 27 10" xfId="2995"/>
    <cellStyle name="Normal 2 27 10 2" xfId="2996"/>
    <cellStyle name="Normal 2 27 10 2 2" xfId="2997"/>
    <cellStyle name="Normal 2 27 10 3" xfId="2998"/>
    <cellStyle name="Normal 2 27 11" xfId="2999"/>
    <cellStyle name="Normal 2 27 11 2" xfId="3000"/>
    <cellStyle name="Normal 2 27 11 2 2" xfId="3001"/>
    <cellStyle name="Normal 2 27 11 3" xfId="3002"/>
    <cellStyle name="Normal 2 27 12" xfId="3003"/>
    <cellStyle name="Normal 2 27 12 2" xfId="3004"/>
    <cellStyle name="Normal 2 27 12 2 2" xfId="3005"/>
    <cellStyle name="Normal 2 27 12 3" xfId="3006"/>
    <cellStyle name="Normal 2 27 13" xfId="3007"/>
    <cellStyle name="Normal 2 27 13 2" xfId="3008"/>
    <cellStyle name="Normal 2 27 13 2 2" xfId="3009"/>
    <cellStyle name="Normal 2 27 13 3" xfId="3010"/>
    <cellStyle name="Normal 2 27 14" xfId="3011"/>
    <cellStyle name="Normal 2 27 14 2" xfId="3012"/>
    <cellStyle name="Normal 2 27 14 2 2" xfId="3013"/>
    <cellStyle name="Normal 2 27 14 3" xfId="3014"/>
    <cellStyle name="Normal 2 27 15" xfId="3015"/>
    <cellStyle name="Normal 2 27 15 2" xfId="3016"/>
    <cellStyle name="Normal 2 27 15 2 2" xfId="3017"/>
    <cellStyle name="Normal 2 27 15 3" xfId="3018"/>
    <cellStyle name="Normal 2 27 16" xfId="3019"/>
    <cellStyle name="Normal 2 27 16 2" xfId="3020"/>
    <cellStyle name="Normal 2 27 16 2 2" xfId="3021"/>
    <cellStyle name="Normal 2 27 16 3" xfId="3022"/>
    <cellStyle name="Normal 2 27 17" xfId="3023"/>
    <cellStyle name="Normal 2 27 17 2" xfId="3024"/>
    <cellStyle name="Normal 2 27 17 2 2" xfId="3025"/>
    <cellStyle name="Normal 2 27 17 3" xfId="3026"/>
    <cellStyle name="Normal 2 27 18" xfId="3027"/>
    <cellStyle name="Normal 2 27 18 2" xfId="3028"/>
    <cellStyle name="Normal 2 27 18 2 2" xfId="3029"/>
    <cellStyle name="Normal 2 27 18 3" xfId="3030"/>
    <cellStyle name="Normal 2 27 19" xfId="3031"/>
    <cellStyle name="Normal 2 27 19 2" xfId="3032"/>
    <cellStyle name="Normal 2 27 19 2 2" xfId="3033"/>
    <cellStyle name="Normal 2 27 19 3" xfId="3034"/>
    <cellStyle name="Normal 2 27 2" xfId="3035"/>
    <cellStyle name="Normal 2 27 2 2" xfId="3036"/>
    <cellStyle name="Normal 2 27 2 2 2" xfId="3037"/>
    <cellStyle name="Normal 2 27 2 3" xfId="3038"/>
    <cellStyle name="Normal 2 27 20" xfId="3039"/>
    <cellStyle name="Normal 2 27 20 2" xfId="3040"/>
    <cellStyle name="Normal 2 27 20 2 2" xfId="3041"/>
    <cellStyle name="Normal 2 27 20 3" xfId="3042"/>
    <cellStyle name="Normal 2 27 21" xfId="3043"/>
    <cellStyle name="Normal 2 27 21 2" xfId="3044"/>
    <cellStyle name="Normal 2 27 21 2 2" xfId="3045"/>
    <cellStyle name="Normal 2 27 21 3" xfId="3046"/>
    <cellStyle name="Normal 2 27 22" xfId="3047"/>
    <cellStyle name="Normal 2 27 22 2" xfId="3048"/>
    <cellStyle name="Normal 2 27 22 2 2" xfId="3049"/>
    <cellStyle name="Normal 2 27 22 3" xfId="3050"/>
    <cellStyle name="Normal 2 27 23" xfId="3051"/>
    <cellStyle name="Normal 2 27 23 2" xfId="3052"/>
    <cellStyle name="Normal 2 27 23 2 2" xfId="3053"/>
    <cellStyle name="Normal 2 27 23 3" xfId="3054"/>
    <cellStyle name="Normal 2 27 24" xfId="3055"/>
    <cellStyle name="Normal 2 27 24 2" xfId="3056"/>
    <cellStyle name="Normal 2 27 25" xfId="3057"/>
    <cellStyle name="Normal 2 27 3" xfId="3058"/>
    <cellStyle name="Normal 2 27 3 2" xfId="3059"/>
    <cellStyle name="Normal 2 27 3 2 2" xfId="3060"/>
    <cellStyle name="Normal 2 27 3 3" xfId="3061"/>
    <cellStyle name="Normal 2 27 4" xfId="3062"/>
    <cellStyle name="Normal 2 27 4 2" xfId="3063"/>
    <cellStyle name="Normal 2 27 4 2 2" xfId="3064"/>
    <cellStyle name="Normal 2 27 4 3" xfId="3065"/>
    <cellStyle name="Normal 2 27 5" xfId="3066"/>
    <cellStyle name="Normal 2 27 5 2" xfId="3067"/>
    <cellStyle name="Normal 2 27 5 2 2" xfId="3068"/>
    <cellStyle name="Normal 2 27 5 3" xfId="3069"/>
    <cellStyle name="Normal 2 27 6" xfId="3070"/>
    <cellStyle name="Normal 2 27 6 2" xfId="3071"/>
    <cellStyle name="Normal 2 27 6 2 2" xfId="3072"/>
    <cellStyle name="Normal 2 27 6 3" xfId="3073"/>
    <cellStyle name="Normal 2 27 7" xfId="3074"/>
    <cellStyle name="Normal 2 27 7 2" xfId="3075"/>
    <cellStyle name="Normal 2 27 7 2 2" xfId="3076"/>
    <cellStyle name="Normal 2 27 7 3" xfId="3077"/>
    <cellStyle name="Normal 2 27 8" xfId="3078"/>
    <cellStyle name="Normal 2 27 8 2" xfId="3079"/>
    <cellStyle name="Normal 2 27 8 2 2" xfId="3080"/>
    <cellStyle name="Normal 2 27 8 3" xfId="3081"/>
    <cellStyle name="Normal 2 27 9" xfId="3082"/>
    <cellStyle name="Normal 2 27 9 2" xfId="3083"/>
    <cellStyle name="Normal 2 27 9 2 2" xfId="3084"/>
    <cellStyle name="Normal 2 27 9 3" xfId="3085"/>
    <cellStyle name="Normal 2 28" xfId="3086"/>
    <cellStyle name="Normal 2 28 10" xfId="3087"/>
    <cellStyle name="Normal 2 28 10 2" xfId="3088"/>
    <cellStyle name="Normal 2 28 10 2 2" xfId="3089"/>
    <cellStyle name="Normal 2 28 10 3" xfId="3090"/>
    <cellStyle name="Normal 2 28 11" xfId="3091"/>
    <cellStyle name="Normal 2 28 11 2" xfId="3092"/>
    <cellStyle name="Normal 2 28 11 2 2" xfId="3093"/>
    <cellStyle name="Normal 2 28 11 3" xfId="3094"/>
    <cellStyle name="Normal 2 28 12" xfId="3095"/>
    <cellStyle name="Normal 2 28 12 2" xfId="3096"/>
    <cellStyle name="Normal 2 28 12 2 2" xfId="3097"/>
    <cellStyle name="Normal 2 28 12 3" xfId="3098"/>
    <cellStyle name="Normal 2 28 13" xfId="3099"/>
    <cellStyle name="Normal 2 28 13 2" xfId="3100"/>
    <cellStyle name="Normal 2 28 13 2 2" xfId="3101"/>
    <cellStyle name="Normal 2 28 13 3" xfId="3102"/>
    <cellStyle name="Normal 2 28 14" xfId="3103"/>
    <cellStyle name="Normal 2 28 14 2" xfId="3104"/>
    <cellStyle name="Normal 2 28 14 2 2" xfId="3105"/>
    <cellStyle name="Normal 2 28 14 3" xfId="3106"/>
    <cellStyle name="Normal 2 28 15" xfId="3107"/>
    <cellStyle name="Normal 2 28 15 2" xfId="3108"/>
    <cellStyle name="Normal 2 28 15 2 2" xfId="3109"/>
    <cellStyle name="Normal 2 28 15 3" xfId="3110"/>
    <cellStyle name="Normal 2 28 16" xfId="3111"/>
    <cellStyle name="Normal 2 28 16 2" xfId="3112"/>
    <cellStyle name="Normal 2 28 16 2 2" xfId="3113"/>
    <cellStyle name="Normal 2 28 16 3" xfId="3114"/>
    <cellStyle name="Normal 2 28 17" xfId="3115"/>
    <cellStyle name="Normal 2 28 17 2" xfId="3116"/>
    <cellStyle name="Normal 2 28 17 2 2" xfId="3117"/>
    <cellStyle name="Normal 2 28 17 3" xfId="3118"/>
    <cellStyle name="Normal 2 28 18" xfId="3119"/>
    <cellStyle name="Normal 2 28 18 2" xfId="3120"/>
    <cellStyle name="Normal 2 28 18 2 2" xfId="3121"/>
    <cellStyle name="Normal 2 28 18 3" xfId="3122"/>
    <cellStyle name="Normal 2 28 19" xfId="3123"/>
    <cellStyle name="Normal 2 28 19 2" xfId="3124"/>
    <cellStyle name="Normal 2 28 19 2 2" xfId="3125"/>
    <cellStyle name="Normal 2 28 19 3" xfId="3126"/>
    <cellStyle name="Normal 2 28 2" xfId="3127"/>
    <cellStyle name="Normal 2 28 2 2" xfId="3128"/>
    <cellStyle name="Normal 2 28 2 2 2" xfId="3129"/>
    <cellStyle name="Normal 2 28 2 3" xfId="3130"/>
    <cellStyle name="Normal 2 28 20" xfId="3131"/>
    <cellStyle name="Normal 2 28 20 2" xfId="3132"/>
    <cellStyle name="Normal 2 28 20 2 2" xfId="3133"/>
    <cellStyle name="Normal 2 28 20 3" xfId="3134"/>
    <cellStyle name="Normal 2 28 21" xfId="3135"/>
    <cellStyle name="Normal 2 28 21 2" xfId="3136"/>
    <cellStyle name="Normal 2 28 21 2 2" xfId="3137"/>
    <cellStyle name="Normal 2 28 21 3" xfId="3138"/>
    <cellStyle name="Normal 2 28 22" xfId="3139"/>
    <cellStyle name="Normal 2 28 22 2" xfId="3140"/>
    <cellStyle name="Normal 2 28 22 2 2" xfId="3141"/>
    <cellStyle name="Normal 2 28 22 3" xfId="3142"/>
    <cellStyle name="Normal 2 28 23" xfId="3143"/>
    <cellStyle name="Normal 2 28 23 2" xfId="3144"/>
    <cellStyle name="Normal 2 28 23 2 2" xfId="3145"/>
    <cellStyle name="Normal 2 28 23 3" xfId="3146"/>
    <cellStyle name="Normal 2 28 24" xfId="3147"/>
    <cellStyle name="Normal 2 28 24 2" xfId="3148"/>
    <cellStyle name="Normal 2 28 25" xfId="3149"/>
    <cellStyle name="Normal 2 28 3" xfId="3150"/>
    <cellStyle name="Normal 2 28 3 2" xfId="3151"/>
    <cellStyle name="Normal 2 28 3 2 2" xfId="3152"/>
    <cellStyle name="Normal 2 28 3 3" xfId="3153"/>
    <cellStyle name="Normal 2 28 4" xfId="3154"/>
    <cellStyle name="Normal 2 28 4 2" xfId="3155"/>
    <cellStyle name="Normal 2 28 4 2 2" xfId="3156"/>
    <cellStyle name="Normal 2 28 4 3" xfId="3157"/>
    <cellStyle name="Normal 2 28 5" xfId="3158"/>
    <cellStyle name="Normal 2 28 5 2" xfId="3159"/>
    <cellStyle name="Normal 2 28 5 2 2" xfId="3160"/>
    <cellStyle name="Normal 2 28 5 3" xfId="3161"/>
    <cellStyle name="Normal 2 28 6" xfId="3162"/>
    <cellStyle name="Normal 2 28 6 2" xfId="3163"/>
    <cellStyle name="Normal 2 28 6 2 2" xfId="3164"/>
    <cellStyle name="Normal 2 28 6 3" xfId="3165"/>
    <cellStyle name="Normal 2 28 7" xfId="3166"/>
    <cellStyle name="Normal 2 28 7 2" xfId="3167"/>
    <cellStyle name="Normal 2 28 7 2 2" xfId="3168"/>
    <cellStyle name="Normal 2 28 7 3" xfId="3169"/>
    <cellStyle name="Normal 2 28 8" xfId="3170"/>
    <cellStyle name="Normal 2 28 8 2" xfId="3171"/>
    <cellStyle name="Normal 2 28 8 2 2" xfId="3172"/>
    <cellStyle name="Normal 2 28 8 3" xfId="3173"/>
    <cellStyle name="Normal 2 28 9" xfId="3174"/>
    <cellStyle name="Normal 2 28 9 2" xfId="3175"/>
    <cellStyle name="Normal 2 28 9 2 2" xfId="3176"/>
    <cellStyle name="Normal 2 28 9 3" xfId="3177"/>
    <cellStyle name="Normal 2 29" xfId="3178"/>
    <cellStyle name="Normal 2 29 10" xfId="3179"/>
    <cellStyle name="Normal 2 29 10 2" xfId="3180"/>
    <cellStyle name="Normal 2 29 10 2 2" xfId="3181"/>
    <cellStyle name="Normal 2 29 10 3" xfId="3182"/>
    <cellStyle name="Normal 2 29 11" xfId="3183"/>
    <cellStyle name="Normal 2 29 11 2" xfId="3184"/>
    <cellStyle name="Normal 2 29 11 2 2" xfId="3185"/>
    <cellStyle name="Normal 2 29 11 3" xfId="3186"/>
    <cellStyle name="Normal 2 29 12" xfId="3187"/>
    <cellStyle name="Normal 2 29 12 2" xfId="3188"/>
    <cellStyle name="Normal 2 29 12 2 2" xfId="3189"/>
    <cellStyle name="Normal 2 29 12 3" xfId="3190"/>
    <cellStyle name="Normal 2 29 13" xfId="3191"/>
    <cellStyle name="Normal 2 29 13 2" xfId="3192"/>
    <cellStyle name="Normal 2 29 13 2 2" xfId="3193"/>
    <cellStyle name="Normal 2 29 13 3" xfId="3194"/>
    <cellStyle name="Normal 2 29 14" xfId="3195"/>
    <cellStyle name="Normal 2 29 14 2" xfId="3196"/>
    <cellStyle name="Normal 2 29 14 2 2" xfId="3197"/>
    <cellStyle name="Normal 2 29 14 3" xfId="3198"/>
    <cellStyle name="Normal 2 29 15" xfId="3199"/>
    <cellStyle name="Normal 2 29 15 2" xfId="3200"/>
    <cellStyle name="Normal 2 29 15 2 2" xfId="3201"/>
    <cellStyle name="Normal 2 29 15 3" xfId="3202"/>
    <cellStyle name="Normal 2 29 16" xfId="3203"/>
    <cellStyle name="Normal 2 29 16 2" xfId="3204"/>
    <cellStyle name="Normal 2 29 16 2 2" xfId="3205"/>
    <cellStyle name="Normal 2 29 16 3" xfId="3206"/>
    <cellStyle name="Normal 2 29 17" xfId="3207"/>
    <cellStyle name="Normal 2 29 17 2" xfId="3208"/>
    <cellStyle name="Normal 2 29 17 2 2" xfId="3209"/>
    <cellStyle name="Normal 2 29 17 3" xfId="3210"/>
    <cellStyle name="Normal 2 29 18" xfId="3211"/>
    <cellStyle name="Normal 2 29 18 2" xfId="3212"/>
    <cellStyle name="Normal 2 29 18 2 2" xfId="3213"/>
    <cellStyle name="Normal 2 29 18 3" xfId="3214"/>
    <cellStyle name="Normal 2 29 19" xfId="3215"/>
    <cellStyle name="Normal 2 29 19 2" xfId="3216"/>
    <cellStyle name="Normal 2 29 19 2 2" xfId="3217"/>
    <cellStyle name="Normal 2 29 19 3" xfId="3218"/>
    <cellStyle name="Normal 2 29 2" xfId="3219"/>
    <cellStyle name="Normal 2 29 2 2" xfId="3220"/>
    <cellStyle name="Normal 2 29 2 2 2" xfId="3221"/>
    <cellStyle name="Normal 2 29 2 3" xfId="3222"/>
    <cellStyle name="Normal 2 29 20" xfId="3223"/>
    <cellStyle name="Normal 2 29 20 2" xfId="3224"/>
    <cellStyle name="Normal 2 29 20 2 2" xfId="3225"/>
    <cellStyle name="Normal 2 29 20 3" xfId="3226"/>
    <cellStyle name="Normal 2 29 21" xfId="3227"/>
    <cellStyle name="Normal 2 29 21 2" xfId="3228"/>
    <cellStyle name="Normal 2 29 21 2 2" xfId="3229"/>
    <cellStyle name="Normal 2 29 21 3" xfId="3230"/>
    <cellStyle name="Normal 2 29 22" xfId="3231"/>
    <cellStyle name="Normal 2 29 22 2" xfId="3232"/>
    <cellStyle name="Normal 2 29 22 2 2" xfId="3233"/>
    <cellStyle name="Normal 2 29 22 3" xfId="3234"/>
    <cellStyle name="Normal 2 29 23" xfId="3235"/>
    <cellStyle name="Normal 2 29 23 2" xfId="3236"/>
    <cellStyle name="Normal 2 29 23 2 2" xfId="3237"/>
    <cellStyle name="Normal 2 29 23 3" xfId="3238"/>
    <cellStyle name="Normal 2 29 24" xfId="3239"/>
    <cellStyle name="Normal 2 29 24 2" xfId="3240"/>
    <cellStyle name="Normal 2 29 25" xfId="3241"/>
    <cellStyle name="Normal 2 29 3" xfId="3242"/>
    <cellStyle name="Normal 2 29 3 2" xfId="3243"/>
    <cellStyle name="Normal 2 29 3 2 2" xfId="3244"/>
    <cellStyle name="Normal 2 29 3 3" xfId="3245"/>
    <cellStyle name="Normal 2 29 4" xfId="3246"/>
    <cellStyle name="Normal 2 29 4 2" xfId="3247"/>
    <cellStyle name="Normal 2 29 4 2 2" xfId="3248"/>
    <cellStyle name="Normal 2 29 4 3" xfId="3249"/>
    <cellStyle name="Normal 2 29 5" xfId="3250"/>
    <cellStyle name="Normal 2 29 5 2" xfId="3251"/>
    <cellStyle name="Normal 2 29 5 2 2" xfId="3252"/>
    <cellStyle name="Normal 2 29 5 3" xfId="3253"/>
    <cellStyle name="Normal 2 29 6" xfId="3254"/>
    <cellStyle name="Normal 2 29 6 2" xfId="3255"/>
    <cellStyle name="Normal 2 29 6 2 2" xfId="3256"/>
    <cellStyle name="Normal 2 29 6 3" xfId="3257"/>
    <cellStyle name="Normal 2 29 7" xfId="3258"/>
    <cellStyle name="Normal 2 29 7 2" xfId="3259"/>
    <cellStyle name="Normal 2 29 7 2 2" xfId="3260"/>
    <cellStyle name="Normal 2 29 7 3" xfId="3261"/>
    <cellStyle name="Normal 2 29 8" xfId="3262"/>
    <cellStyle name="Normal 2 29 8 2" xfId="3263"/>
    <cellStyle name="Normal 2 29 8 2 2" xfId="3264"/>
    <cellStyle name="Normal 2 29 8 3" xfId="3265"/>
    <cellStyle name="Normal 2 29 9" xfId="3266"/>
    <cellStyle name="Normal 2 29 9 2" xfId="3267"/>
    <cellStyle name="Normal 2 29 9 2 2" xfId="3268"/>
    <cellStyle name="Normal 2 29 9 3" xfId="3269"/>
    <cellStyle name="Normal 2 3" xfId="193"/>
    <cellStyle name="Normal 2 3 2" xfId="194"/>
    <cellStyle name="Normal 2 3 2 2" xfId="195"/>
    <cellStyle name="Normal 2 3 2 2 2" xfId="391"/>
    <cellStyle name="Normal 2 3 2 3" xfId="3270"/>
    <cellStyle name="Normal 2 3 3" xfId="196"/>
    <cellStyle name="Normal 2 3 3 2" xfId="392"/>
    <cellStyle name="Normal 2 3 3 3" xfId="1121"/>
    <cellStyle name="Normal 2 3 4" xfId="3271"/>
    <cellStyle name="Normal 2 3 4 2" xfId="3272"/>
    <cellStyle name="Normal 2 3 5" xfId="3273"/>
    <cellStyle name="Normal 2 30" xfId="3274"/>
    <cellStyle name="Normal 2 30 10" xfId="3275"/>
    <cellStyle name="Normal 2 30 10 2" xfId="3276"/>
    <cellStyle name="Normal 2 30 10 2 2" xfId="3277"/>
    <cellStyle name="Normal 2 30 10 3" xfId="3278"/>
    <cellStyle name="Normal 2 30 11" xfId="3279"/>
    <cellStyle name="Normal 2 30 11 2" xfId="3280"/>
    <cellStyle name="Normal 2 30 11 2 2" xfId="3281"/>
    <cellStyle name="Normal 2 30 11 3" xfId="3282"/>
    <cellStyle name="Normal 2 30 12" xfId="3283"/>
    <cellStyle name="Normal 2 30 12 2" xfId="3284"/>
    <cellStyle name="Normal 2 30 12 2 2" xfId="3285"/>
    <cellStyle name="Normal 2 30 12 3" xfId="3286"/>
    <cellStyle name="Normal 2 30 13" xfId="3287"/>
    <cellStyle name="Normal 2 30 13 2" xfId="3288"/>
    <cellStyle name="Normal 2 30 13 2 2" xfId="3289"/>
    <cellStyle name="Normal 2 30 13 3" xfId="3290"/>
    <cellStyle name="Normal 2 30 14" xfId="3291"/>
    <cellStyle name="Normal 2 30 14 2" xfId="3292"/>
    <cellStyle name="Normal 2 30 14 2 2" xfId="3293"/>
    <cellStyle name="Normal 2 30 14 3" xfId="3294"/>
    <cellStyle name="Normal 2 30 15" xfId="3295"/>
    <cellStyle name="Normal 2 30 15 2" xfId="3296"/>
    <cellStyle name="Normal 2 30 15 2 2" xfId="3297"/>
    <cellStyle name="Normal 2 30 15 3" xfId="3298"/>
    <cellStyle name="Normal 2 30 16" xfId="3299"/>
    <cellStyle name="Normal 2 30 16 2" xfId="3300"/>
    <cellStyle name="Normal 2 30 16 2 2" xfId="3301"/>
    <cellStyle name="Normal 2 30 16 3" xfId="3302"/>
    <cellStyle name="Normal 2 30 17" xfId="3303"/>
    <cellStyle name="Normal 2 30 17 2" xfId="3304"/>
    <cellStyle name="Normal 2 30 17 2 2" xfId="3305"/>
    <cellStyle name="Normal 2 30 17 3" xfId="3306"/>
    <cellStyle name="Normal 2 30 18" xfId="3307"/>
    <cellStyle name="Normal 2 30 18 2" xfId="3308"/>
    <cellStyle name="Normal 2 30 18 2 2" xfId="3309"/>
    <cellStyle name="Normal 2 30 18 3" xfId="3310"/>
    <cellStyle name="Normal 2 30 19" xfId="3311"/>
    <cellStyle name="Normal 2 30 19 2" xfId="3312"/>
    <cellStyle name="Normal 2 30 19 2 2" xfId="3313"/>
    <cellStyle name="Normal 2 30 19 3" xfId="3314"/>
    <cellStyle name="Normal 2 30 2" xfId="3315"/>
    <cellStyle name="Normal 2 30 2 2" xfId="3316"/>
    <cellStyle name="Normal 2 30 2 2 2" xfId="3317"/>
    <cellStyle name="Normal 2 30 2 3" xfId="3318"/>
    <cellStyle name="Normal 2 30 20" xfId="3319"/>
    <cellStyle name="Normal 2 30 20 2" xfId="3320"/>
    <cellStyle name="Normal 2 30 20 2 2" xfId="3321"/>
    <cellStyle name="Normal 2 30 20 3" xfId="3322"/>
    <cellStyle name="Normal 2 30 21" xfId="3323"/>
    <cellStyle name="Normal 2 30 21 2" xfId="3324"/>
    <cellStyle name="Normal 2 30 21 2 2" xfId="3325"/>
    <cellStyle name="Normal 2 30 21 3" xfId="3326"/>
    <cellStyle name="Normal 2 30 22" xfId="3327"/>
    <cellStyle name="Normal 2 30 22 2" xfId="3328"/>
    <cellStyle name="Normal 2 30 22 2 2" xfId="3329"/>
    <cellStyle name="Normal 2 30 22 3" xfId="3330"/>
    <cellStyle name="Normal 2 30 23" xfId="3331"/>
    <cellStyle name="Normal 2 30 23 2" xfId="3332"/>
    <cellStyle name="Normal 2 30 23 2 2" xfId="3333"/>
    <cellStyle name="Normal 2 30 23 3" xfId="3334"/>
    <cellStyle name="Normal 2 30 24" xfId="3335"/>
    <cellStyle name="Normal 2 30 24 2" xfId="3336"/>
    <cellStyle name="Normal 2 30 25" xfId="3337"/>
    <cellStyle name="Normal 2 30 3" xfId="3338"/>
    <cellStyle name="Normal 2 30 3 2" xfId="3339"/>
    <cellStyle name="Normal 2 30 3 2 2" xfId="3340"/>
    <cellStyle name="Normal 2 30 3 3" xfId="3341"/>
    <cellStyle name="Normal 2 30 4" xfId="3342"/>
    <cellStyle name="Normal 2 30 4 2" xfId="3343"/>
    <cellStyle name="Normal 2 30 4 2 2" xfId="3344"/>
    <cellStyle name="Normal 2 30 4 3" xfId="3345"/>
    <cellStyle name="Normal 2 30 5" xfId="3346"/>
    <cellStyle name="Normal 2 30 5 2" xfId="3347"/>
    <cellStyle name="Normal 2 30 5 2 2" xfId="3348"/>
    <cellStyle name="Normal 2 30 5 3" xfId="3349"/>
    <cellStyle name="Normal 2 30 6" xfId="3350"/>
    <cellStyle name="Normal 2 30 6 2" xfId="3351"/>
    <cellStyle name="Normal 2 30 6 2 2" xfId="3352"/>
    <cellStyle name="Normal 2 30 6 3" xfId="3353"/>
    <cellStyle name="Normal 2 30 7" xfId="3354"/>
    <cellStyle name="Normal 2 30 7 2" xfId="3355"/>
    <cellStyle name="Normal 2 30 7 2 2" xfId="3356"/>
    <cellStyle name="Normal 2 30 7 3" xfId="3357"/>
    <cellStyle name="Normal 2 30 8" xfId="3358"/>
    <cellStyle name="Normal 2 30 8 2" xfId="3359"/>
    <cellStyle name="Normal 2 30 8 2 2" xfId="3360"/>
    <cellStyle name="Normal 2 30 8 3" xfId="3361"/>
    <cellStyle name="Normal 2 30 9" xfId="3362"/>
    <cellStyle name="Normal 2 30 9 2" xfId="3363"/>
    <cellStyle name="Normal 2 30 9 2 2" xfId="3364"/>
    <cellStyle name="Normal 2 30 9 3" xfId="3365"/>
    <cellStyle name="Normal 2 31" xfId="3366"/>
    <cellStyle name="Normal 2 31 10" xfId="3367"/>
    <cellStyle name="Normal 2 31 10 2" xfId="3368"/>
    <cellStyle name="Normal 2 31 10 2 2" xfId="3369"/>
    <cellStyle name="Normal 2 31 10 3" xfId="3370"/>
    <cellStyle name="Normal 2 31 11" xfId="3371"/>
    <cellStyle name="Normal 2 31 11 2" xfId="3372"/>
    <cellStyle name="Normal 2 31 11 2 2" xfId="3373"/>
    <cellStyle name="Normal 2 31 11 3" xfId="3374"/>
    <cellStyle name="Normal 2 31 12" xfId="3375"/>
    <cellStyle name="Normal 2 31 12 2" xfId="3376"/>
    <cellStyle name="Normal 2 31 12 2 2" xfId="3377"/>
    <cellStyle name="Normal 2 31 12 3" xfId="3378"/>
    <cellStyle name="Normal 2 31 13" xfId="3379"/>
    <cellStyle name="Normal 2 31 13 2" xfId="3380"/>
    <cellStyle name="Normal 2 31 13 2 2" xfId="3381"/>
    <cellStyle name="Normal 2 31 13 3" xfId="3382"/>
    <cellStyle name="Normal 2 31 14" xfId="3383"/>
    <cellStyle name="Normal 2 31 14 2" xfId="3384"/>
    <cellStyle name="Normal 2 31 14 2 2" xfId="3385"/>
    <cellStyle name="Normal 2 31 14 3" xfId="3386"/>
    <cellStyle name="Normal 2 31 15" xfId="3387"/>
    <cellStyle name="Normal 2 31 15 2" xfId="3388"/>
    <cellStyle name="Normal 2 31 15 2 2" xfId="3389"/>
    <cellStyle name="Normal 2 31 15 3" xfId="3390"/>
    <cellStyle name="Normal 2 31 16" xfId="3391"/>
    <cellStyle name="Normal 2 31 16 2" xfId="3392"/>
    <cellStyle name="Normal 2 31 16 2 2" xfId="3393"/>
    <cellStyle name="Normal 2 31 16 3" xfId="3394"/>
    <cellStyle name="Normal 2 31 17" xfId="3395"/>
    <cellStyle name="Normal 2 31 17 2" xfId="3396"/>
    <cellStyle name="Normal 2 31 17 2 2" xfId="3397"/>
    <cellStyle name="Normal 2 31 17 3" xfId="3398"/>
    <cellStyle name="Normal 2 31 18" xfId="3399"/>
    <cellStyle name="Normal 2 31 18 2" xfId="3400"/>
    <cellStyle name="Normal 2 31 18 2 2" xfId="3401"/>
    <cellStyle name="Normal 2 31 18 3" xfId="3402"/>
    <cellStyle name="Normal 2 31 19" xfId="3403"/>
    <cellStyle name="Normal 2 31 19 2" xfId="3404"/>
    <cellStyle name="Normal 2 31 19 2 2" xfId="3405"/>
    <cellStyle name="Normal 2 31 19 3" xfId="3406"/>
    <cellStyle name="Normal 2 31 2" xfId="3407"/>
    <cellStyle name="Normal 2 31 2 2" xfId="3408"/>
    <cellStyle name="Normal 2 31 2 2 2" xfId="3409"/>
    <cellStyle name="Normal 2 31 2 3" xfId="3410"/>
    <cellStyle name="Normal 2 31 20" xfId="3411"/>
    <cellStyle name="Normal 2 31 20 2" xfId="3412"/>
    <cellStyle name="Normal 2 31 20 2 2" xfId="3413"/>
    <cellStyle name="Normal 2 31 20 3" xfId="3414"/>
    <cellStyle name="Normal 2 31 21" xfId="3415"/>
    <cellStyle name="Normal 2 31 21 2" xfId="3416"/>
    <cellStyle name="Normal 2 31 21 2 2" xfId="3417"/>
    <cellStyle name="Normal 2 31 21 3" xfId="3418"/>
    <cellStyle name="Normal 2 31 22" xfId="3419"/>
    <cellStyle name="Normal 2 31 22 2" xfId="3420"/>
    <cellStyle name="Normal 2 31 22 2 2" xfId="3421"/>
    <cellStyle name="Normal 2 31 22 3" xfId="3422"/>
    <cellStyle name="Normal 2 31 23" xfId="3423"/>
    <cellStyle name="Normal 2 31 23 2" xfId="3424"/>
    <cellStyle name="Normal 2 31 23 2 2" xfId="3425"/>
    <cellStyle name="Normal 2 31 23 3" xfId="3426"/>
    <cellStyle name="Normal 2 31 24" xfId="3427"/>
    <cellStyle name="Normal 2 31 24 2" xfId="3428"/>
    <cellStyle name="Normal 2 31 25" xfId="3429"/>
    <cellStyle name="Normal 2 31 3" xfId="3430"/>
    <cellStyle name="Normal 2 31 3 2" xfId="3431"/>
    <cellStyle name="Normal 2 31 3 2 2" xfId="3432"/>
    <cellStyle name="Normal 2 31 3 3" xfId="3433"/>
    <cellStyle name="Normal 2 31 4" xfId="3434"/>
    <cellStyle name="Normal 2 31 4 2" xfId="3435"/>
    <cellStyle name="Normal 2 31 4 2 2" xfId="3436"/>
    <cellStyle name="Normal 2 31 4 3" xfId="3437"/>
    <cellStyle name="Normal 2 31 5" xfId="3438"/>
    <cellStyle name="Normal 2 31 5 2" xfId="3439"/>
    <cellStyle name="Normal 2 31 5 2 2" xfId="3440"/>
    <cellStyle name="Normal 2 31 5 3" xfId="3441"/>
    <cellStyle name="Normal 2 31 6" xfId="3442"/>
    <cellStyle name="Normal 2 31 6 2" xfId="3443"/>
    <cellStyle name="Normal 2 31 6 2 2" xfId="3444"/>
    <cellStyle name="Normal 2 31 6 3" xfId="3445"/>
    <cellStyle name="Normal 2 31 7" xfId="3446"/>
    <cellStyle name="Normal 2 31 7 2" xfId="3447"/>
    <cellStyle name="Normal 2 31 7 2 2" xfId="3448"/>
    <cellStyle name="Normal 2 31 7 3" xfId="3449"/>
    <cellStyle name="Normal 2 31 8" xfId="3450"/>
    <cellStyle name="Normal 2 31 8 2" xfId="3451"/>
    <cellStyle name="Normal 2 31 8 2 2" xfId="3452"/>
    <cellStyle name="Normal 2 31 8 3" xfId="3453"/>
    <cellStyle name="Normal 2 31 9" xfId="3454"/>
    <cellStyle name="Normal 2 31 9 2" xfId="3455"/>
    <cellStyle name="Normal 2 31 9 2 2" xfId="3456"/>
    <cellStyle name="Normal 2 31 9 3" xfId="3457"/>
    <cellStyle name="Normal 2 32" xfId="3458"/>
    <cellStyle name="Normal 2 32 10" xfId="3459"/>
    <cellStyle name="Normal 2 32 10 2" xfId="3460"/>
    <cellStyle name="Normal 2 32 10 2 2" xfId="3461"/>
    <cellStyle name="Normal 2 32 10 3" xfId="3462"/>
    <cellStyle name="Normal 2 32 11" xfId="3463"/>
    <cellStyle name="Normal 2 32 11 2" xfId="3464"/>
    <cellStyle name="Normal 2 32 11 2 2" xfId="3465"/>
    <cellStyle name="Normal 2 32 11 3" xfId="3466"/>
    <cellStyle name="Normal 2 32 12" xfId="3467"/>
    <cellStyle name="Normal 2 32 12 2" xfId="3468"/>
    <cellStyle name="Normal 2 32 12 2 2" xfId="3469"/>
    <cellStyle name="Normal 2 32 12 3" xfId="3470"/>
    <cellStyle name="Normal 2 32 13" xfId="3471"/>
    <cellStyle name="Normal 2 32 13 2" xfId="3472"/>
    <cellStyle name="Normal 2 32 13 2 2" xfId="3473"/>
    <cellStyle name="Normal 2 32 13 3" xfId="3474"/>
    <cellStyle name="Normal 2 32 14" xfId="3475"/>
    <cellStyle name="Normal 2 32 14 2" xfId="3476"/>
    <cellStyle name="Normal 2 32 14 2 2" xfId="3477"/>
    <cellStyle name="Normal 2 32 14 3" xfId="3478"/>
    <cellStyle name="Normal 2 32 15" xfId="3479"/>
    <cellStyle name="Normal 2 32 15 2" xfId="3480"/>
    <cellStyle name="Normal 2 32 15 2 2" xfId="3481"/>
    <cellStyle name="Normal 2 32 15 3" xfId="3482"/>
    <cellStyle name="Normal 2 32 16" xfId="3483"/>
    <cellStyle name="Normal 2 32 16 2" xfId="3484"/>
    <cellStyle name="Normal 2 32 16 2 2" xfId="3485"/>
    <cellStyle name="Normal 2 32 16 3" xfId="3486"/>
    <cellStyle name="Normal 2 32 17" xfId="3487"/>
    <cellStyle name="Normal 2 32 17 2" xfId="3488"/>
    <cellStyle name="Normal 2 32 17 2 2" xfId="3489"/>
    <cellStyle name="Normal 2 32 17 3" xfId="3490"/>
    <cellStyle name="Normal 2 32 18" xfId="3491"/>
    <cellStyle name="Normal 2 32 18 2" xfId="3492"/>
    <cellStyle name="Normal 2 32 18 2 2" xfId="3493"/>
    <cellStyle name="Normal 2 32 18 3" xfId="3494"/>
    <cellStyle name="Normal 2 32 19" xfId="3495"/>
    <cellStyle name="Normal 2 32 19 2" xfId="3496"/>
    <cellStyle name="Normal 2 32 19 2 2" xfId="3497"/>
    <cellStyle name="Normal 2 32 19 3" xfId="3498"/>
    <cellStyle name="Normal 2 32 2" xfId="3499"/>
    <cellStyle name="Normal 2 32 2 2" xfId="3500"/>
    <cellStyle name="Normal 2 32 2 2 2" xfId="3501"/>
    <cellStyle name="Normal 2 32 2 3" xfId="3502"/>
    <cellStyle name="Normal 2 32 20" xfId="3503"/>
    <cellStyle name="Normal 2 32 20 2" xfId="3504"/>
    <cellStyle name="Normal 2 32 20 2 2" xfId="3505"/>
    <cellStyle name="Normal 2 32 20 3" xfId="3506"/>
    <cellStyle name="Normal 2 32 21" xfId="3507"/>
    <cellStyle name="Normal 2 32 21 2" xfId="3508"/>
    <cellStyle name="Normal 2 32 21 2 2" xfId="3509"/>
    <cellStyle name="Normal 2 32 21 3" xfId="3510"/>
    <cellStyle name="Normal 2 32 22" xfId="3511"/>
    <cellStyle name="Normal 2 32 22 2" xfId="3512"/>
    <cellStyle name="Normal 2 32 22 2 2" xfId="3513"/>
    <cellStyle name="Normal 2 32 22 3" xfId="3514"/>
    <cellStyle name="Normal 2 32 23" xfId="3515"/>
    <cellStyle name="Normal 2 32 23 2" xfId="3516"/>
    <cellStyle name="Normal 2 32 23 2 2" xfId="3517"/>
    <cellStyle name="Normal 2 32 23 3" xfId="3518"/>
    <cellStyle name="Normal 2 32 24" xfId="3519"/>
    <cellStyle name="Normal 2 32 24 2" xfId="3520"/>
    <cellStyle name="Normal 2 32 25" xfId="3521"/>
    <cellStyle name="Normal 2 32 3" xfId="3522"/>
    <cellStyle name="Normal 2 32 3 2" xfId="3523"/>
    <cellStyle name="Normal 2 32 3 2 2" xfId="3524"/>
    <cellStyle name="Normal 2 32 3 3" xfId="3525"/>
    <cellStyle name="Normal 2 32 4" xfId="3526"/>
    <cellStyle name="Normal 2 32 4 2" xfId="3527"/>
    <cellStyle name="Normal 2 32 4 2 2" xfId="3528"/>
    <cellStyle name="Normal 2 32 4 3" xfId="3529"/>
    <cellStyle name="Normal 2 32 5" xfId="3530"/>
    <cellStyle name="Normal 2 32 5 2" xfId="3531"/>
    <cellStyle name="Normal 2 32 5 2 2" xfId="3532"/>
    <cellStyle name="Normal 2 32 5 3" xfId="3533"/>
    <cellStyle name="Normal 2 32 6" xfId="3534"/>
    <cellStyle name="Normal 2 32 6 2" xfId="3535"/>
    <cellStyle name="Normal 2 32 6 2 2" xfId="3536"/>
    <cellStyle name="Normal 2 32 6 3" xfId="3537"/>
    <cellStyle name="Normal 2 32 7" xfId="3538"/>
    <cellStyle name="Normal 2 32 7 2" xfId="3539"/>
    <cellStyle name="Normal 2 32 7 2 2" xfId="3540"/>
    <cellStyle name="Normal 2 32 7 3" xfId="3541"/>
    <cellStyle name="Normal 2 32 8" xfId="3542"/>
    <cellStyle name="Normal 2 32 8 2" xfId="3543"/>
    <cellStyle name="Normal 2 32 8 2 2" xfId="3544"/>
    <cellStyle name="Normal 2 32 8 3" xfId="3545"/>
    <cellStyle name="Normal 2 32 9" xfId="3546"/>
    <cellStyle name="Normal 2 32 9 2" xfId="3547"/>
    <cellStyle name="Normal 2 32 9 2 2" xfId="3548"/>
    <cellStyle name="Normal 2 32 9 3" xfId="3549"/>
    <cellStyle name="Normal 2 33" xfId="3550"/>
    <cellStyle name="Normal 2 33 10" xfId="3551"/>
    <cellStyle name="Normal 2 33 10 2" xfId="3552"/>
    <cellStyle name="Normal 2 33 10 2 2" xfId="3553"/>
    <cellStyle name="Normal 2 33 10 3" xfId="3554"/>
    <cellStyle name="Normal 2 33 11" xfId="3555"/>
    <cellStyle name="Normal 2 33 11 2" xfId="3556"/>
    <cellStyle name="Normal 2 33 11 2 2" xfId="3557"/>
    <cellStyle name="Normal 2 33 11 3" xfId="3558"/>
    <cellStyle name="Normal 2 33 12" xfId="3559"/>
    <cellStyle name="Normal 2 33 12 2" xfId="3560"/>
    <cellStyle name="Normal 2 33 12 2 2" xfId="3561"/>
    <cellStyle name="Normal 2 33 12 3" xfId="3562"/>
    <cellStyle name="Normal 2 33 13" xfId="3563"/>
    <cellStyle name="Normal 2 33 13 2" xfId="3564"/>
    <cellStyle name="Normal 2 33 13 2 2" xfId="3565"/>
    <cellStyle name="Normal 2 33 13 3" xfId="3566"/>
    <cellStyle name="Normal 2 33 14" xfId="3567"/>
    <cellStyle name="Normal 2 33 14 2" xfId="3568"/>
    <cellStyle name="Normal 2 33 14 2 2" xfId="3569"/>
    <cellStyle name="Normal 2 33 14 3" xfId="3570"/>
    <cellStyle name="Normal 2 33 15" xfId="3571"/>
    <cellStyle name="Normal 2 33 15 2" xfId="3572"/>
    <cellStyle name="Normal 2 33 15 2 2" xfId="3573"/>
    <cellStyle name="Normal 2 33 15 3" xfId="3574"/>
    <cellStyle name="Normal 2 33 16" xfId="3575"/>
    <cellStyle name="Normal 2 33 16 2" xfId="3576"/>
    <cellStyle name="Normal 2 33 16 2 2" xfId="3577"/>
    <cellStyle name="Normal 2 33 16 3" xfId="3578"/>
    <cellStyle name="Normal 2 33 17" xfId="3579"/>
    <cellStyle name="Normal 2 33 17 2" xfId="3580"/>
    <cellStyle name="Normal 2 33 17 2 2" xfId="3581"/>
    <cellStyle name="Normal 2 33 17 3" xfId="3582"/>
    <cellStyle name="Normal 2 33 18" xfId="3583"/>
    <cellStyle name="Normal 2 33 18 2" xfId="3584"/>
    <cellStyle name="Normal 2 33 18 2 2" xfId="3585"/>
    <cellStyle name="Normal 2 33 18 3" xfId="3586"/>
    <cellStyle name="Normal 2 33 19" xfId="3587"/>
    <cellStyle name="Normal 2 33 19 2" xfId="3588"/>
    <cellStyle name="Normal 2 33 19 2 2" xfId="3589"/>
    <cellStyle name="Normal 2 33 19 3" xfId="3590"/>
    <cellStyle name="Normal 2 33 2" xfId="3591"/>
    <cellStyle name="Normal 2 33 2 2" xfId="3592"/>
    <cellStyle name="Normal 2 33 2 2 2" xfId="3593"/>
    <cellStyle name="Normal 2 33 2 3" xfId="3594"/>
    <cellStyle name="Normal 2 33 20" xfId="3595"/>
    <cellStyle name="Normal 2 33 20 2" xfId="3596"/>
    <cellStyle name="Normal 2 33 20 2 2" xfId="3597"/>
    <cellStyle name="Normal 2 33 20 3" xfId="3598"/>
    <cellStyle name="Normal 2 33 21" xfId="3599"/>
    <cellStyle name="Normal 2 33 21 2" xfId="3600"/>
    <cellStyle name="Normal 2 33 21 2 2" xfId="3601"/>
    <cellStyle name="Normal 2 33 21 3" xfId="3602"/>
    <cellStyle name="Normal 2 33 22" xfId="3603"/>
    <cellStyle name="Normal 2 33 22 2" xfId="3604"/>
    <cellStyle name="Normal 2 33 22 2 2" xfId="3605"/>
    <cellStyle name="Normal 2 33 22 3" xfId="3606"/>
    <cellStyle name="Normal 2 33 23" xfId="3607"/>
    <cellStyle name="Normal 2 33 23 2" xfId="3608"/>
    <cellStyle name="Normal 2 33 23 2 2" xfId="3609"/>
    <cellStyle name="Normal 2 33 23 3" xfId="3610"/>
    <cellStyle name="Normal 2 33 24" xfId="3611"/>
    <cellStyle name="Normal 2 33 24 2" xfId="3612"/>
    <cellStyle name="Normal 2 33 25" xfId="3613"/>
    <cellStyle name="Normal 2 33 3" xfId="3614"/>
    <cellStyle name="Normal 2 33 3 2" xfId="3615"/>
    <cellStyle name="Normal 2 33 3 2 2" xfId="3616"/>
    <cellStyle name="Normal 2 33 3 3" xfId="3617"/>
    <cellStyle name="Normal 2 33 4" xfId="3618"/>
    <cellStyle name="Normal 2 33 4 2" xfId="3619"/>
    <cellStyle name="Normal 2 33 4 2 2" xfId="3620"/>
    <cellStyle name="Normal 2 33 4 3" xfId="3621"/>
    <cellStyle name="Normal 2 33 5" xfId="3622"/>
    <cellStyle name="Normal 2 33 5 2" xfId="3623"/>
    <cellStyle name="Normal 2 33 5 2 2" xfId="3624"/>
    <cellStyle name="Normal 2 33 5 3" xfId="3625"/>
    <cellStyle name="Normal 2 33 6" xfId="3626"/>
    <cellStyle name="Normal 2 33 6 2" xfId="3627"/>
    <cellStyle name="Normal 2 33 6 2 2" xfId="3628"/>
    <cellStyle name="Normal 2 33 6 3" xfId="3629"/>
    <cellStyle name="Normal 2 33 7" xfId="3630"/>
    <cellStyle name="Normal 2 33 7 2" xfId="3631"/>
    <cellStyle name="Normal 2 33 7 2 2" xfId="3632"/>
    <cellStyle name="Normal 2 33 7 3" xfId="3633"/>
    <cellStyle name="Normal 2 33 8" xfId="3634"/>
    <cellStyle name="Normal 2 33 8 2" xfId="3635"/>
    <cellStyle name="Normal 2 33 8 2 2" xfId="3636"/>
    <cellStyle name="Normal 2 33 8 3" xfId="3637"/>
    <cellStyle name="Normal 2 33 9" xfId="3638"/>
    <cellStyle name="Normal 2 33 9 2" xfId="3639"/>
    <cellStyle name="Normal 2 33 9 2 2" xfId="3640"/>
    <cellStyle name="Normal 2 33 9 3" xfId="3641"/>
    <cellStyle name="Normal 2 34" xfId="3642"/>
    <cellStyle name="Normal 2 34 10" xfId="3643"/>
    <cellStyle name="Normal 2 34 10 2" xfId="3644"/>
    <cellStyle name="Normal 2 34 10 2 2" xfId="3645"/>
    <cellStyle name="Normal 2 34 10 3" xfId="3646"/>
    <cellStyle name="Normal 2 34 11" xfId="3647"/>
    <cellStyle name="Normal 2 34 11 2" xfId="3648"/>
    <cellStyle name="Normal 2 34 11 2 2" xfId="3649"/>
    <cellStyle name="Normal 2 34 11 3" xfId="3650"/>
    <cellStyle name="Normal 2 34 12" xfId="3651"/>
    <cellStyle name="Normal 2 34 12 2" xfId="3652"/>
    <cellStyle name="Normal 2 34 12 2 2" xfId="3653"/>
    <cellStyle name="Normal 2 34 12 3" xfId="3654"/>
    <cellStyle name="Normal 2 34 13" xfId="3655"/>
    <cellStyle name="Normal 2 34 13 2" xfId="3656"/>
    <cellStyle name="Normal 2 34 13 2 2" xfId="3657"/>
    <cellStyle name="Normal 2 34 13 3" xfId="3658"/>
    <cellStyle name="Normal 2 34 14" xfId="3659"/>
    <cellStyle name="Normal 2 34 14 2" xfId="3660"/>
    <cellStyle name="Normal 2 34 14 2 2" xfId="3661"/>
    <cellStyle name="Normal 2 34 14 3" xfId="3662"/>
    <cellStyle name="Normal 2 34 15" xfId="3663"/>
    <cellStyle name="Normal 2 34 15 2" xfId="3664"/>
    <cellStyle name="Normal 2 34 15 2 2" xfId="3665"/>
    <cellStyle name="Normal 2 34 15 3" xfId="3666"/>
    <cellStyle name="Normal 2 34 16" xfId="3667"/>
    <cellStyle name="Normal 2 34 16 2" xfId="3668"/>
    <cellStyle name="Normal 2 34 16 2 2" xfId="3669"/>
    <cellStyle name="Normal 2 34 16 3" xfId="3670"/>
    <cellStyle name="Normal 2 34 17" xfId="3671"/>
    <cellStyle name="Normal 2 34 17 2" xfId="3672"/>
    <cellStyle name="Normal 2 34 17 2 2" xfId="3673"/>
    <cellStyle name="Normal 2 34 17 3" xfId="3674"/>
    <cellStyle name="Normal 2 34 18" xfId="3675"/>
    <cellStyle name="Normal 2 34 18 2" xfId="3676"/>
    <cellStyle name="Normal 2 34 18 2 2" xfId="3677"/>
    <cellStyle name="Normal 2 34 18 3" xfId="3678"/>
    <cellStyle name="Normal 2 34 19" xfId="3679"/>
    <cellStyle name="Normal 2 34 19 2" xfId="3680"/>
    <cellStyle name="Normal 2 34 19 2 2" xfId="3681"/>
    <cellStyle name="Normal 2 34 19 3" xfId="3682"/>
    <cellStyle name="Normal 2 34 2" xfId="3683"/>
    <cellStyle name="Normal 2 34 2 2" xfId="3684"/>
    <cellStyle name="Normal 2 34 2 2 2" xfId="3685"/>
    <cellStyle name="Normal 2 34 2 3" xfId="3686"/>
    <cellStyle name="Normal 2 34 20" xfId="3687"/>
    <cellStyle name="Normal 2 34 20 2" xfId="3688"/>
    <cellStyle name="Normal 2 34 20 2 2" xfId="3689"/>
    <cellStyle name="Normal 2 34 20 3" xfId="3690"/>
    <cellStyle name="Normal 2 34 21" xfId="3691"/>
    <cellStyle name="Normal 2 34 21 2" xfId="3692"/>
    <cellStyle name="Normal 2 34 21 2 2" xfId="3693"/>
    <cellStyle name="Normal 2 34 21 3" xfId="3694"/>
    <cellStyle name="Normal 2 34 22" xfId="3695"/>
    <cellStyle name="Normal 2 34 22 2" xfId="3696"/>
    <cellStyle name="Normal 2 34 22 2 2" xfId="3697"/>
    <cellStyle name="Normal 2 34 22 3" xfId="3698"/>
    <cellStyle name="Normal 2 34 23" xfId="3699"/>
    <cellStyle name="Normal 2 34 23 2" xfId="3700"/>
    <cellStyle name="Normal 2 34 23 2 2" xfId="3701"/>
    <cellStyle name="Normal 2 34 23 3" xfId="3702"/>
    <cellStyle name="Normal 2 34 24" xfId="3703"/>
    <cellStyle name="Normal 2 34 24 2" xfId="3704"/>
    <cellStyle name="Normal 2 34 25" xfId="3705"/>
    <cellStyle name="Normal 2 34 3" xfId="3706"/>
    <cellStyle name="Normal 2 34 3 2" xfId="3707"/>
    <cellStyle name="Normal 2 34 3 2 2" xfId="3708"/>
    <cellStyle name="Normal 2 34 3 3" xfId="3709"/>
    <cellStyle name="Normal 2 34 4" xfId="3710"/>
    <cellStyle name="Normal 2 34 4 2" xfId="3711"/>
    <cellStyle name="Normal 2 34 4 2 2" xfId="3712"/>
    <cellStyle name="Normal 2 34 4 3" xfId="3713"/>
    <cellStyle name="Normal 2 34 5" xfId="3714"/>
    <cellStyle name="Normal 2 34 5 2" xfId="3715"/>
    <cellStyle name="Normal 2 34 5 2 2" xfId="3716"/>
    <cellStyle name="Normal 2 34 5 3" xfId="3717"/>
    <cellStyle name="Normal 2 34 6" xfId="3718"/>
    <cellStyle name="Normal 2 34 6 2" xfId="3719"/>
    <cellStyle name="Normal 2 34 6 2 2" xfId="3720"/>
    <cellStyle name="Normal 2 34 6 3" xfId="3721"/>
    <cellStyle name="Normal 2 34 7" xfId="3722"/>
    <cellStyle name="Normal 2 34 7 2" xfId="3723"/>
    <cellStyle name="Normal 2 34 7 2 2" xfId="3724"/>
    <cellStyle name="Normal 2 34 7 3" xfId="3725"/>
    <cellStyle name="Normal 2 34 8" xfId="3726"/>
    <cellStyle name="Normal 2 34 8 2" xfId="3727"/>
    <cellStyle name="Normal 2 34 8 2 2" xfId="3728"/>
    <cellStyle name="Normal 2 34 8 3" xfId="3729"/>
    <cellStyle name="Normal 2 34 9" xfId="3730"/>
    <cellStyle name="Normal 2 34 9 2" xfId="3731"/>
    <cellStyle name="Normal 2 34 9 2 2" xfId="3732"/>
    <cellStyle name="Normal 2 34 9 3" xfId="3733"/>
    <cellStyle name="Normal 2 35" xfId="3734"/>
    <cellStyle name="Normal 2 35 10" xfId="3735"/>
    <cellStyle name="Normal 2 35 10 2" xfId="3736"/>
    <cellStyle name="Normal 2 35 10 2 2" xfId="3737"/>
    <cellStyle name="Normal 2 35 10 3" xfId="3738"/>
    <cellStyle name="Normal 2 35 11" xfId="3739"/>
    <cellStyle name="Normal 2 35 11 2" xfId="3740"/>
    <cellStyle name="Normal 2 35 11 2 2" xfId="3741"/>
    <cellStyle name="Normal 2 35 11 3" xfId="3742"/>
    <cellStyle name="Normal 2 35 12" xfId="3743"/>
    <cellStyle name="Normal 2 35 12 2" xfId="3744"/>
    <cellStyle name="Normal 2 35 12 2 2" xfId="3745"/>
    <cellStyle name="Normal 2 35 12 3" xfId="3746"/>
    <cellStyle name="Normal 2 35 13" xfId="3747"/>
    <cellStyle name="Normal 2 35 13 2" xfId="3748"/>
    <cellStyle name="Normal 2 35 13 2 2" xfId="3749"/>
    <cellStyle name="Normal 2 35 13 3" xfId="3750"/>
    <cellStyle name="Normal 2 35 14" xfId="3751"/>
    <cellStyle name="Normal 2 35 14 2" xfId="3752"/>
    <cellStyle name="Normal 2 35 14 2 2" xfId="3753"/>
    <cellStyle name="Normal 2 35 14 3" xfId="3754"/>
    <cellStyle name="Normal 2 35 15" xfId="3755"/>
    <cellStyle name="Normal 2 35 15 2" xfId="3756"/>
    <cellStyle name="Normal 2 35 15 2 2" xfId="3757"/>
    <cellStyle name="Normal 2 35 15 3" xfId="3758"/>
    <cellStyle name="Normal 2 35 16" xfId="3759"/>
    <cellStyle name="Normal 2 35 16 2" xfId="3760"/>
    <cellStyle name="Normal 2 35 16 2 2" xfId="3761"/>
    <cellStyle name="Normal 2 35 16 3" xfId="3762"/>
    <cellStyle name="Normal 2 35 17" xfId="3763"/>
    <cellStyle name="Normal 2 35 17 2" xfId="3764"/>
    <cellStyle name="Normal 2 35 17 2 2" xfId="3765"/>
    <cellStyle name="Normal 2 35 17 3" xfId="3766"/>
    <cellStyle name="Normal 2 35 18" xfId="3767"/>
    <cellStyle name="Normal 2 35 18 2" xfId="3768"/>
    <cellStyle name="Normal 2 35 18 2 2" xfId="3769"/>
    <cellStyle name="Normal 2 35 18 3" xfId="3770"/>
    <cellStyle name="Normal 2 35 19" xfId="3771"/>
    <cellStyle name="Normal 2 35 19 2" xfId="3772"/>
    <cellStyle name="Normal 2 35 19 2 2" xfId="3773"/>
    <cellStyle name="Normal 2 35 19 3" xfId="3774"/>
    <cellStyle name="Normal 2 35 2" xfId="3775"/>
    <cellStyle name="Normal 2 35 2 2" xfId="3776"/>
    <cellStyle name="Normal 2 35 2 2 2" xfId="3777"/>
    <cellStyle name="Normal 2 35 2 3" xfId="3778"/>
    <cellStyle name="Normal 2 35 20" xfId="3779"/>
    <cellStyle name="Normal 2 35 20 2" xfId="3780"/>
    <cellStyle name="Normal 2 35 20 2 2" xfId="3781"/>
    <cellStyle name="Normal 2 35 20 3" xfId="3782"/>
    <cellStyle name="Normal 2 35 21" xfId="3783"/>
    <cellStyle name="Normal 2 35 21 2" xfId="3784"/>
    <cellStyle name="Normal 2 35 21 2 2" xfId="3785"/>
    <cellStyle name="Normal 2 35 21 3" xfId="3786"/>
    <cellStyle name="Normal 2 35 22" xfId="3787"/>
    <cellStyle name="Normal 2 35 22 2" xfId="3788"/>
    <cellStyle name="Normal 2 35 22 2 2" xfId="3789"/>
    <cellStyle name="Normal 2 35 22 3" xfId="3790"/>
    <cellStyle name="Normal 2 35 23" xfId="3791"/>
    <cellStyle name="Normal 2 35 23 2" xfId="3792"/>
    <cellStyle name="Normal 2 35 23 2 2" xfId="3793"/>
    <cellStyle name="Normal 2 35 23 3" xfId="3794"/>
    <cellStyle name="Normal 2 35 24" xfId="3795"/>
    <cellStyle name="Normal 2 35 24 2" xfId="3796"/>
    <cellStyle name="Normal 2 35 25" xfId="3797"/>
    <cellStyle name="Normal 2 35 3" xfId="3798"/>
    <cellStyle name="Normal 2 35 3 2" xfId="3799"/>
    <cellStyle name="Normal 2 35 3 2 2" xfId="3800"/>
    <cellStyle name="Normal 2 35 3 3" xfId="3801"/>
    <cellStyle name="Normal 2 35 4" xfId="3802"/>
    <cellStyle name="Normal 2 35 4 2" xfId="3803"/>
    <cellStyle name="Normal 2 35 4 2 2" xfId="3804"/>
    <cellStyle name="Normal 2 35 4 3" xfId="3805"/>
    <cellStyle name="Normal 2 35 5" xfId="3806"/>
    <cellStyle name="Normal 2 35 5 2" xfId="3807"/>
    <cellStyle name="Normal 2 35 5 2 2" xfId="3808"/>
    <cellStyle name="Normal 2 35 5 3" xfId="3809"/>
    <cellStyle name="Normal 2 35 6" xfId="3810"/>
    <cellStyle name="Normal 2 35 6 2" xfId="3811"/>
    <cellStyle name="Normal 2 35 6 2 2" xfId="3812"/>
    <cellStyle name="Normal 2 35 6 3" xfId="3813"/>
    <cellStyle name="Normal 2 35 7" xfId="3814"/>
    <cellStyle name="Normal 2 35 7 2" xfId="3815"/>
    <cellStyle name="Normal 2 35 7 2 2" xfId="3816"/>
    <cellStyle name="Normal 2 35 7 3" xfId="3817"/>
    <cellStyle name="Normal 2 35 8" xfId="3818"/>
    <cellStyle name="Normal 2 35 8 2" xfId="3819"/>
    <cellStyle name="Normal 2 35 8 2 2" xfId="3820"/>
    <cellStyle name="Normal 2 35 8 3" xfId="3821"/>
    <cellStyle name="Normal 2 35 9" xfId="3822"/>
    <cellStyle name="Normal 2 35 9 2" xfId="3823"/>
    <cellStyle name="Normal 2 35 9 2 2" xfId="3824"/>
    <cellStyle name="Normal 2 35 9 3" xfId="3825"/>
    <cellStyle name="Normal 2 36" xfId="3826"/>
    <cellStyle name="Normal 2 36 10" xfId="3827"/>
    <cellStyle name="Normal 2 36 10 2" xfId="3828"/>
    <cellStyle name="Normal 2 36 10 2 2" xfId="3829"/>
    <cellStyle name="Normal 2 36 10 3" xfId="3830"/>
    <cellStyle name="Normal 2 36 11" xfId="3831"/>
    <cellStyle name="Normal 2 36 11 2" xfId="3832"/>
    <cellStyle name="Normal 2 36 11 2 2" xfId="3833"/>
    <cellStyle name="Normal 2 36 11 3" xfId="3834"/>
    <cellStyle name="Normal 2 36 12" xfId="3835"/>
    <cellStyle name="Normal 2 36 12 2" xfId="3836"/>
    <cellStyle name="Normal 2 36 12 2 2" xfId="3837"/>
    <cellStyle name="Normal 2 36 12 3" xfId="3838"/>
    <cellStyle name="Normal 2 36 13" xfId="3839"/>
    <cellStyle name="Normal 2 36 13 2" xfId="3840"/>
    <cellStyle name="Normal 2 36 13 2 2" xfId="3841"/>
    <cellStyle name="Normal 2 36 13 3" xfId="3842"/>
    <cellStyle name="Normal 2 36 14" xfId="3843"/>
    <cellStyle name="Normal 2 36 14 2" xfId="3844"/>
    <cellStyle name="Normal 2 36 14 2 2" xfId="3845"/>
    <cellStyle name="Normal 2 36 14 3" xfId="3846"/>
    <cellStyle name="Normal 2 36 15" xfId="3847"/>
    <cellStyle name="Normal 2 36 15 2" xfId="3848"/>
    <cellStyle name="Normal 2 36 15 2 2" xfId="3849"/>
    <cellStyle name="Normal 2 36 15 3" xfId="3850"/>
    <cellStyle name="Normal 2 36 16" xfId="3851"/>
    <cellStyle name="Normal 2 36 16 2" xfId="3852"/>
    <cellStyle name="Normal 2 36 16 2 2" xfId="3853"/>
    <cellStyle name="Normal 2 36 16 3" xfId="3854"/>
    <cellStyle name="Normal 2 36 17" xfId="3855"/>
    <cellStyle name="Normal 2 36 17 2" xfId="3856"/>
    <cellStyle name="Normal 2 36 17 2 2" xfId="3857"/>
    <cellStyle name="Normal 2 36 17 3" xfId="3858"/>
    <cellStyle name="Normal 2 36 18" xfId="3859"/>
    <cellStyle name="Normal 2 36 18 2" xfId="3860"/>
    <cellStyle name="Normal 2 36 18 2 2" xfId="3861"/>
    <cellStyle name="Normal 2 36 18 3" xfId="3862"/>
    <cellStyle name="Normal 2 36 19" xfId="3863"/>
    <cellStyle name="Normal 2 36 19 2" xfId="3864"/>
    <cellStyle name="Normal 2 36 19 2 2" xfId="3865"/>
    <cellStyle name="Normal 2 36 19 3" xfId="3866"/>
    <cellStyle name="Normal 2 36 2" xfId="3867"/>
    <cellStyle name="Normal 2 36 2 2" xfId="3868"/>
    <cellStyle name="Normal 2 36 2 2 2" xfId="3869"/>
    <cellStyle name="Normal 2 36 2 3" xfId="3870"/>
    <cellStyle name="Normal 2 36 20" xfId="3871"/>
    <cellStyle name="Normal 2 36 20 2" xfId="3872"/>
    <cellStyle name="Normal 2 36 20 2 2" xfId="3873"/>
    <cellStyle name="Normal 2 36 20 3" xfId="3874"/>
    <cellStyle name="Normal 2 36 21" xfId="3875"/>
    <cellStyle name="Normal 2 36 21 2" xfId="3876"/>
    <cellStyle name="Normal 2 36 21 2 2" xfId="3877"/>
    <cellStyle name="Normal 2 36 21 3" xfId="3878"/>
    <cellStyle name="Normal 2 36 22" xfId="3879"/>
    <cellStyle name="Normal 2 36 22 2" xfId="3880"/>
    <cellStyle name="Normal 2 36 22 2 2" xfId="3881"/>
    <cellStyle name="Normal 2 36 22 3" xfId="3882"/>
    <cellStyle name="Normal 2 36 23" xfId="3883"/>
    <cellStyle name="Normal 2 36 23 2" xfId="3884"/>
    <cellStyle name="Normal 2 36 23 2 2" xfId="3885"/>
    <cellStyle name="Normal 2 36 23 3" xfId="3886"/>
    <cellStyle name="Normal 2 36 24" xfId="3887"/>
    <cellStyle name="Normal 2 36 24 2" xfId="3888"/>
    <cellStyle name="Normal 2 36 25" xfId="3889"/>
    <cellStyle name="Normal 2 36 3" xfId="3890"/>
    <cellStyle name="Normal 2 36 3 2" xfId="3891"/>
    <cellStyle name="Normal 2 36 3 2 2" xfId="3892"/>
    <cellStyle name="Normal 2 36 3 3" xfId="3893"/>
    <cellStyle name="Normal 2 36 4" xfId="3894"/>
    <cellStyle name="Normal 2 36 4 2" xfId="3895"/>
    <cellStyle name="Normal 2 36 4 2 2" xfId="3896"/>
    <cellStyle name="Normal 2 36 4 3" xfId="3897"/>
    <cellStyle name="Normal 2 36 5" xfId="3898"/>
    <cellStyle name="Normal 2 36 5 2" xfId="3899"/>
    <cellStyle name="Normal 2 36 5 2 2" xfId="3900"/>
    <cellStyle name="Normal 2 36 5 3" xfId="3901"/>
    <cellStyle name="Normal 2 36 6" xfId="3902"/>
    <cellStyle name="Normal 2 36 6 2" xfId="3903"/>
    <cellStyle name="Normal 2 36 6 2 2" xfId="3904"/>
    <cellStyle name="Normal 2 36 6 3" xfId="3905"/>
    <cellStyle name="Normal 2 36 7" xfId="3906"/>
    <cellStyle name="Normal 2 36 7 2" xfId="3907"/>
    <cellStyle name="Normal 2 36 7 2 2" xfId="3908"/>
    <cellStyle name="Normal 2 36 7 3" xfId="3909"/>
    <cellStyle name="Normal 2 36 8" xfId="3910"/>
    <cellStyle name="Normal 2 36 8 2" xfId="3911"/>
    <cellStyle name="Normal 2 36 8 2 2" xfId="3912"/>
    <cellStyle name="Normal 2 36 8 3" xfId="3913"/>
    <cellStyle name="Normal 2 36 9" xfId="3914"/>
    <cellStyle name="Normal 2 36 9 2" xfId="3915"/>
    <cellStyle name="Normal 2 36 9 2 2" xfId="3916"/>
    <cellStyle name="Normal 2 36 9 3" xfId="3917"/>
    <cellStyle name="Normal 2 37" xfId="3918"/>
    <cellStyle name="Normal 2 37 10" xfId="3919"/>
    <cellStyle name="Normal 2 37 10 2" xfId="3920"/>
    <cellStyle name="Normal 2 37 10 2 2" xfId="3921"/>
    <cellStyle name="Normal 2 37 10 3" xfId="3922"/>
    <cellStyle name="Normal 2 37 11" xfId="3923"/>
    <cellStyle name="Normal 2 37 11 2" xfId="3924"/>
    <cellStyle name="Normal 2 37 11 2 2" xfId="3925"/>
    <cellStyle name="Normal 2 37 11 3" xfId="3926"/>
    <cellStyle name="Normal 2 37 12" xfId="3927"/>
    <cellStyle name="Normal 2 37 12 2" xfId="3928"/>
    <cellStyle name="Normal 2 37 12 2 2" xfId="3929"/>
    <cellStyle name="Normal 2 37 12 3" xfId="3930"/>
    <cellStyle name="Normal 2 37 13" xfId="3931"/>
    <cellStyle name="Normal 2 37 13 2" xfId="3932"/>
    <cellStyle name="Normal 2 37 13 2 2" xfId="3933"/>
    <cellStyle name="Normal 2 37 13 3" xfId="3934"/>
    <cellStyle name="Normal 2 37 14" xfId="3935"/>
    <cellStyle name="Normal 2 37 14 2" xfId="3936"/>
    <cellStyle name="Normal 2 37 14 2 2" xfId="3937"/>
    <cellStyle name="Normal 2 37 14 3" xfId="3938"/>
    <cellStyle name="Normal 2 37 15" xfId="3939"/>
    <cellStyle name="Normal 2 37 15 2" xfId="3940"/>
    <cellStyle name="Normal 2 37 15 2 2" xfId="3941"/>
    <cellStyle name="Normal 2 37 15 3" xfId="3942"/>
    <cellStyle name="Normal 2 37 16" xfId="3943"/>
    <cellStyle name="Normal 2 37 16 2" xfId="3944"/>
    <cellStyle name="Normal 2 37 16 2 2" xfId="3945"/>
    <cellStyle name="Normal 2 37 16 3" xfId="3946"/>
    <cellStyle name="Normal 2 37 17" xfId="3947"/>
    <cellStyle name="Normal 2 37 17 2" xfId="3948"/>
    <cellStyle name="Normal 2 37 17 2 2" xfId="3949"/>
    <cellStyle name="Normal 2 37 17 3" xfId="3950"/>
    <cellStyle name="Normal 2 37 18" xfId="3951"/>
    <cellStyle name="Normal 2 37 18 2" xfId="3952"/>
    <cellStyle name="Normal 2 37 18 2 2" xfId="3953"/>
    <cellStyle name="Normal 2 37 18 3" xfId="3954"/>
    <cellStyle name="Normal 2 37 19" xfId="3955"/>
    <cellStyle name="Normal 2 37 19 2" xfId="3956"/>
    <cellStyle name="Normal 2 37 19 2 2" xfId="3957"/>
    <cellStyle name="Normal 2 37 19 3" xfId="3958"/>
    <cellStyle name="Normal 2 37 2" xfId="3959"/>
    <cellStyle name="Normal 2 37 2 2" xfId="3960"/>
    <cellStyle name="Normal 2 37 2 2 2" xfId="3961"/>
    <cellStyle name="Normal 2 37 2 3" xfId="3962"/>
    <cellStyle name="Normal 2 37 20" xfId="3963"/>
    <cellStyle name="Normal 2 37 20 2" xfId="3964"/>
    <cellStyle name="Normal 2 37 20 2 2" xfId="3965"/>
    <cellStyle name="Normal 2 37 20 3" xfId="3966"/>
    <cellStyle name="Normal 2 37 21" xfId="3967"/>
    <cellStyle name="Normal 2 37 21 2" xfId="3968"/>
    <cellStyle name="Normal 2 37 21 2 2" xfId="3969"/>
    <cellStyle name="Normal 2 37 21 3" xfId="3970"/>
    <cellStyle name="Normal 2 37 22" xfId="3971"/>
    <cellStyle name="Normal 2 37 22 2" xfId="3972"/>
    <cellStyle name="Normal 2 37 22 2 2" xfId="3973"/>
    <cellStyle name="Normal 2 37 22 3" xfId="3974"/>
    <cellStyle name="Normal 2 37 23" xfId="3975"/>
    <cellStyle name="Normal 2 37 23 2" xfId="3976"/>
    <cellStyle name="Normal 2 37 23 2 2" xfId="3977"/>
    <cellStyle name="Normal 2 37 23 3" xfId="3978"/>
    <cellStyle name="Normal 2 37 24" xfId="3979"/>
    <cellStyle name="Normal 2 37 24 2" xfId="3980"/>
    <cellStyle name="Normal 2 37 25" xfId="3981"/>
    <cellStyle name="Normal 2 37 3" xfId="3982"/>
    <cellStyle name="Normal 2 37 3 2" xfId="3983"/>
    <cellStyle name="Normal 2 37 3 2 2" xfId="3984"/>
    <cellStyle name="Normal 2 37 3 3" xfId="3985"/>
    <cellStyle name="Normal 2 37 4" xfId="3986"/>
    <cellStyle name="Normal 2 37 4 2" xfId="3987"/>
    <cellStyle name="Normal 2 37 4 2 2" xfId="3988"/>
    <cellStyle name="Normal 2 37 4 3" xfId="3989"/>
    <cellStyle name="Normal 2 37 5" xfId="3990"/>
    <cellStyle name="Normal 2 37 5 2" xfId="3991"/>
    <cellStyle name="Normal 2 37 5 2 2" xfId="3992"/>
    <cellStyle name="Normal 2 37 5 3" xfId="3993"/>
    <cellStyle name="Normal 2 37 6" xfId="3994"/>
    <cellStyle name="Normal 2 37 6 2" xfId="3995"/>
    <cellStyle name="Normal 2 37 6 2 2" xfId="3996"/>
    <cellStyle name="Normal 2 37 6 3" xfId="3997"/>
    <cellStyle name="Normal 2 37 7" xfId="3998"/>
    <cellStyle name="Normal 2 37 7 2" xfId="3999"/>
    <cellStyle name="Normal 2 37 7 2 2" xfId="4000"/>
    <cellStyle name="Normal 2 37 7 3" xfId="4001"/>
    <cellStyle name="Normal 2 37 8" xfId="4002"/>
    <cellStyle name="Normal 2 37 8 2" xfId="4003"/>
    <cellStyle name="Normal 2 37 8 2 2" xfId="4004"/>
    <cellStyle name="Normal 2 37 8 3" xfId="4005"/>
    <cellStyle name="Normal 2 37 9" xfId="4006"/>
    <cellStyle name="Normal 2 37 9 2" xfId="4007"/>
    <cellStyle name="Normal 2 37 9 2 2" xfId="4008"/>
    <cellStyle name="Normal 2 37 9 3" xfId="4009"/>
    <cellStyle name="Normal 2 38" xfId="4010"/>
    <cellStyle name="Normal 2 38 10" xfId="4011"/>
    <cellStyle name="Normal 2 38 10 2" xfId="4012"/>
    <cellStyle name="Normal 2 38 10 2 2" xfId="4013"/>
    <cellStyle name="Normal 2 38 10 3" xfId="4014"/>
    <cellStyle name="Normal 2 38 11" xfId="4015"/>
    <cellStyle name="Normal 2 38 11 2" xfId="4016"/>
    <cellStyle name="Normal 2 38 11 2 2" xfId="4017"/>
    <cellStyle name="Normal 2 38 11 3" xfId="4018"/>
    <cellStyle name="Normal 2 38 12" xfId="4019"/>
    <cellStyle name="Normal 2 38 12 2" xfId="4020"/>
    <cellStyle name="Normal 2 38 12 2 2" xfId="4021"/>
    <cellStyle name="Normal 2 38 12 3" xfId="4022"/>
    <cellStyle name="Normal 2 38 13" xfId="4023"/>
    <cellStyle name="Normal 2 38 13 2" xfId="4024"/>
    <cellStyle name="Normal 2 38 13 2 2" xfId="4025"/>
    <cellStyle name="Normal 2 38 13 3" xfId="4026"/>
    <cellStyle name="Normal 2 38 14" xfId="4027"/>
    <cellStyle name="Normal 2 38 14 2" xfId="4028"/>
    <cellStyle name="Normal 2 38 14 2 2" xfId="4029"/>
    <cellStyle name="Normal 2 38 14 3" xfId="4030"/>
    <cellStyle name="Normal 2 38 15" xfId="4031"/>
    <cellStyle name="Normal 2 38 15 2" xfId="4032"/>
    <cellStyle name="Normal 2 38 15 2 2" xfId="4033"/>
    <cellStyle name="Normal 2 38 15 3" xfId="4034"/>
    <cellStyle name="Normal 2 38 16" xfId="4035"/>
    <cellStyle name="Normal 2 38 16 2" xfId="4036"/>
    <cellStyle name="Normal 2 38 16 2 2" xfId="4037"/>
    <cellStyle name="Normal 2 38 16 3" xfId="4038"/>
    <cellStyle name="Normal 2 38 17" xfId="4039"/>
    <cellStyle name="Normal 2 38 17 2" xfId="4040"/>
    <cellStyle name="Normal 2 38 17 2 2" xfId="4041"/>
    <cellStyle name="Normal 2 38 17 3" xfId="4042"/>
    <cellStyle name="Normal 2 38 18" xfId="4043"/>
    <cellStyle name="Normal 2 38 18 2" xfId="4044"/>
    <cellStyle name="Normal 2 38 18 2 2" xfId="4045"/>
    <cellStyle name="Normal 2 38 18 3" xfId="4046"/>
    <cellStyle name="Normal 2 38 19" xfId="4047"/>
    <cellStyle name="Normal 2 38 19 2" xfId="4048"/>
    <cellStyle name="Normal 2 38 19 2 2" xfId="4049"/>
    <cellStyle name="Normal 2 38 19 3" xfId="4050"/>
    <cellStyle name="Normal 2 38 2" xfId="4051"/>
    <cellStyle name="Normal 2 38 2 2" xfId="4052"/>
    <cellStyle name="Normal 2 38 2 2 2" xfId="4053"/>
    <cellStyle name="Normal 2 38 2 3" xfId="4054"/>
    <cellStyle name="Normal 2 38 20" xfId="4055"/>
    <cellStyle name="Normal 2 38 20 2" xfId="4056"/>
    <cellStyle name="Normal 2 38 20 2 2" xfId="4057"/>
    <cellStyle name="Normal 2 38 20 3" xfId="4058"/>
    <cellStyle name="Normal 2 38 21" xfId="4059"/>
    <cellStyle name="Normal 2 38 21 2" xfId="4060"/>
    <cellStyle name="Normal 2 38 21 2 2" xfId="4061"/>
    <cellStyle name="Normal 2 38 21 3" xfId="4062"/>
    <cellStyle name="Normal 2 38 22" xfId="4063"/>
    <cellStyle name="Normal 2 38 22 2" xfId="4064"/>
    <cellStyle name="Normal 2 38 22 2 2" xfId="4065"/>
    <cellStyle name="Normal 2 38 22 3" xfId="4066"/>
    <cellStyle name="Normal 2 38 23" xfId="4067"/>
    <cellStyle name="Normal 2 38 23 2" xfId="4068"/>
    <cellStyle name="Normal 2 38 23 2 2" xfId="4069"/>
    <cellStyle name="Normal 2 38 23 3" xfId="4070"/>
    <cellStyle name="Normal 2 38 24" xfId="4071"/>
    <cellStyle name="Normal 2 38 24 2" xfId="4072"/>
    <cellStyle name="Normal 2 38 25" xfId="4073"/>
    <cellStyle name="Normal 2 38 3" xfId="4074"/>
    <cellStyle name="Normal 2 38 3 2" xfId="4075"/>
    <cellStyle name="Normal 2 38 3 2 2" xfId="4076"/>
    <cellStyle name="Normal 2 38 3 3" xfId="4077"/>
    <cellStyle name="Normal 2 38 4" xfId="4078"/>
    <cellStyle name="Normal 2 38 4 2" xfId="4079"/>
    <cellStyle name="Normal 2 38 4 2 2" xfId="4080"/>
    <cellStyle name="Normal 2 38 4 3" xfId="4081"/>
    <cellStyle name="Normal 2 38 5" xfId="4082"/>
    <cellStyle name="Normal 2 38 5 2" xfId="4083"/>
    <cellStyle name="Normal 2 38 5 2 2" xfId="4084"/>
    <cellStyle name="Normal 2 38 5 3" xfId="4085"/>
    <cellStyle name="Normal 2 38 6" xfId="4086"/>
    <cellStyle name="Normal 2 38 6 2" xfId="4087"/>
    <cellStyle name="Normal 2 38 6 2 2" xfId="4088"/>
    <cellStyle name="Normal 2 38 6 3" xfId="4089"/>
    <cellStyle name="Normal 2 38 7" xfId="4090"/>
    <cellStyle name="Normal 2 38 7 2" xfId="4091"/>
    <cellStyle name="Normal 2 38 7 2 2" xfId="4092"/>
    <cellStyle name="Normal 2 38 7 3" xfId="4093"/>
    <cellStyle name="Normal 2 38 8" xfId="4094"/>
    <cellStyle name="Normal 2 38 8 2" xfId="4095"/>
    <cellStyle name="Normal 2 38 8 2 2" xfId="4096"/>
    <cellStyle name="Normal 2 38 8 3" xfId="4097"/>
    <cellStyle name="Normal 2 38 9" xfId="4098"/>
    <cellStyle name="Normal 2 38 9 2" xfId="4099"/>
    <cellStyle name="Normal 2 38 9 2 2" xfId="4100"/>
    <cellStyle name="Normal 2 38 9 3" xfId="4101"/>
    <cellStyle name="Normal 2 39" xfId="4102"/>
    <cellStyle name="Normal 2 39 10" xfId="4103"/>
    <cellStyle name="Normal 2 39 10 2" xfId="4104"/>
    <cellStyle name="Normal 2 39 10 2 2" xfId="4105"/>
    <cellStyle name="Normal 2 39 10 3" xfId="4106"/>
    <cellStyle name="Normal 2 39 11" xfId="4107"/>
    <cellStyle name="Normal 2 39 11 2" xfId="4108"/>
    <cellStyle name="Normal 2 39 11 2 2" xfId="4109"/>
    <cellStyle name="Normal 2 39 11 3" xfId="4110"/>
    <cellStyle name="Normal 2 39 12" xfId="4111"/>
    <cellStyle name="Normal 2 39 12 2" xfId="4112"/>
    <cellStyle name="Normal 2 39 12 2 2" xfId="4113"/>
    <cellStyle name="Normal 2 39 12 3" xfId="4114"/>
    <cellStyle name="Normal 2 39 13" xfId="4115"/>
    <cellStyle name="Normal 2 39 13 2" xfId="4116"/>
    <cellStyle name="Normal 2 39 13 2 2" xfId="4117"/>
    <cellStyle name="Normal 2 39 13 3" xfId="4118"/>
    <cellStyle name="Normal 2 39 14" xfId="4119"/>
    <cellStyle name="Normal 2 39 14 2" xfId="4120"/>
    <cellStyle name="Normal 2 39 14 2 2" xfId="4121"/>
    <cellStyle name="Normal 2 39 14 3" xfId="4122"/>
    <cellStyle name="Normal 2 39 15" xfId="4123"/>
    <cellStyle name="Normal 2 39 15 2" xfId="4124"/>
    <cellStyle name="Normal 2 39 15 2 2" xfId="4125"/>
    <cellStyle name="Normal 2 39 15 3" xfId="4126"/>
    <cellStyle name="Normal 2 39 16" xfId="4127"/>
    <cellStyle name="Normal 2 39 16 2" xfId="4128"/>
    <cellStyle name="Normal 2 39 16 2 2" xfId="4129"/>
    <cellStyle name="Normal 2 39 16 3" xfId="4130"/>
    <cellStyle name="Normal 2 39 17" xfId="4131"/>
    <cellStyle name="Normal 2 39 17 2" xfId="4132"/>
    <cellStyle name="Normal 2 39 17 2 2" xfId="4133"/>
    <cellStyle name="Normal 2 39 17 3" xfId="4134"/>
    <cellStyle name="Normal 2 39 18" xfId="4135"/>
    <cellStyle name="Normal 2 39 18 2" xfId="4136"/>
    <cellStyle name="Normal 2 39 18 2 2" xfId="4137"/>
    <cellStyle name="Normal 2 39 18 3" xfId="4138"/>
    <cellStyle name="Normal 2 39 19" xfId="4139"/>
    <cellStyle name="Normal 2 39 19 2" xfId="4140"/>
    <cellStyle name="Normal 2 39 19 2 2" xfId="4141"/>
    <cellStyle name="Normal 2 39 19 3" xfId="4142"/>
    <cellStyle name="Normal 2 39 2" xfId="4143"/>
    <cellStyle name="Normal 2 39 2 2" xfId="4144"/>
    <cellStyle name="Normal 2 39 2 2 2" xfId="4145"/>
    <cellStyle name="Normal 2 39 2 3" xfId="4146"/>
    <cellStyle name="Normal 2 39 20" xfId="4147"/>
    <cellStyle name="Normal 2 39 20 2" xfId="4148"/>
    <cellStyle name="Normal 2 39 20 2 2" xfId="4149"/>
    <cellStyle name="Normal 2 39 20 3" xfId="4150"/>
    <cellStyle name="Normal 2 39 21" xfId="4151"/>
    <cellStyle name="Normal 2 39 21 2" xfId="4152"/>
    <cellStyle name="Normal 2 39 21 2 2" xfId="4153"/>
    <cellStyle name="Normal 2 39 21 3" xfId="4154"/>
    <cellStyle name="Normal 2 39 22" xfId="4155"/>
    <cellStyle name="Normal 2 39 22 2" xfId="4156"/>
    <cellStyle name="Normal 2 39 22 2 2" xfId="4157"/>
    <cellStyle name="Normal 2 39 22 3" xfId="4158"/>
    <cellStyle name="Normal 2 39 23" xfId="4159"/>
    <cellStyle name="Normal 2 39 23 2" xfId="4160"/>
    <cellStyle name="Normal 2 39 23 2 2" xfId="4161"/>
    <cellStyle name="Normal 2 39 23 3" xfId="4162"/>
    <cellStyle name="Normal 2 39 24" xfId="4163"/>
    <cellStyle name="Normal 2 39 24 2" xfId="4164"/>
    <cellStyle name="Normal 2 39 25" xfId="4165"/>
    <cellStyle name="Normal 2 39 3" xfId="4166"/>
    <cellStyle name="Normal 2 39 3 2" xfId="4167"/>
    <cellStyle name="Normal 2 39 3 2 2" xfId="4168"/>
    <cellStyle name="Normal 2 39 3 3" xfId="4169"/>
    <cellStyle name="Normal 2 39 4" xfId="4170"/>
    <cellStyle name="Normal 2 39 4 2" xfId="4171"/>
    <cellStyle name="Normal 2 39 4 2 2" xfId="4172"/>
    <cellStyle name="Normal 2 39 4 3" xfId="4173"/>
    <cellStyle name="Normal 2 39 5" xfId="4174"/>
    <cellStyle name="Normal 2 39 5 2" xfId="4175"/>
    <cellStyle name="Normal 2 39 5 2 2" xfId="4176"/>
    <cellStyle name="Normal 2 39 5 3" xfId="4177"/>
    <cellStyle name="Normal 2 39 6" xfId="4178"/>
    <cellStyle name="Normal 2 39 6 2" xfId="4179"/>
    <cellStyle name="Normal 2 39 6 2 2" xfId="4180"/>
    <cellStyle name="Normal 2 39 6 3" xfId="4181"/>
    <cellStyle name="Normal 2 39 7" xfId="4182"/>
    <cellStyle name="Normal 2 39 7 2" xfId="4183"/>
    <cellStyle name="Normal 2 39 7 2 2" xfId="4184"/>
    <cellStyle name="Normal 2 39 7 3" xfId="4185"/>
    <cellStyle name="Normal 2 39 8" xfId="4186"/>
    <cellStyle name="Normal 2 39 8 2" xfId="4187"/>
    <cellStyle name="Normal 2 39 8 2 2" xfId="4188"/>
    <cellStyle name="Normal 2 39 8 3" xfId="4189"/>
    <cellStyle name="Normal 2 39 9" xfId="4190"/>
    <cellStyle name="Normal 2 39 9 2" xfId="4191"/>
    <cellStyle name="Normal 2 39 9 2 2" xfId="4192"/>
    <cellStyle name="Normal 2 39 9 3" xfId="4193"/>
    <cellStyle name="Normal 2 4" xfId="197"/>
    <cellStyle name="Normal 2 4 2" xfId="198"/>
    <cellStyle name="Normal 2 4 2 2" xfId="393"/>
    <cellStyle name="Normal 2 4 2 3" xfId="394"/>
    <cellStyle name="Normal 2 4 2 4" xfId="395"/>
    <cellStyle name="Normal 2 4 3" xfId="199"/>
    <cellStyle name="Normal 2 4 3 2" xfId="4194"/>
    <cellStyle name="Normal 2 4 4" xfId="1122"/>
    <cellStyle name="Normal 2 4 5" xfId="4195"/>
    <cellStyle name="Normal 2 4 6" xfId="4196"/>
    <cellStyle name="Normal 2 40" xfId="4197"/>
    <cellStyle name="Normal 2 40 2" xfId="4198"/>
    <cellStyle name="Normal 2 40 2 2" xfId="4199"/>
    <cellStyle name="Normal 2 40 3" xfId="4200"/>
    <cellStyle name="Normal 2 41" xfId="4201"/>
    <cellStyle name="Normal 2 41 2" xfId="4202"/>
    <cellStyle name="Normal 2 41 2 2" xfId="4203"/>
    <cellStyle name="Normal 2 41 3" xfId="4204"/>
    <cellStyle name="Normal 2 42" xfId="4205"/>
    <cellStyle name="Normal 2 42 2" xfId="4206"/>
    <cellStyle name="Normal 2 42 2 2" xfId="4207"/>
    <cellStyle name="Normal 2 42 3" xfId="4208"/>
    <cellStyle name="Normal 2 43" xfId="4209"/>
    <cellStyle name="Normal 2 43 2" xfId="4210"/>
    <cellStyle name="Normal 2 43 2 2" xfId="4211"/>
    <cellStyle name="Normal 2 43 3" xfId="4212"/>
    <cellStyle name="Normal 2 44" xfId="4213"/>
    <cellStyle name="Normal 2 44 2" xfId="4214"/>
    <cellStyle name="Normal 2 44 2 2" xfId="4215"/>
    <cellStyle name="Normal 2 44 3" xfId="4216"/>
    <cellStyle name="Normal 2 45" xfId="4217"/>
    <cellStyle name="Normal 2 45 2" xfId="4218"/>
    <cellStyle name="Normal 2 45 2 2" xfId="4219"/>
    <cellStyle name="Normal 2 45 3" xfId="4220"/>
    <cellStyle name="Normal 2 46" xfId="4221"/>
    <cellStyle name="Normal 2 46 2" xfId="4222"/>
    <cellStyle name="Normal 2 46 2 2" xfId="4223"/>
    <cellStyle name="Normal 2 46 3" xfId="4224"/>
    <cellStyle name="Normal 2 47" xfId="4225"/>
    <cellStyle name="Normal 2 47 2" xfId="4226"/>
    <cellStyle name="Normal 2 47 2 2" xfId="4227"/>
    <cellStyle name="Normal 2 47 3" xfId="4228"/>
    <cellStyle name="Normal 2 48" xfId="4229"/>
    <cellStyle name="Normal 2 48 2" xfId="4230"/>
    <cellStyle name="Normal 2 48 2 2" xfId="4231"/>
    <cellStyle name="Normal 2 48 3" xfId="4232"/>
    <cellStyle name="Normal 2 49" xfId="4233"/>
    <cellStyle name="Normal 2 49 2" xfId="4234"/>
    <cellStyle name="Normal 2 49 2 2" xfId="4235"/>
    <cellStyle name="Normal 2 49 3" xfId="4236"/>
    <cellStyle name="Normal 2 5" xfId="200"/>
    <cellStyle name="Normal 2 5 10" xfId="4237"/>
    <cellStyle name="Normal 2 5 10 2" xfId="4238"/>
    <cellStyle name="Normal 2 5 10 2 2" xfId="4239"/>
    <cellStyle name="Normal 2 5 10 3" xfId="4240"/>
    <cellStyle name="Normal 2 5 11" xfId="4241"/>
    <cellStyle name="Normal 2 5 11 2" xfId="4242"/>
    <cellStyle name="Normal 2 5 11 2 2" xfId="4243"/>
    <cellStyle name="Normal 2 5 11 3" xfId="4244"/>
    <cellStyle name="Normal 2 5 12" xfId="4245"/>
    <cellStyle name="Normal 2 5 12 2" xfId="4246"/>
    <cellStyle name="Normal 2 5 12 2 2" xfId="4247"/>
    <cellStyle name="Normal 2 5 12 3" xfId="4248"/>
    <cellStyle name="Normal 2 5 13" xfId="4249"/>
    <cellStyle name="Normal 2 5 13 2" xfId="4250"/>
    <cellStyle name="Normal 2 5 13 2 2" xfId="4251"/>
    <cellStyle name="Normal 2 5 13 3" xfId="4252"/>
    <cellStyle name="Normal 2 5 14" xfId="4253"/>
    <cellStyle name="Normal 2 5 14 2" xfId="4254"/>
    <cellStyle name="Normal 2 5 14 2 2" xfId="4255"/>
    <cellStyle name="Normal 2 5 14 3" xfId="4256"/>
    <cellStyle name="Normal 2 5 15" xfId="4257"/>
    <cellStyle name="Normal 2 5 15 2" xfId="4258"/>
    <cellStyle name="Normal 2 5 15 2 2" xfId="4259"/>
    <cellStyle name="Normal 2 5 15 3" xfId="4260"/>
    <cellStyle name="Normal 2 5 16" xfId="4261"/>
    <cellStyle name="Normal 2 5 16 2" xfId="4262"/>
    <cellStyle name="Normal 2 5 16 2 2" xfId="4263"/>
    <cellStyle name="Normal 2 5 16 3" xfId="4264"/>
    <cellStyle name="Normal 2 5 17" xfId="4265"/>
    <cellStyle name="Normal 2 5 17 2" xfId="4266"/>
    <cellStyle name="Normal 2 5 17 2 2" xfId="4267"/>
    <cellStyle name="Normal 2 5 17 3" xfId="4268"/>
    <cellStyle name="Normal 2 5 18" xfId="4269"/>
    <cellStyle name="Normal 2 5 18 2" xfId="4270"/>
    <cellStyle name="Normal 2 5 18 2 2" xfId="4271"/>
    <cellStyle name="Normal 2 5 18 3" xfId="4272"/>
    <cellStyle name="Normal 2 5 19" xfId="4273"/>
    <cellStyle name="Normal 2 5 19 2" xfId="4274"/>
    <cellStyle name="Normal 2 5 19 2 2" xfId="4275"/>
    <cellStyle name="Normal 2 5 19 3" xfId="4276"/>
    <cellStyle name="Normal 2 5 2" xfId="201"/>
    <cellStyle name="Normal 2 5 2 10" xfId="4277"/>
    <cellStyle name="Normal 2 5 2 10 2" xfId="4278"/>
    <cellStyle name="Normal 2 5 2 10 2 2" xfId="4279"/>
    <cellStyle name="Normal 2 5 2 10 3" xfId="4280"/>
    <cellStyle name="Normal 2 5 2 11" xfId="4281"/>
    <cellStyle name="Normal 2 5 2 11 2" xfId="4282"/>
    <cellStyle name="Normal 2 5 2 11 2 2" xfId="4283"/>
    <cellStyle name="Normal 2 5 2 11 3" xfId="4284"/>
    <cellStyle name="Normal 2 5 2 12" xfId="4285"/>
    <cellStyle name="Normal 2 5 2 12 2" xfId="4286"/>
    <cellStyle name="Normal 2 5 2 12 2 2" xfId="4287"/>
    <cellStyle name="Normal 2 5 2 12 3" xfId="4288"/>
    <cellStyle name="Normal 2 5 2 13" xfId="4289"/>
    <cellStyle name="Normal 2 5 2 13 2" xfId="4290"/>
    <cellStyle name="Normal 2 5 2 13 2 2" xfId="4291"/>
    <cellStyle name="Normal 2 5 2 13 3" xfId="4292"/>
    <cellStyle name="Normal 2 5 2 14" xfId="4293"/>
    <cellStyle name="Normal 2 5 2 14 2" xfId="4294"/>
    <cellStyle name="Normal 2 5 2 14 2 2" xfId="4295"/>
    <cellStyle name="Normal 2 5 2 14 3" xfId="4296"/>
    <cellStyle name="Normal 2 5 2 15" xfId="4297"/>
    <cellStyle name="Normal 2 5 2 15 2" xfId="4298"/>
    <cellStyle name="Normal 2 5 2 15 2 2" xfId="4299"/>
    <cellStyle name="Normal 2 5 2 15 3" xfId="4300"/>
    <cellStyle name="Normal 2 5 2 16" xfId="4301"/>
    <cellStyle name="Normal 2 5 2 16 2" xfId="4302"/>
    <cellStyle name="Normal 2 5 2 16 2 2" xfId="4303"/>
    <cellStyle name="Normal 2 5 2 16 3" xfId="4304"/>
    <cellStyle name="Normal 2 5 2 17" xfId="4305"/>
    <cellStyle name="Normal 2 5 2 17 2" xfId="4306"/>
    <cellStyle name="Normal 2 5 2 17 2 2" xfId="4307"/>
    <cellStyle name="Normal 2 5 2 17 3" xfId="4308"/>
    <cellStyle name="Normal 2 5 2 18" xfId="4309"/>
    <cellStyle name="Normal 2 5 2 18 2" xfId="4310"/>
    <cellStyle name="Normal 2 5 2 18 2 2" xfId="4311"/>
    <cellStyle name="Normal 2 5 2 18 3" xfId="4312"/>
    <cellStyle name="Normal 2 5 2 19" xfId="4313"/>
    <cellStyle name="Normal 2 5 2 19 2" xfId="4314"/>
    <cellStyle name="Normal 2 5 2 19 2 2" xfId="4315"/>
    <cellStyle name="Normal 2 5 2 19 3" xfId="4316"/>
    <cellStyle name="Normal 2 5 2 2" xfId="4317"/>
    <cellStyle name="Normal 2 5 2 2 10" xfId="4318"/>
    <cellStyle name="Normal 2 5 2 2 10 2" xfId="4319"/>
    <cellStyle name="Normal 2 5 2 2 10 2 2" xfId="4320"/>
    <cellStyle name="Normal 2 5 2 2 10 3" xfId="4321"/>
    <cellStyle name="Normal 2 5 2 2 11" xfId="4322"/>
    <cellStyle name="Normal 2 5 2 2 11 2" xfId="4323"/>
    <cellStyle name="Normal 2 5 2 2 11 2 2" xfId="4324"/>
    <cellStyle name="Normal 2 5 2 2 11 3" xfId="4325"/>
    <cellStyle name="Normal 2 5 2 2 12" xfId="4326"/>
    <cellStyle name="Normal 2 5 2 2 12 2" xfId="4327"/>
    <cellStyle name="Normal 2 5 2 2 12 2 2" xfId="4328"/>
    <cellStyle name="Normal 2 5 2 2 12 3" xfId="4329"/>
    <cellStyle name="Normal 2 5 2 2 13" xfId="4330"/>
    <cellStyle name="Normal 2 5 2 2 13 2" xfId="4331"/>
    <cellStyle name="Normal 2 5 2 2 13 2 2" xfId="4332"/>
    <cellStyle name="Normal 2 5 2 2 13 3" xfId="4333"/>
    <cellStyle name="Normal 2 5 2 2 14" xfId="4334"/>
    <cellStyle name="Normal 2 5 2 2 14 2" xfId="4335"/>
    <cellStyle name="Normal 2 5 2 2 14 2 2" xfId="4336"/>
    <cellStyle name="Normal 2 5 2 2 14 3" xfId="4337"/>
    <cellStyle name="Normal 2 5 2 2 15" xfId="4338"/>
    <cellStyle name="Normal 2 5 2 2 15 2" xfId="4339"/>
    <cellStyle name="Normal 2 5 2 2 15 2 2" xfId="4340"/>
    <cellStyle name="Normal 2 5 2 2 15 3" xfId="4341"/>
    <cellStyle name="Normal 2 5 2 2 16" xfId="4342"/>
    <cellStyle name="Normal 2 5 2 2 16 2" xfId="4343"/>
    <cellStyle name="Normal 2 5 2 2 16 2 2" xfId="4344"/>
    <cellStyle name="Normal 2 5 2 2 16 3" xfId="4345"/>
    <cellStyle name="Normal 2 5 2 2 17" xfId="4346"/>
    <cellStyle name="Normal 2 5 2 2 17 2" xfId="4347"/>
    <cellStyle name="Normal 2 5 2 2 17 2 2" xfId="4348"/>
    <cellStyle name="Normal 2 5 2 2 17 3" xfId="4349"/>
    <cellStyle name="Normal 2 5 2 2 18" xfId="4350"/>
    <cellStyle name="Normal 2 5 2 2 18 2" xfId="4351"/>
    <cellStyle name="Normal 2 5 2 2 18 2 2" xfId="4352"/>
    <cellStyle name="Normal 2 5 2 2 18 3" xfId="4353"/>
    <cellStyle name="Normal 2 5 2 2 19" xfId="4354"/>
    <cellStyle name="Normal 2 5 2 2 19 2" xfId="4355"/>
    <cellStyle name="Normal 2 5 2 2 19 2 2" xfId="4356"/>
    <cellStyle name="Normal 2 5 2 2 19 3" xfId="4357"/>
    <cellStyle name="Normal 2 5 2 2 2" xfId="4358"/>
    <cellStyle name="Normal 2 5 2 2 2 2" xfId="4359"/>
    <cellStyle name="Normal 2 5 2 2 2 2 2" xfId="4360"/>
    <cellStyle name="Normal 2 5 2 2 2 3" xfId="4361"/>
    <cellStyle name="Normal 2 5 2 2 20" xfId="4362"/>
    <cellStyle name="Normal 2 5 2 2 20 2" xfId="4363"/>
    <cellStyle name="Normal 2 5 2 2 20 2 2" xfId="4364"/>
    <cellStyle name="Normal 2 5 2 2 20 3" xfId="4365"/>
    <cellStyle name="Normal 2 5 2 2 21" xfId="4366"/>
    <cellStyle name="Normal 2 5 2 2 21 2" xfId="4367"/>
    <cellStyle name="Normal 2 5 2 2 21 2 2" xfId="4368"/>
    <cellStyle name="Normal 2 5 2 2 21 3" xfId="4369"/>
    <cellStyle name="Normal 2 5 2 2 22" xfId="4370"/>
    <cellStyle name="Normal 2 5 2 2 22 2" xfId="4371"/>
    <cellStyle name="Normal 2 5 2 2 22 2 2" xfId="4372"/>
    <cellStyle name="Normal 2 5 2 2 22 3" xfId="4373"/>
    <cellStyle name="Normal 2 5 2 2 23" xfId="4374"/>
    <cellStyle name="Normal 2 5 2 2 23 2" xfId="4375"/>
    <cellStyle name="Normal 2 5 2 2 23 2 2" xfId="4376"/>
    <cellStyle name="Normal 2 5 2 2 23 3" xfId="4377"/>
    <cellStyle name="Normal 2 5 2 2 24" xfId="4378"/>
    <cellStyle name="Normal 2 5 2 2 24 2" xfId="4379"/>
    <cellStyle name="Normal 2 5 2 2 24 2 2" xfId="4380"/>
    <cellStyle name="Normal 2 5 2 2 24 3" xfId="4381"/>
    <cellStyle name="Normal 2 5 2 2 25" xfId="4382"/>
    <cellStyle name="Normal 2 5 2 2 25 2" xfId="4383"/>
    <cellStyle name="Normal 2 5 2 2 25 2 2" xfId="4384"/>
    <cellStyle name="Normal 2 5 2 2 25 3" xfId="4385"/>
    <cellStyle name="Normal 2 5 2 2 26" xfId="4386"/>
    <cellStyle name="Normal 2 5 2 2 26 2" xfId="4387"/>
    <cellStyle name="Normal 2 5 2 2 26 2 2" xfId="4388"/>
    <cellStyle name="Normal 2 5 2 2 26 3" xfId="4389"/>
    <cellStyle name="Normal 2 5 2 2 27" xfId="4390"/>
    <cellStyle name="Normal 2 5 2 2 27 2" xfId="4391"/>
    <cellStyle name="Normal 2 5 2 2 27 2 2" xfId="4392"/>
    <cellStyle name="Normal 2 5 2 2 27 3" xfId="4393"/>
    <cellStyle name="Normal 2 5 2 2 28" xfId="4394"/>
    <cellStyle name="Normal 2 5 2 2 28 2" xfId="4395"/>
    <cellStyle name="Normal 2 5 2 2 28 2 2" xfId="4396"/>
    <cellStyle name="Normal 2 5 2 2 28 3" xfId="4397"/>
    <cellStyle name="Normal 2 5 2 2 29" xfId="4398"/>
    <cellStyle name="Normal 2 5 2 2 29 2" xfId="4399"/>
    <cellStyle name="Normal 2 5 2 2 29 2 2" xfId="4400"/>
    <cellStyle name="Normal 2 5 2 2 29 3" xfId="4401"/>
    <cellStyle name="Normal 2 5 2 2 3" xfId="4402"/>
    <cellStyle name="Normal 2 5 2 2 3 2" xfId="4403"/>
    <cellStyle name="Normal 2 5 2 2 3 2 2" xfId="4404"/>
    <cellStyle name="Normal 2 5 2 2 3 3" xfId="4405"/>
    <cellStyle name="Normal 2 5 2 2 30" xfId="4406"/>
    <cellStyle name="Normal 2 5 2 2 30 2" xfId="4407"/>
    <cellStyle name="Normal 2 5 2 2 30 2 2" xfId="4408"/>
    <cellStyle name="Normal 2 5 2 2 30 3" xfId="4409"/>
    <cellStyle name="Normal 2 5 2 2 31" xfId="4410"/>
    <cellStyle name="Normal 2 5 2 2 31 2" xfId="4411"/>
    <cellStyle name="Normal 2 5 2 2 31 2 2" xfId="4412"/>
    <cellStyle name="Normal 2 5 2 2 31 3" xfId="4413"/>
    <cellStyle name="Normal 2 5 2 2 32" xfId="4414"/>
    <cellStyle name="Normal 2 5 2 2 32 2" xfId="4415"/>
    <cellStyle name="Normal 2 5 2 2 32 2 2" xfId="4416"/>
    <cellStyle name="Normal 2 5 2 2 32 3" xfId="4417"/>
    <cellStyle name="Normal 2 5 2 2 33" xfId="4418"/>
    <cellStyle name="Normal 2 5 2 2 33 2" xfId="4419"/>
    <cellStyle name="Normal 2 5 2 2 33 2 2" xfId="4420"/>
    <cellStyle name="Normal 2 5 2 2 33 3" xfId="4421"/>
    <cellStyle name="Normal 2 5 2 2 34" xfId="4422"/>
    <cellStyle name="Normal 2 5 2 2 34 2" xfId="4423"/>
    <cellStyle name="Normal 2 5 2 2 34 2 2" xfId="4424"/>
    <cellStyle name="Normal 2 5 2 2 34 3" xfId="4425"/>
    <cellStyle name="Normal 2 5 2 2 35" xfId="4426"/>
    <cellStyle name="Normal 2 5 2 2 35 2" xfId="4427"/>
    <cellStyle name="Normal 2 5 2 2 35 2 2" xfId="4428"/>
    <cellStyle name="Normal 2 5 2 2 35 3" xfId="4429"/>
    <cellStyle name="Normal 2 5 2 2 36" xfId="4430"/>
    <cellStyle name="Normal 2 5 2 2 36 2" xfId="4431"/>
    <cellStyle name="Normal 2 5 2 2 36 2 2" xfId="4432"/>
    <cellStyle name="Normal 2 5 2 2 36 3" xfId="4433"/>
    <cellStyle name="Normal 2 5 2 2 37" xfId="4434"/>
    <cellStyle name="Normal 2 5 2 2 37 2" xfId="4435"/>
    <cellStyle name="Normal 2 5 2 2 37 2 2" xfId="4436"/>
    <cellStyle name="Normal 2 5 2 2 37 3" xfId="4437"/>
    <cellStyle name="Normal 2 5 2 2 38" xfId="4438"/>
    <cellStyle name="Normal 2 5 2 2 38 2" xfId="4439"/>
    <cellStyle name="Normal 2 5 2 2 38 2 2" xfId="4440"/>
    <cellStyle name="Normal 2 5 2 2 38 3" xfId="4441"/>
    <cellStyle name="Normal 2 5 2 2 39" xfId="4442"/>
    <cellStyle name="Normal 2 5 2 2 39 2" xfId="4443"/>
    <cellStyle name="Normal 2 5 2 2 39 2 2" xfId="4444"/>
    <cellStyle name="Normal 2 5 2 2 39 3" xfId="4445"/>
    <cellStyle name="Normal 2 5 2 2 4" xfId="4446"/>
    <cellStyle name="Normal 2 5 2 2 4 2" xfId="4447"/>
    <cellStyle name="Normal 2 5 2 2 4 2 2" xfId="4448"/>
    <cellStyle name="Normal 2 5 2 2 4 3" xfId="4449"/>
    <cellStyle name="Normal 2 5 2 2 40" xfId="4450"/>
    <cellStyle name="Normal 2 5 2 2 40 2" xfId="4451"/>
    <cellStyle name="Normal 2 5 2 2 40 2 2" xfId="4452"/>
    <cellStyle name="Normal 2 5 2 2 40 3" xfId="4453"/>
    <cellStyle name="Normal 2 5 2 2 41" xfId="4454"/>
    <cellStyle name="Normal 2 5 2 2 41 2" xfId="4455"/>
    <cellStyle name="Normal 2 5 2 2 41 2 2" xfId="4456"/>
    <cellStyle name="Normal 2 5 2 2 41 3" xfId="4457"/>
    <cellStyle name="Normal 2 5 2 2 42" xfId="4458"/>
    <cellStyle name="Normal 2 5 2 2 42 2" xfId="4459"/>
    <cellStyle name="Normal 2 5 2 2 42 2 2" xfId="4460"/>
    <cellStyle name="Normal 2 5 2 2 42 3" xfId="4461"/>
    <cellStyle name="Normal 2 5 2 2 43" xfId="4462"/>
    <cellStyle name="Normal 2 5 2 2 43 2" xfId="4463"/>
    <cellStyle name="Normal 2 5 2 2 43 2 2" xfId="4464"/>
    <cellStyle name="Normal 2 5 2 2 43 3" xfId="4465"/>
    <cellStyle name="Normal 2 5 2 2 44" xfId="4466"/>
    <cellStyle name="Normal 2 5 2 2 44 2" xfId="4467"/>
    <cellStyle name="Normal 2 5 2 2 44 2 2" xfId="4468"/>
    <cellStyle name="Normal 2 5 2 2 44 3" xfId="4469"/>
    <cellStyle name="Normal 2 5 2 2 45" xfId="4470"/>
    <cellStyle name="Normal 2 5 2 2 45 2" xfId="4471"/>
    <cellStyle name="Normal 2 5 2 2 45 2 2" xfId="4472"/>
    <cellStyle name="Normal 2 5 2 2 45 3" xfId="4473"/>
    <cellStyle name="Normal 2 5 2 2 46" xfId="4474"/>
    <cellStyle name="Normal 2 5 2 2 46 2" xfId="4475"/>
    <cellStyle name="Normal 2 5 2 2 46 2 2" xfId="4476"/>
    <cellStyle name="Normal 2 5 2 2 46 3" xfId="4477"/>
    <cellStyle name="Normal 2 5 2 2 47" xfId="4478"/>
    <cellStyle name="Normal 2 5 2 2 47 2" xfId="4479"/>
    <cellStyle name="Normal 2 5 2 2 47 2 2" xfId="4480"/>
    <cellStyle name="Normal 2 5 2 2 47 3" xfId="4481"/>
    <cellStyle name="Normal 2 5 2 2 48" xfId="4482"/>
    <cellStyle name="Normal 2 5 2 2 48 2" xfId="4483"/>
    <cellStyle name="Normal 2 5 2 2 48 2 2" xfId="4484"/>
    <cellStyle name="Normal 2 5 2 2 48 3" xfId="4485"/>
    <cellStyle name="Normal 2 5 2 2 49" xfId="4486"/>
    <cellStyle name="Normal 2 5 2 2 49 2" xfId="4487"/>
    <cellStyle name="Normal 2 5 2 2 49 2 2" xfId="4488"/>
    <cellStyle name="Normal 2 5 2 2 49 3" xfId="4489"/>
    <cellStyle name="Normal 2 5 2 2 5" xfId="4490"/>
    <cellStyle name="Normal 2 5 2 2 5 2" xfId="4491"/>
    <cellStyle name="Normal 2 5 2 2 5 2 2" xfId="4492"/>
    <cellStyle name="Normal 2 5 2 2 5 3" xfId="4493"/>
    <cellStyle name="Normal 2 5 2 2 50" xfId="4494"/>
    <cellStyle name="Normal 2 5 2 2 50 2" xfId="4495"/>
    <cellStyle name="Normal 2 5 2 2 50 2 2" xfId="4496"/>
    <cellStyle name="Normal 2 5 2 2 50 3" xfId="4497"/>
    <cellStyle name="Normal 2 5 2 2 51" xfId="4498"/>
    <cellStyle name="Normal 2 5 2 2 51 2" xfId="4499"/>
    <cellStyle name="Normal 2 5 2 2 51 2 2" xfId="4500"/>
    <cellStyle name="Normal 2 5 2 2 51 3" xfId="4501"/>
    <cellStyle name="Normal 2 5 2 2 52" xfId="4502"/>
    <cellStyle name="Normal 2 5 2 2 52 2" xfId="4503"/>
    <cellStyle name="Normal 2 5 2 2 52 2 2" xfId="4504"/>
    <cellStyle name="Normal 2 5 2 2 52 3" xfId="4505"/>
    <cellStyle name="Normal 2 5 2 2 53" xfId="4506"/>
    <cellStyle name="Normal 2 5 2 2 53 2" xfId="4507"/>
    <cellStyle name="Normal 2 5 2 2 53 2 2" xfId="4508"/>
    <cellStyle name="Normal 2 5 2 2 53 3" xfId="4509"/>
    <cellStyle name="Normal 2 5 2 2 54" xfId="4510"/>
    <cellStyle name="Normal 2 5 2 2 54 2" xfId="4511"/>
    <cellStyle name="Normal 2 5 2 2 54 2 2" xfId="4512"/>
    <cellStyle name="Normal 2 5 2 2 54 3" xfId="4513"/>
    <cellStyle name="Normal 2 5 2 2 55" xfId="4514"/>
    <cellStyle name="Normal 2 5 2 2 55 2" xfId="4515"/>
    <cellStyle name="Normal 2 5 2 2 55 2 2" xfId="4516"/>
    <cellStyle name="Normal 2 5 2 2 55 3" xfId="4517"/>
    <cellStyle name="Normal 2 5 2 2 56" xfId="4518"/>
    <cellStyle name="Normal 2 5 2 2 56 2" xfId="4519"/>
    <cellStyle name="Normal 2 5 2 2 57" xfId="4520"/>
    <cellStyle name="Normal 2 5 2 2 6" xfId="4521"/>
    <cellStyle name="Normal 2 5 2 2 6 2" xfId="4522"/>
    <cellStyle name="Normal 2 5 2 2 6 2 2" xfId="4523"/>
    <cellStyle name="Normal 2 5 2 2 6 3" xfId="4524"/>
    <cellStyle name="Normal 2 5 2 2 7" xfId="4525"/>
    <cellStyle name="Normal 2 5 2 2 7 2" xfId="4526"/>
    <cellStyle name="Normal 2 5 2 2 7 2 2" xfId="4527"/>
    <cellStyle name="Normal 2 5 2 2 7 3" xfId="4528"/>
    <cellStyle name="Normal 2 5 2 2 8" xfId="4529"/>
    <cellStyle name="Normal 2 5 2 2 8 2" xfId="4530"/>
    <cellStyle name="Normal 2 5 2 2 8 2 2" xfId="4531"/>
    <cellStyle name="Normal 2 5 2 2 8 3" xfId="4532"/>
    <cellStyle name="Normal 2 5 2 2 9" xfId="4533"/>
    <cellStyle name="Normal 2 5 2 2 9 2" xfId="4534"/>
    <cellStyle name="Normal 2 5 2 2 9 2 2" xfId="4535"/>
    <cellStyle name="Normal 2 5 2 2 9 3" xfId="4536"/>
    <cellStyle name="Normal 2 5 2 20" xfId="4537"/>
    <cellStyle name="Normal 2 5 2 20 2" xfId="4538"/>
    <cellStyle name="Normal 2 5 2 20 2 2" xfId="4539"/>
    <cellStyle name="Normal 2 5 2 20 3" xfId="4540"/>
    <cellStyle name="Normal 2 5 2 21" xfId="4541"/>
    <cellStyle name="Normal 2 5 2 21 2" xfId="4542"/>
    <cellStyle name="Normal 2 5 2 21 2 2" xfId="4543"/>
    <cellStyle name="Normal 2 5 2 21 3" xfId="4544"/>
    <cellStyle name="Normal 2 5 2 22" xfId="4545"/>
    <cellStyle name="Normal 2 5 2 22 2" xfId="4546"/>
    <cellStyle name="Normal 2 5 2 22 2 2" xfId="4547"/>
    <cellStyle name="Normal 2 5 2 22 3" xfId="4548"/>
    <cellStyle name="Normal 2 5 2 23" xfId="4549"/>
    <cellStyle name="Normal 2 5 2 23 2" xfId="4550"/>
    <cellStyle name="Normal 2 5 2 23 2 2" xfId="4551"/>
    <cellStyle name="Normal 2 5 2 23 3" xfId="4552"/>
    <cellStyle name="Normal 2 5 2 24" xfId="4553"/>
    <cellStyle name="Normal 2 5 2 24 2" xfId="4554"/>
    <cellStyle name="Normal 2 5 2 24 2 2" xfId="4555"/>
    <cellStyle name="Normal 2 5 2 24 3" xfId="4556"/>
    <cellStyle name="Normal 2 5 2 25" xfId="4557"/>
    <cellStyle name="Normal 2 5 2 25 2" xfId="4558"/>
    <cellStyle name="Normal 2 5 2 25 2 2" xfId="4559"/>
    <cellStyle name="Normal 2 5 2 25 3" xfId="4560"/>
    <cellStyle name="Normal 2 5 2 26" xfId="4561"/>
    <cellStyle name="Normal 2 5 2 26 2" xfId="4562"/>
    <cellStyle name="Normal 2 5 2 26 2 2" xfId="4563"/>
    <cellStyle name="Normal 2 5 2 26 3" xfId="4564"/>
    <cellStyle name="Normal 2 5 2 27" xfId="4565"/>
    <cellStyle name="Normal 2 5 2 27 2" xfId="4566"/>
    <cellStyle name="Normal 2 5 2 27 2 2" xfId="4567"/>
    <cellStyle name="Normal 2 5 2 27 3" xfId="4568"/>
    <cellStyle name="Normal 2 5 2 28" xfId="4569"/>
    <cellStyle name="Normal 2 5 2 28 2" xfId="4570"/>
    <cellStyle name="Normal 2 5 2 28 2 2" xfId="4571"/>
    <cellStyle name="Normal 2 5 2 28 3" xfId="4572"/>
    <cellStyle name="Normal 2 5 2 29" xfId="4573"/>
    <cellStyle name="Normal 2 5 2 29 2" xfId="4574"/>
    <cellStyle name="Normal 2 5 2 29 2 2" xfId="4575"/>
    <cellStyle name="Normal 2 5 2 29 3" xfId="4576"/>
    <cellStyle name="Normal 2 5 2 3" xfId="4577"/>
    <cellStyle name="Normal 2 5 2 3 2" xfId="4578"/>
    <cellStyle name="Normal 2 5 2 3 2 2" xfId="4579"/>
    <cellStyle name="Normal 2 5 2 3 3" xfId="4580"/>
    <cellStyle name="Normal 2 5 2 30" xfId="4581"/>
    <cellStyle name="Normal 2 5 2 30 2" xfId="4582"/>
    <cellStyle name="Normal 2 5 2 30 2 2" xfId="4583"/>
    <cellStyle name="Normal 2 5 2 30 3" xfId="4584"/>
    <cellStyle name="Normal 2 5 2 31" xfId="4585"/>
    <cellStyle name="Normal 2 5 2 31 2" xfId="4586"/>
    <cellStyle name="Normal 2 5 2 31 2 2" xfId="4587"/>
    <cellStyle name="Normal 2 5 2 31 3" xfId="4588"/>
    <cellStyle name="Normal 2 5 2 32" xfId="4589"/>
    <cellStyle name="Normal 2 5 2 32 2" xfId="4590"/>
    <cellStyle name="Normal 2 5 2 32 2 2" xfId="4591"/>
    <cellStyle name="Normal 2 5 2 32 3" xfId="4592"/>
    <cellStyle name="Normal 2 5 2 33" xfId="4593"/>
    <cellStyle name="Normal 2 5 2 33 2" xfId="4594"/>
    <cellStyle name="Normal 2 5 2 33 2 2" xfId="4595"/>
    <cellStyle name="Normal 2 5 2 33 3" xfId="4596"/>
    <cellStyle name="Normal 2 5 2 34" xfId="4597"/>
    <cellStyle name="Normal 2 5 2 34 2" xfId="4598"/>
    <cellStyle name="Normal 2 5 2 35" xfId="4599"/>
    <cellStyle name="Normal 2 5 2 4" xfId="4600"/>
    <cellStyle name="Normal 2 5 2 4 2" xfId="4601"/>
    <cellStyle name="Normal 2 5 2 4 2 2" xfId="4602"/>
    <cellStyle name="Normal 2 5 2 4 3" xfId="4603"/>
    <cellStyle name="Normal 2 5 2 5" xfId="4604"/>
    <cellStyle name="Normal 2 5 2 5 2" xfId="4605"/>
    <cellStyle name="Normal 2 5 2 5 2 2" xfId="4606"/>
    <cellStyle name="Normal 2 5 2 5 3" xfId="4607"/>
    <cellStyle name="Normal 2 5 2 6" xfId="4608"/>
    <cellStyle name="Normal 2 5 2 6 2" xfId="4609"/>
    <cellStyle name="Normal 2 5 2 6 2 2" xfId="4610"/>
    <cellStyle name="Normal 2 5 2 6 3" xfId="4611"/>
    <cellStyle name="Normal 2 5 2 7" xfId="4612"/>
    <cellStyle name="Normal 2 5 2 7 2" xfId="4613"/>
    <cellStyle name="Normal 2 5 2 7 2 2" xfId="4614"/>
    <cellStyle name="Normal 2 5 2 7 3" xfId="4615"/>
    <cellStyle name="Normal 2 5 2 8" xfId="4616"/>
    <cellStyle name="Normal 2 5 2 8 2" xfId="4617"/>
    <cellStyle name="Normal 2 5 2 8 2 2" xfId="4618"/>
    <cellStyle name="Normal 2 5 2 8 3" xfId="4619"/>
    <cellStyle name="Normal 2 5 2 9" xfId="4620"/>
    <cellStyle name="Normal 2 5 2 9 2" xfId="4621"/>
    <cellStyle name="Normal 2 5 2 9 2 2" xfId="4622"/>
    <cellStyle name="Normal 2 5 2 9 3" xfId="4623"/>
    <cellStyle name="Normal 2 5 20" xfId="4624"/>
    <cellStyle name="Normal 2 5 20 2" xfId="4625"/>
    <cellStyle name="Normal 2 5 20 2 2" xfId="4626"/>
    <cellStyle name="Normal 2 5 20 3" xfId="4627"/>
    <cellStyle name="Normal 2 5 21" xfId="4628"/>
    <cellStyle name="Normal 2 5 21 2" xfId="4629"/>
    <cellStyle name="Normal 2 5 21 2 2" xfId="4630"/>
    <cellStyle name="Normal 2 5 21 3" xfId="4631"/>
    <cellStyle name="Normal 2 5 22" xfId="4632"/>
    <cellStyle name="Normal 2 5 22 2" xfId="4633"/>
    <cellStyle name="Normal 2 5 22 2 2" xfId="4634"/>
    <cellStyle name="Normal 2 5 22 3" xfId="4635"/>
    <cellStyle name="Normal 2 5 23" xfId="4636"/>
    <cellStyle name="Normal 2 5 23 2" xfId="4637"/>
    <cellStyle name="Normal 2 5 23 2 2" xfId="4638"/>
    <cellStyle name="Normal 2 5 23 3" xfId="4639"/>
    <cellStyle name="Normal 2 5 24" xfId="4640"/>
    <cellStyle name="Normal 2 5 24 2" xfId="4641"/>
    <cellStyle name="Normal 2 5 24 2 2" xfId="4642"/>
    <cellStyle name="Normal 2 5 24 3" xfId="4643"/>
    <cellStyle name="Normal 2 5 25" xfId="4644"/>
    <cellStyle name="Normal 2 5 25 2" xfId="4645"/>
    <cellStyle name="Normal 2 5 25 2 2" xfId="4646"/>
    <cellStyle name="Normal 2 5 25 3" xfId="4647"/>
    <cellStyle name="Normal 2 5 26" xfId="4648"/>
    <cellStyle name="Normal 2 5 26 2" xfId="4649"/>
    <cellStyle name="Normal 2 5 26 2 2" xfId="4650"/>
    <cellStyle name="Normal 2 5 26 3" xfId="4651"/>
    <cellStyle name="Normal 2 5 27" xfId="4652"/>
    <cellStyle name="Normal 2 5 27 2" xfId="4653"/>
    <cellStyle name="Normal 2 5 27 2 2" xfId="4654"/>
    <cellStyle name="Normal 2 5 27 3" xfId="4655"/>
    <cellStyle name="Normal 2 5 28" xfId="4656"/>
    <cellStyle name="Normal 2 5 28 2" xfId="4657"/>
    <cellStyle name="Normal 2 5 28 2 2" xfId="4658"/>
    <cellStyle name="Normal 2 5 28 3" xfId="4659"/>
    <cellStyle name="Normal 2 5 29" xfId="4660"/>
    <cellStyle name="Normal 2 5 29 2" xfId="4661"/>
    <cellStyle name="Normal 2 5 29 2 2" xfId="4662"/>
    <cellStyle name="Normal 2 5 29 3" xfId="4663"/>
    <cellStyle name="Normal 2 5 3" xfId="4664"/>
    <cellStyle name="Normal 2 5 3 2" xfId="4665"/>
    <cellStyle name="Normal 2 5 3 2 2" xfId="4666"/>
    <cellStyle name="Normal 2 5 3 3" xfId="4667"/>
    <cellStyle name="Normal 2 5 30" xfId="4668"/>
    <cellStyle name="Normal 2 5 30 2" xfId="4669"/>
    <cellStyle name="Normal 2 5 30 2 2" xfId="4670"/>
    <cellStyle name="Normal 2 5 30 3" xfId="4671"/>
    <cellStyle name="Normal 2 5 31" xfId="4672"/>
    <cellStyle name="Normal 2 5 31 2" xfId="4673"/>
    <cellStyle name="Normal 2 5 31 2 2" xfId="4674"/>
    <cellStyle name="Normal 2 5 31 3" xfId="4675"/>
    <cellStyle name="Normal 2 5 32" xfId="4676"/>
    <cellStyle name="Normal 2 5 32 2" xfId="4677"/>
    <cellStyle name="Normal 2 5 32 2 2" xfId="4678"/>
    <cellStyle name="Normal 2 5 32 3" xfId="4679"/>
    <cellStyle name="Normal 2 5 33" xfId="4680"/>
    <cellStyle name="Normal 2 5 33 2" xfId="4681"/>
    <cellStyle name="Normal 2 5 33 2 2" xfId="4682"/>
    <cellStyle name="Normal 2 5 33 3" xfId="4683"/>
    <cellStyle name="Normal 2 5 34" xfId="4684"/>
    <cellStyle name="Normal 2 5 34 2" xfId="4685"/>
    <cellStyle name="Normal 2 5 34 2 2" xfId="4686"/>
    <cellStyle name="Normal 2 5 34 3" xfId="4687"/>
    <cellStyle name="Normal 2 5 35" xfId="4688"/>
    <cellStyle name="Normal 2 5 35 2" xfId="4689"/>
    <cellStyle name="Normal 2 5 35 2 2" xfId="4690"/>
    <cellStyle name="Normal 2 5 35 3" xfId="4691"/>
    <cellStyle name="Normal 2 5 36" xfId="4692"/>
    <cellStyle name="Normal 2 5 36 2" xfId="4693"/>
    <cellStyle name="Normal 2 5 36 2 2" xfId="4694"/>
    <cellStyle name="Normal 2 5 36 3" xfId="4695"/>
    <cellStyle name="Normal 2 5 37" xfId="4696"/>
    <cellStyle name="Normal 2 5 37 2" xfId="4697"/>
    <cellStyle name="Normal 2 5 37 2 2" xfId="4698"/>
    <cellStyle name="Normal 2 5 37 3" xfId="4699"/>
    <cellStyle name="Normal 2 5 38" xfId="4700"/>
    <cellStyle name="Normal 2 5 38 2" xfId="4701"/>
    <cellStyle name="Normal 2 5 38 2 2" xfId="4702"/>
    <cellStyle name="Normal 2 5 38 3" xfId="4703"/>
    <cellStyle name="Normal 2 5 39" xfId="4704"/>
    <cellStyle name="Normal 2 5 39 2" xfId="4705"/>
    <cellStyle name="Normal 2 5 39 2 2" xfId="4706"/>
    <cellStyle name="Normal 2 5 39 3" xfId="4707"/>
    <cellStyle name="Normal 2 5 4" xfId="4708"/>
    <cellStyle name="Normal 2 5 4 2" xfId="4709"/>
    <cellStyle name="Normal 2 5 4 2 2" xfId="4710"/>
    <cellStyle name="Normal 2 5 4 3" xfId="4711"/>
    <cellStyle name="Normal 2 5 40" xfId="4712"/>
    <cellStyle name="Normal 2 5 40 2" xfId="4713"/>
    <cellStyle name="Normal 2 5 40 2 2" xfId="4714"/>
    <cellStyle name="Normal 2 5 40 3" xfId="4715"/>
    <cellStyle name="Normal 2 5 41" xfId="4716"/>
    <cellStyle name="Normal 2 5 41 2" xfId="4717"/>
    <cellStyle name="Normal 2 5 41 2 2" xfId="4718"/>
    <cellStyle name="Normal 2 5 41 3" xfId="4719"/>
    <cellStyle name="Normal 2 5 42" xfId="4720"/>
    <cellStyle name="Normal 2 5 42 2" xfId="4721"/>
    <cellStyle name="Normal 2 5 42 2 2" xfId="4722"/>
    <cellStyle name="Normal 2 5 42 3" xfId="4723"/>
    <cellStyle name="Normal 2 5 43" xfId="4724"/>
    <cellStyle name="Normal 2 5 43 2" xfId="4725"/>
    <cellStyle name="Normal 2 5 43 2 2" xfId="4726"/>
    <cellStyle name="Normal 2 5 43 3" xfId="4727"/>
    <cellStyle name="Normal 2 5 44" xfId="4728"/>
    <cellStyle name="Normal 2 5 44 2" xfId="4729"/>
    <cellStyle name="Normal 2 5 44 2 2" xfId="4730"/>
    <cellStyle name="Normal 2 5 44 3" xfId="4731"/>
    <cellStyle name="Normal 2 5 45" xfId="4732"/>
    <cellStyle name="Normal 2 5 45 2" xfId="4733"/>
    <cellStyle name="Normal 2 5 45 2 2" xfId="4734"/>
    <cellStyle name="Normal 2 5 45 3" xfId="4735"/>
    <cellStyle name="Normal 2 5 46" xfId="4736"/>
    <cellStyle name="Normal 2 5 46 2" xfId="4737"/>
    <cellStyle name="Normal 2 5 46 2 2" xfId="4738"/>
    <cellStyle name="Normal 2 5 46 3" xfId="4739"/>
    <cellStyle name="Normal 2 5 47" xfId="4740"/>
    <cellStyle name="Normal 2 5 47 2" xfId="4741"/>
    <cellStyle name="Normal 2 5 47 2 2" xfId="4742"/>
    <cellStyle name="Normal 2 5 47 3" xfId="4743"/>
    <cellStyle name="Normal 2 5 48" xfId="4744"/>
    <cellStyle name="Normal 2 5 48 2" xfId="4745"/>
    <cellStyle name="Normal 2 5 48 2 2" xfId="4746"/>
    <cellStyle name="Normal 2 5 48 3" xfId="4747"/>
    <cellStyle name="Normal 2 5 49" xfId="4748"/>
    <cellStyle name="Normal 2 5 49 2" xfId="4749"/>
    <cellStyle name="Normal 2 5 49 2 2" xfId="4750"/>
    <cellStyle name="Normal 2 5 49 3" xfId="4751"/>
    <cellStyle name="Normal 2 5 5" xfId="4752"/>
    <cellStyle name="Normal 2 5 5 2" xfId="4753"/>
    <cellStyle name="Normal 2 5 5 2 2" xfId="4754"/>
    <cellStyle name="Normal 2 5 5 3" xfId="4755"/>
    <cellStyle name="Normal 2 5 50" xfId="4756"/>
    <cellStyle name="Normal 2 5 50 2" xfId="4757"/>
    <cellStyle name="Normal 2 5 50 2 2" xfId="4758"/>
    <cellStyle name="Normal 2 5 50 3" xfId="4759"/>
    <cellStyle name="Normal 2 5 51" xfId="4760"/>
    <cellStyle name="Normal 2 5 51 2" xfId="4761"/>
    <cellStyle name="Normal 2 5 51 2 2" xfId="4762"/>
    <cellStyle name="Normal 2 5 51 3" xfId="4763"/>
    <cellStyle name="Normal 2 5 52" xfId="4764"/>
    <cellStyle name="Normal 2 5 52 2" xfId="4765"/>
    <cellStyle name="Normal 2 5 52 2 2" xfId="4766"/>
    <cellStyle name="Normal 2 5 52 3" xfId="4767"/>
    <cellStyle name="Normal 2 5 53" xfId="4768"/>
    <cellStyle name="Normal 2 5 53 2" xfId="4769"/>
    <cellStyle name="Normal 2 5 53 2 2" xfId="4770"/>
    <cellStyle name="Normal 2 5 53 3" xfId="4771"/>
    <cellStyle name="Normal 2 5 54" xfId="4772"/>
    <cellStyle name="Normal 2 5 54 2" xfId="4773"/>
    <cellStyle name="Normal 2 5 54 2 2" xfId="4774"/>
    <cellStyle name="Normal 2 5 54 3" xfId="4775"/>
    <cellStyle name="Normal 2 5 55" xfId="4776"/>
    <cellStyle name="Normal 2 5 55 2" xfId="4777"/>
    <cellStyle name="Normal 2 5 55 2 2" xfId="4778"/>
    <cellStyle name="Normal 2 5 55 3" xfId="4779"/>
    <cellStyle name="Normal 2 5 56" xfId="4780"/>
    <cellStyle name="Normal 2 5 56 2" xfId="4781"/>
    <cellStyle name="Normal 2 5 56 2 2" xfId="4782"/>
    <cellStyle name="Normal 2 5 56 3" xfId="4783"/>
    <cellStyle name="Normal 2 5 57" xfId="4784"/>
    <cellStyle name="Normal 2 5 57 2" xfId="4785"/>
    <cellStyle name="Normal 2 5 57 2 2" xfId="4786"/>
    <cellStyle name="Normal 2 5 57 3" xfId="4787"/>
    <cellStyle name="Normal 2 5 58" xfId="4788"/>
    <cellStyle name="Normal 2 5 58 2" xfId="4789"/>
    <cellStyle name="Normal 2 5 58 2 2" xfId="4790"/>
    <cellStyle name="Normal 2 5 58 3" xfId="4791"/>
    <cellStyle name="Normal 2 5 59" xfId="4792"/>
    <cellStyle name="Normal 2 5 59 2" xfId="4793"/>
    <cellStyle name="Normal 2 5 59 2 2" xfId="4794"/>
    <cellStyle name="Normal 2 5 59 3" xfId="4795"/>
    <cellStyle name="Normal 2 5 6" xfId="4796"/>
    <cellStyle name="Normal 2 5 6 2" xfId="4797"/>
    <cellStyle name="Normal 2 5 6 2 2" xfId="4798"/>
    <cellStyle name="Normal 2 5 6 3" xfId="4799"/>
    <cellStyle name="Normal 2 5 60" xfId="4800"/>
    <cellStyle name="Normal 2 5 60 2" xfId="4801"/>
    <cellStyle name="Normal 2 5 60 2 2" xfId="4802"/>
    <cellStyle name="Normal 2 5 60 3" xfId="4803"/>
    <cellStyle name="Normal 2 5 61" xfId="4804"/>
    <cellStyle name="Normal 2 5 61 2" xfId="4805"/>
    <cellStyle name="Normal 2 5 61 2 2" xfId="4806"/>
    <cellStyle name="Normal 2 5 61 3" xfId="4807"/>
    <cellStyle name="Normal 2 5 62" xfId="4808"/>
    <cellStyle name="Normal 2 5 62 2" xfId="4809"/>
    <cellStyle name="Normal 2 5 62 2 2" xfId="4810"/>
    <cellStyle name="Normal 2 5 62 3" xfId="4811"/>
    <cellStyle name="Normal 2 5 63" xfId="4812"/>
    <cellStyle name="Normal 2 5 63 2" xfId="4813"/>
    <cellStyle name="Normal 2 5 63 2 2" xfId="4814"/>
    <cellStyle name="Normal 2 5 63 3" xfId="4815"/>
    <cellStyle name="Normal 2 5 64" xfId="4816"/>
    <cellStyle name="Normal 2 5 64 2" xfId="4817"/>
    <cellStyle name="Normal 2 5 64 2 2" xfId="4818"/>
    <cellStyle name="Normal 2 5 64 3" xfId="4819"/>
    <cellStyle name="Normal 2 5 65" xfId="4820"/>
    <cellStyle name="Normal 2 5 65 2" xfId="4821"/>
    <cellStyle name="Normal 2 5 65 2 2" xfId="4822"/>
    <cellStyle name="Normal 2 5 65 3" xfId="4823"/>
    <cellStyle name="Normal 2 5 66" xfId="4824"/>
    <cellStyle name="Normal 2 5 66 2" xfId="4825"/>
    <cellStyle name="Normal 2 5 66 2 2" xfId="4826"/>
    <cellStyle name="Normal 2 5 66 3" xfId="4827"/>
    <cellStyle name="Normal 2 5 67" xfId="4828"/>
    <cellStyle name="Normal 2 5 67 2" xfId="4829"/>
    <cellStyle name="Normal 2 5 67 2 2" xfId="4830"/>
    <cellStyle name="Normal 2 5 67 3" xfId="4831"/>
    <cellStyle name="Normal 2 5 68" xfId="4832"/>
    <cellStyle name="Normal 2 5 68 2" xfId="4833"/>
    <cellStyle name="Normal 2 5 68 2 2" xfId="4834"/>
    <cellStyle name="Normal 2 5 68 3" xfId="4835"/>
    <cellStyle name="Normal 2 5 69" xfId="4836"/>
    <cellStyle name="Normal 2 5 69 2" xfId="4837"/>
    <cellStyle name="Normal 2 5 69 2 2" xfId="4838"/>
    <cellStyle name="Normal 2 5 69 3" xfId="4839"/>
    <cellStyle name="Normal 2 5 7" xfId="4840"/>
    <cellStyle name="Normal 2 5 7 2" xfId="4841"/>
    <cellStyle name="Normal 2 5 7 2 2" xfId="4842"/>
    <cellStyle name="Normal 2 5 7 3" xfId="4843"/>
    <cellStyle name="Normal 2 5 70" xfId="4844"/>
    <cellStyle name="Normal 2 5 70 2" xfId="4845"/>
    <cellStyle name="Normal 2 5 70 2 2" xfId="4846"/>
    <cellStyle name="Normal 2 5 70 3" xfId="4847"/>
    <cellStyle name="Normal 2 5 71" xfId="4848"/>
    <cellStyle name="Normal 2 5 71 2" xfId="4849"/>
    <cellStyle name="Normal 2 5 71 2 2" xfId="4850"/>
    <cellStyle name="Normal 2 5 71 3" xfId="4851"/>
    <cellStyle name="Normal 2 5 72" xfId="4852"/>
    <cellStyle name="Normal 2 5 72 2" xfId="4853"/>
    <cellStyle name="Normal 2 5 72 2 2" xfId="4854"/>
    <cellStyle name="Normal 2 5 72 3" xfId="4855"/>
    <cellStyle name="Normal 2 5 73" xfId="4856"/>
    <cellStyle name="Normal 2 5 73 2" xfId="4857"/>
    <cellStyle name="Normal 2 5 73 2 2" xfId="4858"/>
    <cellStyle name="Normal 2 5 73 3" xfId="4859"/>
    <cellStyle name="Normal 2 5 74" xfId="4860"/>
    <cellStyle name="Normal 2 5 74 2" xfId="4861"/>
    <cellStyle name="Normal 2 5 74 2 2" xfId="4862"/>
    <cellStyle name="Normal 2 5 74 3" xfId="4863"/>
    <cellStyle name="Normal 2 5 75" xfId="4864"/>
    <cellStyle name="Normal 2 5 75 2" xfId="4865"/>
    <cellStyle name="Normal 2 5 75 2 2" xfId="4866"/>
    <cellStyle name="Normal 2 5 75 3" xfId="4867"/>
    <cellStyle name="Normal 2 5 76" xfId="4868"/>
    <cellStyle name="Normal 2 5 76 2" xfId="4869"/>
    <cellStyle name="Normal 2 5 76 2 2" xfId="4870"/>
    <cellStyle name="Normal 2 5 76 3" xfId="4871"/>
    <cellStyle name="Normal 2 5 77" xfId="4872"/>
    <cellStyle name="Normal 2 5 77 2" xfId="4873"/>
    <cellStyle name="Normal 2 5 77 2 2" xfId="4874"/>
    <cellStyle name="Normal 2 5 77 3" xfId="4875"/>
    <cellStyle name="Normal 2 5 78" xfId="4876"/>
    <cellStyle name="Normal 2 5 78 2" xfId="4877"/>
    <cellStyle name="Normal 2 5 78 2 2" xfId="4878"/>
    <cellStyle name="Normal 2 5 78 3" xfId="4879"/>
    <cellStyle name="Normal 2 5 79" xfId="4880"/>
    <cellStyle name="Normal 2 5 79 2" xfId="4881"/>
    <cellStyle name="Normal 2 5 79 2 2" xfId="4882"/>
    <cellStyle name="Normal 2 5 79 3" xfId="4883"/>
    <cellStyle name="Normal 2 5 8" xfId="4884"/>
    <cellStyle name="Normal 2 5 8 2" xfId="4885"/>
    <cellStyle name="Normal 2 5 8 2 2" xfId="4886"/>
    <cellStyle name="Normal 2 5 8 3" xfId="4887"/>
    <cellStyle name="Normal 2 5 80" xfId="4888"/>
    <cellStyle name="Normal 2 5 80 2" xfId="4889"/>
    <cellStyle name="Normal 2 5 80 2 2" xfId="4890"/>
    <cellStyle name="Normal 2 5 80 3" xfId="4891"/>
    <cellStyle name="Normal 2 5 81" xfId="4892"/>
    <cellStyle name="Normal 2 5 81 2" xfId="4893"/>
    <cellStyle name="Normal 2 5 81 2 2" xfId="4894"/>
    <cellStyle name="Normal 2 5 81 3" xfId="4895"/>
    <cellStyle name="Normal 2 5 82" xfId="4896"/>
    <cellStyle name="Normal 2 5 82 2" xfId="4897"/>
    <cellStyle name="Normal 2 5 82 2 2" xfId="4898"/>
    <cellStyle name="Normal 2 5 82 3" xfId="4899"/>
    <cellStyle name="Normal 2 5 83" xfId="4900"/>
    <cellStyle name="Normal 2 5 83 2" xfId="4901"/>
    <cellStyle name="Normal 2 5 83 2 2" xfId="4902"/>
    <cellStyle name="Normal 2 5 83 3" xfId="4903"/>
    <cellStyle name="Normal 2 5 84" xfId="4904"/>
    <cellStyle name="Normal 2 5 84 2" xfId="4905"/>
    <cellStyle name="Normal 2 5 84 2 2" xfId="4906"/>
    <cellStyle name="Normal 2 5 84 3" xfId="4907"/>
    <cellStyle name="Normal 2 5 85" xfId="4908"/>
    <cellStyle name="Normal 2 5 85 2" xfId="4909"/>
    <cellStyle name="Normal 2 5 85 2 2" xfId="4910"/>
    <cellStyle name="Normal 2 5 85 3" xfId="4911"/>
    <cellStyle name="Normal 2 5 86" xfId="4912"/>
    <cellStyle name="Normal 2 5 86 2" xfId="4913"/>
    <cellStyle name="Normal 2 5 86 2 2" xfId="4914"/>
    <cellStyle name="Normal 2 5 86 3" xfId="4915"/>
    <cellStyle name="Normal 2 5 87" xfId="4916"/>
    <cellStyle name="Normal 2 5 87 2" xfId="4917"/>
    <cellStyle name="Normal 2 5 87 2 2" xfId="4918"/>
    <cellStyle name="Normal 2 5 87 3" xfId="4919"/>
    <cellStyle name="Normal 2 5 88" xfId="4920"/>
    <cellStyle name="Normal 2 5 89" xfId="4921"/>
    <cellStyle name="Normal 2 5 89 2" xfId="4922"/>
    <cellStyle name="Normal 2 5 9" xfId="4923"/>
    <cellStyle name="Normal 2 5 9 2" xfId="4924"/>
    <cellStyle name="Normal 2 5 9 2 2" xfId="4925"/>
    <cellStyle name="Normal 2 5 9 3" xfId="4926"/>
    <cellStyle name="Normal 2 5 90" xfId="4927"/>
    <cellStyle name="Normal 2 5_DEER 032008 Cost Summary Delivery - Rev 4 (2)" xfId="4928"/>
    <cellStyle name="Normal 2 50" xfId="4929"/>
    <cellStyle name="Normal 2 50 2" xfId="4930"/>
    <cellStyle name="Normal 2 50 2 2" xfId="4931"/>
    <cellStyle name="Normal 2 50 3" xfId="4932"/>
    <cellStyle name="Normal 2 51" xfId="4933"/>
    <cellStyle name="Normal 2 51 2" xfId="4934"/>
    <cellStyle name="Normal 2 51 2 2" xfId="4935"/>
    <cellStyle name="Normal 2 51 3" xfId="4936"/>
    <cellStyle name="Normal 2 52" xfId="4937"/>
    <cellStyle name="Normal 2 52 2" xfId="4938"/>
    <cellStyle name="Normal 2 52 2 2" xfId="4939"/>
    <cellStyle name="Normal 2 52 3" xfId="4940"/>
    <cellStyle name="Normal 2 53" xfId="4941"/>
    <cellStyle name="Normal 2 53 2" xfId="4942"/>
    <cellStyle name="Normal 2 53 2 2" xfId="4943"/>
    <cellStyle name="Normal 2 53 3" xfId="4944"/>
    <cellStyle name="Normal 2 54" xfId="4945"/>
    <cellStyle name="Normal 2 54 2" xfId="4946"/>
    <cellStyle name="Normal 2 54 2 2" xfId="4947"/>
    <cellStyle name="Normal 2 54 3" xfId="4948"/>
    <cellStyle name="Normal 2 55" xfId="4949"/>
    <cellStyle name="Normal 2 55 2" xfId="4950"/>
    <cellStyle name="Normal 2 55 2 2" xfId="4951"/>
    <cellStyle name="Normal 2 55 3" xfId="4952"/>
    <cellStyle name="Normal 2 56" xfId="4953"/>
    <cellStyle name="Normal 2 56 2" xfId="4954"/>
    <cellStyle name="Normal 2 56 2 2" xfId="4955"/>
    <cellStyle name="Normal 2 56 3" xfId="4956"/>
    <cellStyle name="Normal 2 57" xfId="4957"/>
    <cellStyle name="Normal 2 57 2" xfId="4958"/>
    <cellStyle name="Normal 2 57 2 2" xfId="4959"/>
    <cellStyle name="Normal 2 57 3" xfId="4960"/>
    <cellStyle name="Normal 2 58" xfId="4961"/>
    <cellStyle name="Normal 2 58 2" xfId="4962"/>
    <cellStyle name="Normal 2 58 2 2" xfId="4963"/>
    <cellStyle name="Normal 2 58 3" xfId="4964"/>
    <cellStyle name="Normal 2 59" xfId="4965"/>
    <cellStyle name="Normal 2 59 2" xfId="4966"/>
    <cellStyle name="Normal 2 59 2 2" xfId="4967"/>
    <cellStyle name="Normal 2 59 3" xfId="4968"/>
    <cellStyle name="Normal 2 6" xfId="3"/>
    <cellStyle name="Normal 2 6 2" xfId="202"/>
    <cellStyle name="Normal 2 6 2 2" xfId="396"/>
    <cellStyle name="Normal 2 6 2 2 2" xfId="1123"/>
    <cellStyle name="Normal 2 6 2 2 3" xfId="1124"/>
    <cellStyle name="Normal 2 6 2 3" xfId="397"/>
    <cellStyle name="Normal 2 6 2 3 2" xfId="1125"/>
    <cellStyle name="Normal 2 6 2 4" xfId="1126"/>
    <cellStyle name="Normal 2 6 2 5" xfId="1127"/>
    <cellStyle name="Normal 2 6 3" xfId="398"/>
    <cellStyle name="Normal 2 6 3 2" xfId="399"/>
    <cellStyle name="Normal 2 6 3 2 2" xfId="1128"/>
    <cellStyle name="Normal 2 6 3 3" xfId="1129"/>
    <cellStyle name="Normal 2 6 3 3 2" xfId="1130"/>
    <cellStyle name="Normal 2 6 3 4" xfId="1131"/>
    <cellStyle name="Normal 2 6 4" xfId="400"/>
    <cellStyle name="Normal 2 6 4 2" xfId="401"/>
    <cellStyle name="Normal 2 6 5" xfId="402"/>
    <cellStyle name="Normal 2 6 6" xfId="403"/>
    <cellStyle name="Normal 2 60" xfId="4969"/>
    <cellStyle name="Normal 2 60 2" xfId="4970"/>
    <cellStyle name="Normal 2 60 2 2" xfId="4971"/>
    <cellStyle name="Normal 2 60 3" xfId="4972"/>
    <cellStyle name="Normal 2 61" xfId="4973"/>
    <cellStyle name="Normal 2 61 2" xfId="4974"/>
    <cellStyle name="Normal 2 61 2 2" xfId="4975"/>
    <cellStyle name="Normal 2 61 3" xfId="4976"/>
    <cellStyle name="Normal 2 62" xfId="4977"/>
    <cellStyle name="Normal 2 62 2" xfId="4978"/>
    <cellStyle name="Normal 2 62 2 2" xfId="4979"/>
    <cellStyle name="Normal 2 62 3" xfId="4980"/>
    <cellStyle name="Normal 2 63" xfId="4981"/>
    <cellStyle name="Normal 2 63 2" xfId="4982"/>
    <cellStyle name="Normal 2 63 2 2" xfId="4983"/>
    <cellStyle name="Normal 2 63 3" xfId="4984"/>
    <cellStyle name="Normal 2 64" xfId="4985"/>
    <cellStyle name="Normal 2 64 2" xfId="4986"/>
    <cellStyle name="Normal 2 64 2 2" xfId="4987"/>
    <cellStyle name="Normal 2 64 3" xfId="4988"/>
    <cellStyle name="Normal 2 65" xfId="4989"/>
    <cellStyle name="Normal 2 65 2" xfId="4990"/>
    <cellStyle name="Normal 2 65 2 2" xfId="4991"/>
    <cellStyle name="Normal 2 65 3" xfId="4992"/>
    <cellStyle name="Normal 2 66" xfId="4993"/>
    <cellStyle name="Normal 2 66 2" xfId="4994"/>
    <cellStyle name="Normal 2 66 2 2" xfId="4995"/>
    <cellStyle name="Normal 2 66 3" xfId="4996"/>
    <cellStyle name="Normal 2 67" xfId="4997"/>
    <cellStyle name="Normal 2 67 2" xfId="4998"/>
    <cellStyle name="Normal 2 67 2 2" xfId="4999"/>
    <cellStyle name="Normal 2 67 3" xfId="5000"/>
    <cellStyle name="Normal 2 68" xfId="5001"/>
    <cellStyle name="Normal 2 68 2" xfId="5002"/>
    <cellStyle name="Normal 2 68 2 2" xfId="5003"/>
    <cellStyle name="Normal 2 68 3" xfId="5004"/>
    <cellStyle name="Normal 2 69" xfId="5005"/>
    <cellStyle name="Normal 2 69 2" xfId="5006"/>
    <cellStyle name="Normal 2 69 2 2" xfId="5007"/>
    <cellStyle name="Normal 2 69 3" xfId="5008"/>
    <cellStyle name="Normal 2 7" xfId="203"/>
    <cellStyle name="Normal 2 7 2" xfId="204"/>
    <cellStyle name="Normal 2 7 2 2" xfId="404"/>
    <cellStyle name="Normal 2 7 2 2 2" xfId="1132"/>
    <cellStyle name="Normal 2 7 2 3" xfId="1133"/>
    <cellStyle name="Normal 2 7 2 3 2" xfId="1134"/>
    <cellStyle name="Normal 2 7 2 4" xfId="1135"/>
    <cellStyle name="Normal 2 7 3" xfId="405"/>
    <cellStyle name="Normal 2 7 4" xfId="5009"/>
    <cellStyle name="Normal 2 7 5" xfId="5010"/>
    <cellStyle name="Normal 2 70" xfId="5011"/>
    <cellStyle name="Normal 2 70 2" xfId="5012"/>
    <cellStyle name="Normal 2 70 2 2" xfId="5013"/>
    <cellStyle name="Normal 2 70 3" xfId="5014"/>
    <cellStyle name="Normal 2 71" xfId="5015"/>
    <cellStyle name="Normal 2 71 2" xfId="5016"/>
    <cellStyle name="Normal 2 71 2 2" xfId="5017"/>
    <cellStyle name="Normal 2 71 3" xfId="5018"/>
    <cellStyle name="Normal 2 72" xfId="5019"/>
    <cellStyle name="Normal 2 72 2" xfId="5020"/>
    <cellStyle name="Normal 2 72 2 2" xfId="5021"/>
    <cellStyle name="Normal 2 72 3" xfId="5022"/>
    <cellStyle name="Normal 2 73" xfId="5023"/>
    <cellStyle name="Normal 2 73 2" xfId="5024"/>
    <cellStyle name="Normal 2 73 2 2" xfId="5025"/>
    <cellStyle name="Normal 2 73 3" xfId="5026"/>
    <cellStyle name="Normal 2 74" xfId="5027"/>
    <cellStyle name="Normal 2 74 2" xfId="5028"/>
    <cellStyle name="Normal 2 74 2 2" xfId="5029"/>
    <cellStyle name="Normal 2 74 3" xfId="5030"/>
    <cellStyle name="Normal 2 75" xfId="5031"/>
    <cellStyle name="Normal 2 75 2" xfId="5032"/>
    <cellStyle name="Normal 2 75 2 2" xfId="5033"/>
    <cellStyle name="Normal 2 75 3" xfId="5034"/>
    <cellStyle name="Normal 2 76" xfId="5035"/>
    <cellStyle name="Normal 2 76 2" xfId="5036"/>
    <cellStyle name="Normal 2 76 2 2" xfId="5037"/>
    <cellStyle name="Normal 2 76 3" xfId="5038"/>
    <cellStyle name="Normal 2 77" xfId="5039"/>
    <cellStyle name="Normal 2 77 2" xfId="5040"/>
    <cellStyle name="Normal 2 77 2 2" xfId="5041"/>
    <cellStyle name="Normal 2 77 3" xfId="5042"/>
    <cellStyle name="Normal 2 78" xfId="5043"/>
    <cellStyle name="Normal 2 78 2" xfId="5044"/>
    <cellStyle name="Normal 2 78 2 2" xfId="5045"/>
    <cellStyle name="Normal 2 78 3" xfId="5046"/>
    <cellStyle name="Normal 2 79" xfId="5047"/>
    <cellStyle name="Normal 2 79 2" xfId="5048"/>
    <cellStyle name="Normal 2 79 2 2" xfId="5049"/>
    <cellStyle name="Normal 2 79 3" xfId="5050"/>
    <cellStyle name="Normal 2 8" xfId="205"/>
    <cellStyle name="Normal 2 8 10" xfId="5051"/>
    <cellStyle name="Normal 2 8 10 2" xfId="5052"/>
    <cellStyle name="Normal 2 8 10 2 2" xfId="5053"/>
    <cellStyle name="Normal 2 8 10 3" xfId="5054"/>
    <cellStyle name="Normal 2 8 11" xfId="5055"/>
    <cellStyle name="Normal 2 8 11 2" xfId="5056"/>
    <cellStyle name="Normal 2 8 11 2 2" xfId="5057"/>
    <cellStyle name="Normal 2 8 11 3" xfId="5058"/>
    <cellStyle name="Normal 2 8 12" xfId="5059"/>
    <cellStyle name="Normal 2 8 12 2" xfId="5060"/>
    <cellStyle name="Normal 2 8 12 2 2" xfId="5061"/>
    <cellStyle name="Normal 2 8 12 3" xfId="5062"/>
    <cellStyle name="Normal 2 8 13" xfId="5063"/>
    <cellStyle name="Normal 2 8 13 2" xfId="5064"/>
    <cellStyle name="Normal 2 8 13 2 2" xfId="5065"/>
    <cellStyle name="Normal 2 8 13 3" xfId="5066"/>
    <cellStyle name="Normal 2 8 14" xfId="5067"/>
    <cellStyle name="Normal 2 8 14 2" xfId="5068"/>
    <cellStyle name="Normal 2 8 14 2 2" xfId="5069"/>
    <cellStyle name="Normal 2 8 14 3" xfId="5070"/>
    <cellStyle name="Normal 2 8 15" xfId="5071"/>
    <cellStyle name="Normal 2 8 15 2" xfId="5072"/>
    <cellStyle name="Normal 2 8 15 2 2" xfId="5073"/>
    <cellStyle name="Normal 2 8 15 3" xfId="5074"/>
    <cellStyle name="Normal 2 8 16" xfId="5075"/>
    <cellStyle name="Normal 2 8 16 2" xfId="5076"/>
    <cellStyle name="Normal 2 8 16 2 2" xfId="5077"/>
    <cellStyle name="Normal 2 8 16 3" xfId="5078"/>
    <cellStyle name="Normal 2 8 17" xfId="5079"/>
    <cellStyle name="Normal 2 8 17 2" xfId="5080"/>
    <cellStyle name="Normal 2 8 17 2 2" xfId="5081"/>
    <cellStyle name="Normal 2 8 17 3" xfId="5082"/>
    <cellStyle name="Normal 2 8 18" xfId="5083"/>
    <cellStyle name="Normal 2 8 18 2" xfId="5084"/>
    <cellStyle name="Normal 2 8 18 2 2" xfId="5085"/>
    <cellStyle name="Normal 2 8 18 3" xfId="5086"/>
    <cellStyle name="Normal 2 8 19" xfId="5087"/>
    <cellStyle name="Normal 2 8 19 2" xfId="5088"/>
    <cellStyle name="Normal 2 8 19 2 2" xfId="5089"/>
    <cellStyle name="Normal 2 8 19 3" xfId="5090"/>
    <cellStyle name="Normal 2 8 2" xfId="206"/>
    <cellStyle name="Normal 2 8 2 2" xfId="1136"/>
    <cellStyle name="Normal 2 8 2 2 2" xfId="1137"/>
    <cellStyle name="Normal 2 8 2 3" xfId="1138"/>
    <cellStyle name="Normal 2 8 2 3 2" xfId="1139"/>
    <cellStyle name="Normal 2 8 2 4" xfId="1140"/>
    <cellStyle name="Normal 2 8 20" xfId="5091"/>
    <cellStyle name="Normal 2 8 20 2" xfId="5092"/>
    <cellStyle name="Normal 2 8 20 2 2" xfId="5093"/>
    <cellStyle name="Normal 2 8 20 3" xfId="5094"/>
    <cellStyle name="Normal 2 8 21" xfId="5095"/>
    <cellStyle name="Normal 2 8 21 2" xfId="5096"/>
    <cellStyle name="Normal 2 8 21 2 2" xfId="5097"/>
    <cellStyle name="Normal 2 8 21 3" xfId="5098"/>
    <cellStyle name="Normal 2 8 22" xfId="5099"/>
    <cellStyle name="Normal 2 8 22 2" xfId="5100"/>
    <cellStyle name="Normal 2 8 22 2 2" xfId="5101"/>
    <cellStyle name="Normal 2 8 22 3" xfId="5102"/>
    <cellStyle name="Normal 2 8 23" xfId="5103"/>
    <cellStyle name="Normal 2 8 23 2" xfId="5104"/>
    <cellStyle name="Normal 2 8 23 2 2" xfId="5105"/>
    <cellStyle name="Normal 2 8 23 3" xfId="5106"/>
    <cellStyle name="Normal 2 8 24" xfId="5107"/>
    <cellStyle name="Normal 2 8 24 2" xfId="5108"/>
    <cellStyle name="Normal 2 8 25" xfId="5109"/>
    <cellStyle name="Normal 2 8 3" xfId="1141"/>
    <cellStyle name="Normal 2 8 3 2" xfId="1142"/>
    <cellStyle name="Normal 2 8 3 2 2" xfId="5110"/>
    <cellStyle name="Normal 2 8 3 3" xfId="5111"/>
    <cellStyle name="Normal 2 8 4" xfId="1143"/>
    <cellStyle name="Normal 2 8 4 2" xfId="1144"/>
    <cellStyle name="Normal 2 8 4 2 2" xfId="5112"/>
    <cellStyle name="Normal 2 8 4 3" xfId="5113"/>
    <cellStyle name="Normal 2 8 5" xfId="1145"/>
    <cellStyle name="Normal 2 8 5 2" xfId="5114"/>
    <cellStyle name="Normal 2 8 5 2 2" xfId="5115"/>
    <cellStyle name="Normal 2 8 5 3" xfId="5116"/>
    <cellStyle name="Normal 2 8 6" xfId="1146"/>
    <cellStyle name="Normal 2 8 6 2" xfId="5117"/>
    <cellStyle name="Normal 2 8 6 2 2" xfId="5118"/>
    <cellStyle name="Normal 2 8 6 3" xfId="5119"/>
    <cellStyle name="Normal 2 8 7" xfId="5120"/>
    <cellStyle name="Normal 2 8 7 2" xfId="5121"/>
    <cellStyle name="Normal 2 8 7 2 2" xfId="5122"/>
    <cellStyle name="Normal 2 8 7 3" xfId="5123"/>
    <cellStyle name="Normal 2 8 8" xfId="5124"/>
    <cellStyle name="Normal 2 8 8 2" xfId="5125"/>
    <cellStyle name="Normal 2 8 8 2 2" xfId="5126"/>
    <cellStyle name="Normal 2 8 8 3" xfId="5127"/>
    <cellStyle name="Normal 2 8 9" xfId="5128"/>
    <cellStyle name="Normal 2 8 9 2" xfId="5129"/>
    <cellStyle name="Normal 2 8 9 2 2" xfId="5130"/>
    <cellStyle name="Normal 2 8 9 3" xfId="5131"/>
    <cellStyle name="Normal 2 80" xfId="5132"/>
    <cellStyle name="Normal 2 80 2" xfId="5133"/>
    <cellStyle name="Normal 2 80 2 2" xfId="5134"/>
    <cellStyle name="Normal 2 80 3" xfId="5135"/>
    <cellStyle name="Normal 2 81" xfId="5136"/>
    <cellStyle name="Normal 2 81 2" xfId="5137"/>
    <cellStyle name="Normal 2 81 2 2" xfId="5138"/>
    <cellStyle name="Normal 2 81 3" xfId="5139"/>
    <cellStyle name="Normal 2 82" xfId="5140"/>
    <cellStyle name="Normal 2 82 2" xfId="5141"/>
    <cellStyle name="Normal 2 82 2 2" xfId="5142"/>
    <cellStyle name="Normal 2 82 3" xfId="5143"/>
    <cellStyle name="Normal 2 83" xfId="5144"/>
    <cellStyle name="Normal 2 83 2" xfId="5145"/>
    <cellStyle name="Normal 2 83 2 2" xfId="5146"/>
    <cellStyle name="Normal 2 83 3" xfId="5147"/>
    <cellStyle name="Normal 2 84" xfId="5148"/>
    <cellStyle name="Normal 2 84 2" xfId="5149"/>
    <cellStyle name="Normal 2 84 2 2" xfId="5150"/>
    <cellStyle name="Normal 2 84 3" xfId="5151"/>
    <cellStyle name="Normal 2 85" xfId="5152"/>
    <cellStyle name="Normal 2 85 2" xfId="5153"/>
    <cellStyle name="Normal 2 85 2 2" xfId="5154"/>
    <cellStyle name="Normal 2 85 3" xfId="5155"/>
    <cellStyle name="Normal 2 86" xfId="5156"/>
    <cellStyle name="Normal 2 86 2" xfId="5157"/>
    <cellStyle name="Normal 2 86 2 2" xfId="5158"/>
    <cellStyle name="Normal 2 86 3" xfId="5159"/>
    <cellStyle name="Normal 2 87" xfId="5160"/>
    <cellStyle name="Normal 2 87 2" xfId="5161"/>
    <cellStyle name="Normal 2 87 2 2" xfId="5162"/>
    <cellStyle name="Normal 2 87 3" xfId="5163"/>
    <cellStyle name="Normal 2 88" xfId="5164"/>
    <cellStyle name="Normal 2 88 2" xfId="5165"/>
    <cellStyle name="Normal 2 88 2 2" xfId="5166"/>
    <cellStyle name="Normal 2 88 3" xfId="5167"/>
    <cellStyle name="Normal 2 89" xfId="5168"/>
    <cellStyle name="Normal 2 89 2" xfId="5169"/>
    <cellStyle name="Normal 2 89 2 2" xfId="5170"/>
    <cellStyle name="Normal 2 89 3" xfId="5171"/>
    <cellStyle name="Normal 2 9" xfId="207"/>
    <cellStyle name="Normal 2 9 10" xfId="5172"/>
    <cellStyle name="Normal 2 9 10 2" xfId="5173"/>
    <cellStyle name="Normal 2 9 10 2 2" xfId="5174"/>
    <cellStyle name="Normal 2 9 10 3" xfId="5175"/>
    <cellStyle name="Normal 2 9 11" xfId="5176"/>
    <cellStyle name="Normal 2 9 11 2" xfId="5177"/>
    <cellStyle name="Normal 2 9 11 2 2" xfId="5178"/>
    <cellStyle name="Normal 2 9 11 3" xfId="5179"/>
    <cellStyle name="Normal 2 9 12" xfId="5180"/>
    <cellStyle name="Normal 2 9 12 2" xfId="5181"/>
    <cellStyle name="Normal 2 9 12 2 2" xfId="5182"/>
    <cellStyle name="Normal 2 9 12 3" xfId="5183"/>
    <cellStyle name="Normal 2 9 13" xfId="5184"/>
    <cellStyle name="Normal 2 9 13 2" xfId="5185"/>
    <cellStyle name="Normal 2 9 13 2 2" xfId="5186"/>
    <cellStyle name="Normal 2 9 13 3" xfId="5187"/>
    <cellStyle name="Normal 2 9 14" xfId="5188"/>
    <cellStyle name="Normal 2 9 14 2" xfId="5189"/>
    <cellStyle name="Normal 2 9 14 2 2" xfId="5190"/>
    <cellStyle name="Normal 2 9 14 3" xfId="5191"/>
    <cellStyle name="Normal 2 9 15" xfId="5192"/>
    <cellStyle name="Normal 2 9 15 2" xfId="5193"/>
    <cellStyle name="Normal 2 9 15 2 2" xfId="5194"/>
    <cellStyle name="Normal 2 9 15 3" xfId="5195"/>
    <cellStyle name="Normal 2 9 16" xfId="5196"/>
    <cellStyle name="Normal 2 9 16 2" xfId="5197"/>
    <cellStyle name="Normal 2 9 16 2 2" xfId="5198"/>
    <cellStyle name="Normal 2 9 16 3" xfId="5199"/>
    <cellStyle name="Normal 2 9 17" xfId="5200"/>
    <cellStyle name="Normal 2 9 17 2" xfId="5201"/>
    <cellStyle name="Normal 2 9 17 2 2" xfId="5202"/>
    <cellStyle name="Normal 2 9 17 3" xfId="5203"/>
    <cellStyle name="Normal 2 9 18" xfId="5204"/>
    <cellStyle name="Normal 2 9 18 2" xfId="5205"/>
    <cellStyle name="Normal 2 9 18 2 2" xfId="5206"/>
    <cellStyle name="Normal 2 9 18 3" xfId="5207"/>
    <cellStyle name="Normal 2 9 19" xfId="5208"/>
    <cellStyle name="Normal 2 9 19 2" xfId="5209"/>
    <cellStyle name="Normal 2 9 19 2 2" xfId="5210"/>
    <cellStyle name="Normal 2 9 19 3" xfId="5211"/>
    <cellStyle name="Normal 2 9 2" xfId="208"/>
    <cellStyle name="Normal 2 9 2 2" xfId="1147"/>
    <cellStyle name="Normal 2 9 2 2 2" xfId="1148"/>
    <cellStyle name="Normal 2 9 2 3" xfId="1149"/>
    <cellStyle name="Normal 2 9 2 3 2" xfId="1150"/>
    <cellStyle name="Normal 2 9 2 4" xfId="1151"/>
    <cellStyle name="Normal 2 9 20" xfId="5212"/>
    <cellStyle name="Normal 2 9 20 2" xfId="5213"/>
    <cellStyle name="Normal 2 9 20 2 2" xfId="5214"/>
    <cellStyle name="Normal 2 9 20 3" xfId="5215"/>
    <cellStyle name="Normal 2 9 21" xfId="5216"/>
    <cellStyle name="Normal 2 9 21 2" xfId="5217"/>
    <cellStyle name="Normal 2 9 21 2 2" xfId="5218"/>
    <cellStyle name="Normal 2 9 21 3" xfId="5219"/>
    <cellStyle name="Normal 2 9 22" xfId="5220"/>
    <cellStyle name="Normal 2 9 22 2" xfId="5221"/>
    <cellStyle name="Normal 2 9 22 2 2" xfId="5222"/>
    <cellStyle name="Normal 2 9 22 3" xfId="5223"/>
    <cellStyle name="Normal 2 9 23" xfId="5224"/>
    <cellStyle name="Normal 2 9 23 2" xfId="5225"/>
    <cellStyle name="Normal 2 9 23 2 2" xfId="5226"/>
    <cellStyle name="Normal 2 9 23 3" xfId="5227"/>
    <cellStyle name="Normal 2 9 24" xfId="5228"/>
    <cellStyle name="Normal 2 9 24 2" xfId="5229"/>
    <cellStyle name="Normal 2 9 25" xfId="5230"/>
    <cellStyle name="Normal 2 9 3" xfId="1152"/>
    <cellStyle name="Normal 2 9 3 2" xfId="1153"/>
    <cellStyle name="Normal 2 9 3 2 2" xfId="5231"/>
    <cellStyle name="Normal 2 9 3 3" xfId="5232"/>
    <cellStyle name="Normal 2 9 4" xfId="1154"/>
    <cellStyle name="Normal 2 9 4 2" xfId="1155"/>
    <cellStyle name="Normal 2 9 4 2 2" xfId="5233"/>
    <cellStyle name="Normal 2 9 4 3" xfId="5234"/>
    <cellStyle name="Normal 2 9 5" xfId="1156"/>
    <cellStyle name="Normal 2 9 5 2" xfId="5235"/>
    <cellStyle name="Normal 2 9 5 2 2" xfId="5236"/>
    <cellStyle name="Normal 2 9 5 3" xfId="5237"/>
    <cellStyle name="Normal 2 9 6" xfId="5238"/>
    <cellStyle name="Normal 2 9 6 2" xfId="5239"/>
    <cellStyle name="Normal 2 9 6 2 2" xfId="5240"/>
    <cellStyle name="Normal 2 9 6 3" xfId="5241"/>
    <cellStyle name="Normal 2 9 7" xfId="5242"/>
    <cellStyle name="Normal 2 9 7 2" xfId="5243"/>
    <cellStyle name="Normal 2 9 7 2 2" xfId="5244"/>
    <cellStyle name="Normal 2 9 7 3" xfId="5245"/>
    <cellStyle name="Normal 2 9 8" xfId="5246"/>
    <cellStyle name="Normal 2 9 8 2" xfId="5247"/>
    <cellStyle name="Normal 2 9 8 2 2" xfId="5248"/>
    <cellStyle name="Normal 2 9 8 3" xfId="5249"/>
    <cellStyle name="Normal 2 9 9" xfId="5250"/>
    <cellStyle name="Normal 2 9 9 2" xfId="5251"/>
    <cellStyle name="Normal 2 9 9 2 2" xfId="5252"/>
    <cellStyle name="Normal 2 9 9 3" xfId="5253"/>
    <cellStyle name="Normal 2 90" xfId="5254"/>
    <cellStyle name="Normal 2 90 2" xfId="5255"/>
    <cellStyle name="Normal 2 90 2 2" xfId="5256"/>
    <cellStyle name="Normal 2 90 3" xfId="5257"/>
    <cellStyle name="Normal 2 91" xfId="5258"/>
    <cellStyle name="Normal 2 91 2" xfId="5259"/>
    <cellStyle name="Normal 2 91 2 2" xfId="5260"/>
    <cellStyle name="Normal 2 91 3" xfId="5261"/>
    <cellStyle name="Normal 2 92" xfId="5262"/>
    <cellStyle name="Normal 2 92 2" xfId="5263"/>
    <cellStyle name="Normal 2 92 2 2" xfId="5264"/>
    <cellStyle name="Normal 2 92 3" xfId="5265"/>
    <cellStyle name="Normal 2 93" xfId="5266"/>
    <cellStyle name="Normal 2 93 2" xfId="5267"/>
    <cellStyle name="Normal 2 93 2 2" xfId="5268"/>
    <cellStyle name="Normal 2 93 3" xfId="5269"/>
    <cellStyle name="Normal 2 94" xfId="5270"/>
    <cellStyle name="Normal 2 94 2" xfId="5271"/>
    <cellStyle name="Normal 2 94 3" xfId="5272"/>
    <cellStyle name="Normal 2 95" xfId="5273"/>
    <cellStyle name="Normal 2 95 2" xfId="5274"/>
    <cellStyle name="Normal 2 95 3" xfId="5275"/>
    <cellStyle name="Normal 2 96" xfId="5276"/>
    <cellStyle name="Normal 2 96 2" xfId="5277"/>
    <cellStyle name="Normal 2 96 3" xfId="5278"/>
    <cellStyle name="Normal 2 97" xfId="5279"/>
    <cellStyle name="Normal 2 97 2" xfId="5280"/>
    <cellStyle name="Normal 2 97 3" xfId="5281"/>
    <cellStyle name="Normal 2 98" xfId="5282"/>
    <cellStyle name="Normal 2 98 2" xfId="5283"/>
    <cellStyle name="Normal 2 98 3" xfId="5284"/>
    <cellStyle name="Normal 2 99" xfId="5285"/>
    <cellStyle name="Normal 2 99 2" xfId="5286"/>
    <cellStyle name="Normal 2 99 3" xfId="5287"/>
    <cellStyle name="Normal 2_DEER 032008 Cost Summary Delivery - Rev 4 (2)" xfId="5288"/>
    <cellStyle name="Normal 20" xfId="463"/>
    <cellStyle name="Normal 21" xfId="464"/>
    <cellStyle name="Normal 22" xfId="465"/>
    <cellStyle name="Normal 23" xfId="466"/>
    <cellStyle name="Normal 24" xfId="467"/>
    <cellStyle name="Normal 24 2" xfId="5289"/>
    <cellStyle name="Normal 25" xfId="468"/>
    <cellStyle name="Normal 26" xfId="469"/>
    <cellStyle name="Normal 27" xfId="470"/>
    <cellStyle name="Normal 28" xfId="471"/>
    <cellStyle name="Normal 29" xfId="472"/>
    <cellStyle name="Normal 3" xfId="209"/>
    <cellStyle name="Normal 3 10" xfId="5290"/>
    <cellStyle name="Normal 3 10 10" xfId="5291"/>
    <cellStyle name="Normal 3 10 10 2" xfId="5292"/>
    <cellStyle name="Normal 3 10 10 2 2" xfId="5293"/>
    <cellStyle name="Normal 3 10 10 3" xfId="5294"/>
    <cellStyle name="Normal 3 10 11" xfId="5295"/>
    <cellStyle name="Normal 3 10 11 2" xfId="5296"/>
    <cellStyle name="Normal 3 10 11 2 2" xfId="5297"/>
    <cellStyle name="Normal 3 10 11 3" xfId="5298"/>
    <cellStyle name="Normal 3 10 12" xfId="5299"/>
    <cellStyle name="Normal 3 10 12 2" xfId="5300"/>
    <cellStyle name="Normal 3 10 12 2 2" xfId="5301"/>
    <cellStyle name="Normal 3 10 12 3" xfId="5302"/>
    <cellStyle name="Normal 3 10 13" xfId="5303"/>
    <cellStyle name="Normal 3 10 13 2" xfId="5304"/>
    <cellStyle name="Normal 3 10 13 2 2" xfId="5305"/>
    <cellStyle name="Normal 3 10 13 3" xfId="5306"/>
    <cellStyle name="Normal 3 10 14" xfId="5307"/>
    <cellStyle name="Normal 3 10 14 2" xfId="5308"/>
    <cellStyle name="Normal 3 10 14 2 2" xfId="5309"/>
    <cellStyle name="Normal 3 10 14 3" xfId="5310"/>
    <cellStyle name="Normal 3 10 15" xfId="5311"/>
    <cellStyle name="Normal 3 10 15 2" xfId="5312"/>
    <cellStyle name="Normal 3 10 15 2 2" xfId="5313"/>
    <cellStyle name="Normal 3 10 15 3" xfId="5314"/>
    <cellStyle name="Normal 3 10 16" xfId="5315"/>
    <cellStyle name="Normal 3 10 16 2" xfId="5316"/>
    <cellStyle name="Normal 3 10 16 2 2" xfId="5317"/>
    <cellStyle name="Normal 3 10 16 3" xfId="5318"/>
    <cellStyle name="Normal 3 10 17" xfId="5319"/>
    <cellStyle name="Normal 3 10 17 2" xfId="5320"/>
    <cellStyle name="Normal 3 10 17 2 2" xfId="5321"/>
    <cellStyle name="Normal 3 10 17 3" xfId="5322"/>
    <cellStyle name="Normal 3 10 18" xfId="5323"/>
    <cellStyle name="Normal 3 10 18 2" xfId="5324"/>
    <cellStyle name="Normal 3 10 18 2 2" xfId="5325"/>
    <cellStyle name="Normal 3 10 18 3" xfId="5326"/>
    <cellStyle name="Normal 3 10 19" xfId="5327"/>
    <cellStyle name="Normal 3 10 19 2" xfId="5328"/>
    <cellStyle name="Normal 3 10 19 2 2" xfId="5329"/>
    <cellStyle name="Normal 3 10 19 3" xfId="5330"/>
    <cellStyle name="Normal 3 10 2" xfId="5331"/>
    <cellStyle name="Normal 3 10 2 2" xfId="5332"/>
    <cellStyle name="Normal 3 10 2 2 2" xfId="5333"/>
    <cellStyle name="Normal 3 10 2 3" xfId="5334"/>
    <cellStyle name="Normal 3 10 20" xfId="5335"/>
    <cellStyle name="Normal 3 10 20 2" xfId="5336"/>
    <cellStyle name="Normal 3 10 20 2 2" xfId="5337"/>
    <cellStyle name="Normal 3 10 20 3" xfId="5338"/>
    <cellStyle name="Normal 3 10 21" xfId="5339"/>
    <cellStyle name="Normal 3 10 21 2" xfId="5340"/>
    <cellStyle name="Normal 3 10 21 2 2" xfId="5341"/>
    <cellStyle name="Normal 3 10 21 3" xfId="5342"/>
    <cellStyle name="Normal 3 10 22" xfId="5343"/>
    <cellStyle name="Normal 3 10 22 2" xfId="5344"/>
    <cellStyle name="Normal 3 10 22 2 2" xfId="5345"/>
    <cellStyle name="Normal 3 10 22 3" xfId="5346"/>
    <cellStyle name="Normal 3 10 23" xfId="5347"/>
    <cellStyle name="Normal 3 10 23 2" xfId="5348"/>
    <cellStyle name="Normal 3 10 23 2 2" xfId="5349"/>
    <cellStyle name="Normal 3 10 23 3" xfId="5350"/>
    <cellStyle name="Normal 3 10 24" xfId="5351"/>
    <cellStyle name="Normal 3 10 24 2" xfId="5352"/>
    <cellStyle name="Normal 3 10 25" xfId="5353"/>
    <cellStyle name="Normal 3 10 3" xfId="5354"/>
    <cellStyle name="Normal 3 10 3 2" xfId="5355"/>
    <cellStyle name="Normal 3 10 3 2 2" xfId="5356"/>
    <cellStyle name="Normal 3 10 3 3" xfId="5357"/>
    <cellStyle name="Normal 3 10 4" xfId="5358"/>
    <cellStyle name="Normal 3 10 4 2" xfId="5359"/>
    <cellStyle name="Normal 3 10 4 2 2" xfId="5360"/>
    <cellStyle name="Normal 3 10 4 3" xfId="5361"/>
    <cellStyle name="Normal 3 10 5" xfId="5362"/>
    <cellStyle name="Normal 3 10 5 2" xfId="5363"/>
    <cellStyle name="Normal 3 10 5 2 2" xfId="5364"/>
    <cellStyle name="Normal 3 10 5 3" xfId="5365"/>
    <cellStyle name="Normal 3 10 6" xfId="5366"/>
    <cellStyle name="Normal 3 10 6 2" xfId="5367"/>
    <cellStyle name="Normal 3 10 6 2 2" xfId="5368"/>
    <cellStyle name="Normal 3 10 6 3" xfId="5369"/>
    <cellStyle name="Normal 3 10 7" xfId="5370"/>
    <cellStyle name="Normal 3 10 7 2" xfId="5371"/>
    <cellStyle name="Normal 3 10 7 2 2" xfId="5372"/>
    <cellStyle name="Normal 3 10 7 3" xfId="5373"/>
    <cellStyle name="Normal 3 10 8" xfId="5374"/>
    <cellStyle name="Normal 3 10 8 2" xfId="5375"/>
    <cellStyle name="Normal 3 10 8 2 2" xfId="5376"/>
    <cellStyle name="Normal 3 10 8 3" xfId="5377"/>
    <cellStyle name="Normal 3 10 9" xfId="5378"/>
    <cellStyle name="Normal 3 10 9 2" xfId="5379"/>
    <cellStyle name="Normal 3 10 9 2 2" xfId="5380"/>
    <cellStyle name="Normal 3 10 9 3" xfId="5381"/>
    <cellStyle name="Normal 3 11" xfId="5382"/>
    <cellStyle name="Normal 3 11 10" xfId="5383"/>
    <cellStyle name="Normal 3 11 10 2" xfId="5384"/>
    <cellStyle name="Normal 3 11 10 2 2" xfId="5385"/>
    <cellStyle name="Normal 3 11 10 3" xfId="5386"/>
    <cellStyle name="Normal 3 11 11" xfId="5387"/>
    <cellStyle name="Normal 3 11 11 2" xfId="5388"/>
    <cellStyle name="Normal 3 11 11 2 2" xfId="5389"/>
    <cellStyle name="Normal 3 11 11 3" xfId="5390"/>
    <cellStyle name="Normal 3 11 12" xfId="5391"/>
    <cellStyle name="Normal 3 11 12 2" xfId="5392"/>
    <cellStyle name="Normal 3 11 12 2 2" xfId="5393"/>
    <cellStyle name="Normal 3 11 12 3" xfId="5394"/>
    <cellStyle name="Normal 3 11 13" xfId="5395"/>
    <cellStyle name="Normal 3 11 13 2" xfId="5396"/>
    <cellStyle name="Normal 3 11 13 2 2" xfId="5397"/>
    <cellStyle name="Normal 3 11 13 3" xfId="5398"/>
    <cellStyle name="Normal 3 11 14" xfId="5399"/>
    <cellStyle name="Normal 3 11 14 2" xfId="5400"/>
    <cellStyle name="Normal 3 11 14 2 2" xfId="5401"/>
    <cellStyle name="Normal 3 11 14 3" xfId="5402"/>
    <cellStyle name="Normal 3 11 15" xfId="5403"/>
    <cellStyle name="Normal 3 11 15 2" xfId="5404"/>
    <cellStyle name="Normal 3 11 15 2 2" xfId="5405"/>
    <cellStyle name="Normal 3 11 15 3" xfId="5406"/>
    <cellStyle name="Normal 3 11 16" xfId="5407"/>
    <cellStyle name="Normal 3 11 16 2" xfId="5408"/>
    <cellStyle name="Normal 3 11 16 2 2" xfId="5409"/>
    <cellStyle name="Normal 3 11 16 3" xfId="5410"/>
    <cellStyle name="Normal 3 11 17" xfId="5411"/>
    <cellStyle name="Normal 3 11 17 2" xfId="5412"/>
    <cellStyle name="Normal 3 11 17 2 2" xfId="5413"/>
    <cellStyle name="Normal 3 11 17 3" xfId="5414"/>
    <cellStyle name="Normal 3 11 18" xfId="5415"/>
    <cellStyle name="Normal 3 11 18 2" xfId="5416"/>
    <cellStyle name="Normal 3 11 18 2 2" xfId="5417"/>
    <cellStyle name="Normal 3 11 18 3" xfId="5418"/>
    <cellStyle name="Normal 3 11 19" xfId="5419"/>
    <cellStyle name="Normal 3 11 19 2" xfId="5420"/>
    <cellStyle name="Normal 3 11 19 2 2" xfId="5421"/>
    <cellStyle name="Normal 3 11 19 3" xfId="5422"/>
    <cellStyle name="Normal 3 11 2" xfId="5423"/>
    <cellStyle name="Normal 3 11 2 2" xfId="5424"/>
    <cellStyle name="Normal 3 11 2 2 2" xfId="5425"/>
    <cellStyle name="Normal 3 11 2 3" xfId="5426"/>
    <cellStyle name="Normal 3 11 20" xfId="5427"/>
    <cellStyle name="Normal 3 11 20 2" xfId="5428"/>
    <cellStyle name="Normal 3 11 20 2 2" xfId="5429"/>
    <cellStyle name="Normal 3 11 20 3" xfId="5430"/>
    <cellStyle name="Normal 3 11 21" xfId="5431"/>
    <cellStyle name="Normal 3 11 21 2" xfId="5432"/>
    <cellStyle name="Normal 3 11 21 2 2" xfId="5433"/>
    <cellStyle name="Normal 3 11 21 3" xfId="5434"/>
    <cellStyle name="Normal 3 11 22" xfId="5435"/>
    <cellStyle name="Normal 3 11 22 2" xfId="5436"/>
    <cellStyle name="Normal 3 11 22 2 2" xfId="5437"/>
    <cellStyle name="Normal 3 11 22 3" xfId="5438"/>
    <cellStyle name="Normal 3 11 23" xfId="5439"/>
    <cellStyle name="Normal 3 11 23 2" xfId="5440"/>
    <cellStyle name="Normal 3 11 23 2 2" xfId="5441"/>
    <cellStyle name="Normal 3 11 23 3" xfId="5442"/>
    <cellStyle name="Normal 3 11 24" xfId="5443"/>
    <cellStyle name="Normal 3 11 24 2" xfId="5444"/>
    <cellStyle name="Normal 3 11 25" xfId="5445"/>
    <cellStyle name="Normal 3 11 3" xfId="5446"/>
    <cellStyle name="Normal 3 11 3 2" xfId="5447"/>
    <cellStyle name="Normal 3 11 3 2 2" xfId="5448"/>
    <cellStyle name="Normal 3 11 3 3" xfId="5449"/>
    <cellStyle name="Normal 3 11 4" xfId="5450"/>
    <cellStyle name="Normal 3 11 4 2" xfId="5451"/>
    <cellStyle name="Normal 3 11 4 2 2" xfId="5452"/>
    <cellStyle name="Normal 3 11 4 3" xfId="5453"/>
    <cellStyle name="Normal 3 11 5" xfId="5454"/>
    <cellStyle name="Normal 3 11 5 2" xfId="5455"/>
    <cellStyle name="Normal 3 11 5 2 2" xfId="5456"/>
    <cellStyle name="Normal 3 11 5 3" xfId="5457"/>
    <cellStyle name="Normal 3 11 6" xfId="5458"/>
    <cellStyle name="Normal 3 11 6 2" xfId="5459"/>
    <cellStyle name="Normal 3 11 6 2 2" xfId="5460"/>
    <cellStyle name="Normal 3 11 6 3" xfId="5461"/>
    <cellStyle name="Normal 3 11 7" xfId="5462"/>
    <cellStyle name="Normal 3 11 7 2" xfId="5463"/>
    <cellStyle name="Normal 3 11 7 2 2" xfId="5464"/>
    <cellStyle name="Normal 3 11 7 3" xfId="5465"/>
    <cellStyle name="Normal 3 11 8" xfId="5466"/>
    <cellStyle name="Normal 3 11 8 2" xfId="5467"/>
    <cellStyle name="Normal 3 11 8 2 2" xfId="5468"/>
    <cellStyle name="Normal 3 11 8 3" xfId="5469"/>
    <cellStyle name="Normal 3 11 9" xfId="5470"/>
    <cellStyle name="Normal 3 11 9 2" xfId="5471"/>
    <cellStyle name="Normal 3 11 9 2 2" xfId="5472"/>
    <cellStyle name="Normal 3 11 9 3" xfId="5473"/>
    <cellStyle name="Normal 3 12" xfId="5474"/>
    <cellStyle name="Normal 3 12 10" xfId="5475"/>
    <cellStyle name="Normal 3 12 10 2" xfId="5476"/>
    <cellStyle name="Normal 3 12 10 2 2" xfId="5477"/>
    <cellStyle name="Normal 3 12 10 3" xfId="5478"/>
    <cellStyle name="Normal 3 12 11" xfId="5479"/>
    <cellStyle name="Normal 3 12 11 2" xfId="5480"/>
    <cellStyle name="Normal 3 12 11 2 2" xfId="5481"/>
    <cellStyle name="Normal 3 12 11 3" xfId="5482"/>
    <cellStyle name="Normal 3 12 12" xfId="5483"/>
    <cellStyle name="Normal 3 12 12 2" xfId="5484"/>
    <cellStyle name="Normal 3 12 12 2 2" xfId="5485"/>
    <cellStyle name="Normal 3 12 12 3" xfId="5486"/>
    <cellStyle name="Normal 3 12 13" xfId="5487"/>
    <cellStyle name="Normal 3 12 13 2" xfId="5488"/>
    <cellStyle name="Normal 3 12 13 2 2" xfId="5489"/>
    <cellStyle name="Normal 3 12 13 3" xfId="5490"/>
    <cellStyle name="Normal 3 12 14" xfId="5491"/>
    <cellStyle name="Normal 3 12 14 2" xfId="5492"/>
    <cellStyle name="Normal 3 12 14 2 2" xfId="5493"/>
    <cellStyle name="Normal 3 12 14 3" xfId="5494"/>
    <cellStyle name="Normal 3 12 15" xfId="5495"/>
    <cellStyle name="Normal 3 12 15 2" xfId="5496"/>
    <cellStyle name="Normal 3 12 15 2 2" xfId="5497"/>
    <cellStyle name="Normal 3 12 15 3" xfId="5498"/>
    <cellStyle name="Normal 3 12 16" xfId="5499"/>
    <cellStyle name="Normal 3 12 16 2" xfId="5500"/>
    <cellStyle name="Normal 3 12 16 2 2" xfId="5501"/>
    <cellStyle name="Normal 3 12 16 3" xfId="5502"/>
    <cellStyle name="Normal 3 12 17" xfId="5503"/>
    <cellStyle name="Normal 3 12 17 2" xfId="5504"/>
    <cellStyle name="Normal 3 12 17 2 2" xfId="5505"/>
    <cellStyle name="Normal 3 12 17 3" xfId="5506"/>
    <cellStyle name="Normal 3 12 18" xfId="5507"/>
    <cellStyle name="Normal 3 12 18 2" xfId="5508"/>
    <cellStyle name="Normal 3 12 18 2 2" xfId="5509"/>
    <cellStyle name="Normal 3 12 18 3" xfId="5510"/>
    <cellStyle name="Normal 3 12 19" xfId="5511"/>
    <cellStyle name="Normal 3 12 19 2" xfId="5512"/>
    <cellStyle name="Normal 3 12 19 2 2" xfId="5513"/>
    <cellStyle name="Normal 3 12 19 3" xfId="5514"/>
    <cellStyle name="Normal 3 12 2" xfId="5515"/>
    <cellStyle name="Normal 3 12 2 2" xfId="5516"/>
    <cellStyle name="Normal 3 12 2 2 2" xfId="5517"/>
    <cellStyle name="Normal 3 12 2 3" xfId="5518"/>
    <cellStyle name="Normal 3 12 20" xfId="5519"/>
    <cellStyle name="Normal 3 12 20 2" xfId="5520"/>
    <cellStyle name="Normal 3 12 20 2 2" xfId="5521"/>
    <cellStyle name="Normal 3 12 20 3" xfId="5522"/>
    <cellStyle name="Normal 3 12 21" xfId="5523"/>
    <cellStyle name="Normal 3 12 21 2" xfId="5524"/>
    <cellStyle name="Normal 3 12 21 2 2" xfId="5525"/>
    <cellStyle name="Normal 3 12 21 3" xfId="5526"/>
    <cellStyle name="Normal 3 12 22" xfId="5527"/>
    <cellStyle name="Normal 3 12 22 2" xfId="5528"/>
    <cellStyle name="Normal 3 12 22 2 2" xfId="5529"/>
    <cellStyle name="Normal 3 12 22 3" xfId="5530"/>
    <cellStyle name="Normal 3 12 23" xfId="5531"/>
    <cellStyle name="Normal 3 12 23 2" xfId="5532"/>
    <cellStyle name="Normal 3 12 23 2 2" xfId="5533"/>
    <cellStyle name="Normal 3 12 23 3" xfId="5534"/>
    <cellStyle name="Normal 3 12 24" xfId="5535"/>
    <cellStyle name="Normal 3 12 24 2" xfId="5536"/>
    <cellStyle name="Normal 3 12 25" xfId="5537"/>
    <cellStyle name="Normal 3 12 3" xfId="5538"/>
    <cellStyle name="Normal 3 12 3 2" xfId="5539"/>
    <cellStyle name="Normal 3 12 3 2 2" xfId="5540"/>
    <cellStyle name="Normal 3 12 3 3" xfId="5541"/>
    <cellStyle name="Normal 3 12 4" xfId="5542"/>
    <cellStyle name="Normal 3 12 4 2" xfId="5543"/>
    <cellStyle name="Normal 3 12 4 2 2" xfId="5544"/>
    <cellStyle name="Normal 3 12 4 3" xfId="5545"/>
    <cellStyle name="Normal 3 12 5" xfId="5546"/>
    <cellStyle name="Normal 3 12 5 2" xfId="5547"/>
    <cellStyle name="Normal 3 12 5 2 2" xfId="5548"/>
    <cellStyle name="Normal 3 12 5 3" xfId="5549"/>
    <cellStyle name="Normal 3 12 6" xfId="5550"/>
    <cellStyle name="Normal 3 12 6 2" xfId="5551"/>
    <cellStyle name="Normal 3 12 6 2 2" xfId="5552"/>
    <cellStyle name="Normal 3 12 6 3" xfId="5553"/>
    <cellStyle name="Normal 3 12 7" xfId="5554"/>
    <cellStyle name="Normal 3 12 7 2" xfId="5555"/>
    <cellStyle name="Normal 3 12 7 2 2" xfId="5556"/>
    <cellStyle name="Normal 3 12 7 3" xfId="5557"/>
    <cellStyle name="Normal 3 12 8" xfId="5558"/>
    <cellStyle name="Normal 3 12 8 2" xfId="5559"/>
    <cellStyle name="Normal 3 12 8 2 2" xfId="5560"/>
    <cellStyle name="Normal 3 12 8 3" xfId="5561"/>
    <cellStyle name="Normal 3 12 9" xfId="5562"/>
    <cellStyle name="Normal 3 12 9 2" xfId="5563"/>
    <cellStyle name="Normal 3 12 9 2 2" xfId="5564"/>
    <cellStyle name="Normal 3 12 9 3" xfId="5565"/>
    <cellStyle name="Normal 3 13" xfId="5566"/>
    <cellStyle name="Normal 3 13 10" xfId="5567"/>
    <cellStyle name="Normal 3 13 10 2" xfId="5568"/>
    <cellStyle name="Normal 3 13 10 2 2" xfId="5569"/>
    <cellStyle name="Normal 3 13 10 3" xfId="5570"/>
    <cellStyle name="Normal 3 13 11" xfId="5571"/>
    <cellStyle name="Normal 3 13 11 2" xfId="5572"/>
    <cellStyle name="Normal 3 13 11 2 2" xfId="5573"/>
    <cellStyle name="Normal 3 13 11 3" xfId="5574"/>
    <cellStyle name="Normal 3 13 12" xfId="5575"/>
    <cellStyle name="Normal 3 13 12 2" xfId="5576"/>
    <cellStyle name="Normal 3 13 12 2 2" xfId="5577"/>
    <cellStyle name="Normal 3 13 12 3" xfId="5578"/>
    <cellStyle name="Normal 3 13 13" xfId="5579"/>
    <cellStyle name="Normal 3 13 13 2" xfId="5580"/>
    <cellStyle name="Normal 3 13 13 2 2" xfId="5581"/>
    <cellStyle name="Normal 3 13 13 3" xfId="5582"/>
    <cellStyle name="Normal 3 13 14" xfId="5583"/>
    <cellStyle name="Normal 3 13 14 2" xfId="5584"/>
    <cellStyle name="Normal 3 13 14 2 2" xfId="5585"/>
    <cellStyle name="Normal 3 13 14 3" xfId="5586"/>
    <cellStyle name="Normal 3 13 15" xfId="5587"/>
    <cellStyle name="Normal 3 13 15 2" xfId="5588"/>
    <cellStyle name="Normal 3 13 15 2 2" xfId="5589"/>
    <cellStyle name="Normal 3 13 15 3" xfId="5590"/>
    <cellStyle name="Normal 3 13 16" xfId="5591"/>
    <cellStyle name="Normal 3 13 16 2" xfId="5592"/>
    <cellStyle name="Normal 3 13 16 2 2" xfId="5593"/>
    <cellStyle name="Normal 3 13 16 3" xfId="5594"/>
    <cellStyle name="Normal 3 13 17" xfId="5595"/>
    <cellStyle name="Normal 3 13 17 2" xfId="5596"/>
    <cellStyle name="Normal 3 13 17 2 2" xfId="5597"/>
    <cellStyle name="Normal 3 13 17 3" xfId="5598"/>
    <cellStyle name="Normal 3 13 18" xfId="5599"/>
    <cellStyle name="Normal 3 13 18 2" xfId="5600"/>
    <cellStyle name="Normal 3 13 18 2 2" xfId="5601"/>
    <cellStyle name="Normal 3 13 18 3" xfId="5602"/>
    <cellStyle name="Normal 3 13 19" xfId="5603"/>
    <cellStyle name="Normal 3 13 19 2" xfId="5604"/>
    <cellStyle name="Normal 3 13 19 2 2" xfId="5605"/>
    <cellStyle name="Normal 3 13 19 3" xfId="5606"/>
    <cellStyle name="Normal 3 13 2" xfId="5607"/>
    <cellStyle name="Normal 3 13 2 2" xfId="5608"/>
    <cellStyle name="Normal 3 13 2 2 2" xfId="5609"/>
    <cellStyle name="Normal 3 13 2 3" xfId="5610"/>
    <cellStyle name="Normal 3 13 20" xfId="5611"/>
    <cellStyle name="Normal 3 13 20 2" xfId="5612"/>
    <cellStyle name="Normal 3 13 20 2 2" xfId="5613"/>
    <cellStyle name="Normal 3 13 20 3" xfId="5614"/>
    <cellStyle name="Normal 3 13 21" xfId="5615"/>
    <cellStyle name="Normal 3 13 21 2" xfId="5616"/>
    <cellStyle name="Normal 3 13 21 2 2" xfId="5617"/>
    <cellStyle name="Normal 3 13 21 3" xfId="5618"/>
    <cellStyle name="Normal 3 13 22" xfId="5619"/>
    <cellStyle name="Normal 3 13 22 2" xfId="5620"/>
    <cellStyle name="Normal 3 13 22 2 2" xfId="5621"/>
    <cellStyle name="Normal 3 13 22 3" xfId="5622"/>
    <cellStyle name="Normal 3 13 23" xfId="5623"/>
    <cellStyle name="Normal 3 13 23 2" xfId="5624"/>
    <cellStyle name="Normal 3 13 23 2 2" xfId="5625"/>
    <cellStyle name="Normal 3 13 23 3" xfId="5626"/>
    <cellStyle name="Normal 3 13 24" xfId="5627"/>
    <cellStyle name="Normal 3 13 24 2" xfId="5628"/>
    <cellStyle name="Normal 3 13 25" xfId="5629"/>
    <cellStyle name="Normal 3 13 3" xfId="5630"/>
    <cellStyle name="Normal 3 13 3 2" xfId="5631"/>
    <cellStyle name="Normal 3 13 3 2 2" xfId="5632"/>
    <cellStyle name="Normal 3 13 3 3" xfId="5633"/>
    <cellStyle name="Normal 3 13 4" xfId="5634"/>
    <cellStyle name="Normal 3 13 4 2" xfId="5635"/>
    <cellStyle name="Normal 3 13 4 2 2" xfId="5636"/>
    <cellStyle name="Normal 3 13 4 3" xfId="5637"/>
    <cellStyle name="Normal 3 13 5" xfId="5638"/>
    <cellStyle name="Normal 3 13 5 2" xfId="5639"/>
    <cellStyle name="Normal 3 13 5 2 2" xfId="5640"/>
    <cellStyle name="Normal 3 13 5 3" xfId="5641"/>
    <cellStyle name="Normal 3 13 6" xfId="5642"/>
    <cellStyle name="Normal 3 13 6 2" xfId="5643"/>
    <cellStyle name="Normal 3 13 6 2 2" xfId="5644"/>
    <cellStyle name="Normal 3 13 6 3" xfId="5645"/>
    <cellStyle name="Normal 3 13 7" xfId="5646"/>
    <cellStyle name="Normal 3 13 7 2" xfId="5647"/>
    <cellStyle name="Normal 3 13 7 2 2" xfId="5648"/>
    <cellStyle name="Normal 3 13 7 3" xfId="5649"/>
    <cellStyle name="Normal 3 13 8" xfId="5650"/>
    <cellStyle name="Normal 3 13 8 2" xfId="5651"/>
    <cellStyle name="Normal 3 13 8 2 2" xfId="5652"/>
    <cellStyle name="Normal 3 13 8 3" xfId="5653"/>
    <cellStyle name="Normal 3 13 9" xfId="5654"/>
    <cellStyle name="Normal 3 13 9 2" xfId="5655"/>
    <cellStyle name="Normal 3 13 9 2 2" xfId="5656"/>
    <cellStyle name="Normal 3 13 9 3" xfId="5657"/>
    <cellStyle name="Normal 3 14" xfId="5658"/>
    <cellStyle name="Normal 3 14 10" xfId="5659"/>
    <cellStyle name="Normal 3 14 10 2" xfId="5660"/>
    <cellStyle name="Normal 3 14 10 2 2" xfId="5661"/>
    <cellStyle name="Normal 3 14 10 3" xfId="5662"/>
    <cellStyle name="Normal 3 14 11" xfId="5663"/>
    <cellStyle name="Normal 3 14 11 2" xfId="5664"/>
    <cellStyle name="Normal 3 14 11 2 2" xfId="5665"/>
    <cellStyle name="Normal 3 14 11 3" xfId="5666"/>
    <cellStyle name="Normal 3 14 12" xfId="5667"/>
    <cellStyle name="Normal 3 14 12 2" xfId="5668"/>
    <cellStyle name="Normal 3 14 12 2 2" xfId="5669"/>
    <cellStyle name="Normal 3 14 12 3" xfId="5670"/>
    <cellStyle name="Normal 3 14 13" xfId="5671"/>
    <cellStyle name="Normal 3 14 13 2" xfId="5672"/>
    <cellStyle name="Normal 3 14 13 2 2" xfId="5673"/>
    <cellStyle name="Normal 3 14 13 3" xfId="5674"/>
    <cellStyle name="Normal 3 14 14" xfId="5675"/>
    <cellStyle name="Normal 3 14 14 2" xfId="5676"/>
    <cellStyle name="Normal 3 14 14 2 2" xfId="5677"/>
    <cellStyle name="Normal 3 14 14 3" xfId="5678"/>
    <cellStyle name="Normal 3 14 15" xfId="5679"/>
    <cellStyle name="Normal 3 14 15 2" xfId="5680"/>
    <cellStyle name="Normal 3 14 15 2 2" xfId="5681"/>
    <cellStyle name="Normal 3 14 15 3" xfId="5682"/>
    <cellStyle name="Normal 3 14 16" xfId="5683"/>
    <cellStyle name="Normal 3 14 16 2" xfId="5684"/>
    <cellStyle name="Normal 3 14 16 2 2" xfId="5685"/>
    <cellStyle name="Normal 3 14 16 3" xfId="5686"/>
    <cellStyle name="Normal 3 14 17" xfId="5687"/>
    <cellStyle name="Normal 3 14 17 2" xfId="5688"/>
    <cellStyle name="Normal 3 14 17 2 2" xfId="5689"/>
    <cellStyle name="Normal 3 14 17 3" xfId="5690"/>
    <cellStyle name="Normal 3 14 18" xfId="5691"/>
    <cellStyle name="Normal 3 14 18 2" xfId="5692"/>
    <cellStyle name="Normal 3 14 18 2 2" xfId="5693"/>
    <cellStyle name="Normal 3 14 18 3" xfId="5694"/>
    <cellStyle name="Normal 3 14 19" xfId="5695"/>
    <cellStyle name="Normal 3 14 19 2" xfId="5696"/>
    <cellStyle name="Normal 3 14 19 2 2" xfId="5697"/>
    <cellStyle name="Normal 3 14 19 3" xfId="5698"/>
    <cellStyle name="Normal 3 14 2" xfId="5699"/>
    <cellStyle name="Normal 3 14 2 2" xfId="5700"/>
    <cellStyle name="Normal 3 14 2 2 2" xfId="5701"/>
    <cellStyle name="Normal 3 14 2 3" xfId="5702"/>
    <cellStyle name="Normal 3 14 20" xfId="5703"/>
    <cellStyle name="Normal 3 14 20 2" xfId="5704"/>
    <cellStyle name="Normal 3 14 20 2 2" xfId="5705"/>
    <cellStyle name="Normal 3 14 20 3" xfId="5706"/>
    <cellStyle name="Normal 3 14 21" xfId="5707"/>
    <cellStyle name="Normal 3 14 21 2" xfId="5708"/>
    <cellStyle name="Normal 3 14 21 2 2" xfId="5709"/>
    <cellStyle name="Normal 3 14 21 3" xfId="5710"/>
    <cellStyle name="Normal 3 14 22" xfId="5711"/>
    <cellStyle name="Normal 3 14 22 2" xfId="5712"/>
    <cellStyle name="Normal 3 14 22 2 2" xfId="5713"/>
    <cellStyle name="Normal 3 14 22 3" xfId="5714"/>
    <cellStyle name="Normal 3 14 23" xfId="5715"/>
    <cellStyle name="Normal 3 14 23 2" xfId="5716"/>
    <cellStyle name="Normal 3 14 23 2 2" xfId="5717"/>
    <cellStyle name="Normal 3 14 23 3" xfId="5718"/>
    <cellStyle name="Normal 3 14 24" xfId="5719"/>
    <cellStyle name="Normal 3 14 24 2" xfId="5720"/>
    <cellStyle name="Normal 3 14 25" xfId="5721"/>
    <cellStyle name="Normal 3 14 3" xfId="5722"/>
    <cellStyle name="Normal 3 14 3 2" xfId="5723"/>
    <cellStyle name="Normal 3 14 3 2 2" xfId="5724"/>
    <cellStyle name="Normal 3 14 3 3" xfId="5725"/>
    <cellStyle name="Normal 3 14 4" xfId="5726"/>
    <cellStyle name="Normal 3 14 4 2" xfId="5727"/>
    <cellStyle name="Normal 3 14 4 2 2" xfId="5728"/>
    <cellStyle name="Normal 3 14 4 3" xfId="5729"/>
    <cellStyle name="Normal 3 14 5" xfId="5730"/>
    <cellStyle name="Normal 3 14 5 2" xfId="5731"/>
    <cellStyle name="Normal 3 14 5 2 2" xfId="5732"/>
    <cellStyle name="Normal 3 14 5 3" xfId="5733"/>
    <cellStyle name="Normal 3 14 6" xfId="5734"/>
    <cellStyle name="Normal 3 14 6 2" xfId="5735"/>
    <cellStyle name="Normal 3 14 6 2 2" xfId="5736"/>
    <cellStyle name="Normal 3 14 6 3" xfId="5737"/>
    <cellStyle name="Normal 3 14 7" xfId="5738"/>
    <cellStyle name="Normal 3 14 7 2" xfId="5739"/>
    <cellStyle name="Normal 3 14 7 2 2" xfId="5740"/>
    <cellStyle name="Normal 3 14 7 3" xfId="5741"/>
    <cellStyle name="Normal 3 14 8" xfId="5742"/>
    <cellStyle name="Normal 3 14 8 2" xfId="5743"/>
    <cellStyle name="Normal 3 14 8 2 2" xfId="5744"/>
    <cellStyle name="Normal 3 14 8 3" xfId="5745"/>
    <cellStyle name="Normal 3 14 9" xfId="5746"/>
    <cellStyle name="Normal 3 14 9 2" xfId="5747"/>
    <cellStyle name="Normal 3 14 9 2 2" xfId="5748"/>
    <cellStyle name="Normal 3 14 9 3" xfId="5749"/>
    <cellStyle name="Normal 3 15" xfId="5750"/>
    <cellStyle name="Normal 3 15 10" xfId="5751"/>
    <cellStyle name="Normal 3 15 10 2" xfId="5752"/>
    <cellStyle name="Normal 3 15 10 2 2" xfId="5753"/>
    <cellStyle name="Normal 3 15 10 3" xfId="5754"/>
    <cellStyle name="Normal 3 15 11" xfId="5755"/>
    <cellStyle name="Normal 3 15 11 2" xfId="5756"/>
    <cellStyle name="Normal 3 15 11 2 2" xfId="5757"/>
    <cellStyle name="Normal 3 15 11 3" xfId="5758"/>
    <cellStyle name="Normal 3 15 12" xfId="5759"/>
    <cellStyle name="Normal 3 15 12 2" xfId="5760"/>
    <cellStyle name="Normal 3 15 12 2 2" xfId="5761"/>
    <cellStyle name="Normal 3 15 12 3" xfId="5762"/>
    <cellStyle name="Normal 3 15 13" xfId="5763"/>
    <cellStyle name="Normal 3 15 13 2" xfId="5764"/>
    <cellStyle name="Normal 3 15 13 2 2" xfId="5765"/>
    <cellStyle name="Normal 3 15 13 3" xfId="5766"/>
    <cellStyle name="Normal 3 15 14" xfId="5767"/>
    <cellStyle name="Normal 3 15 14 2" xfId="5768"/>
    <cellStyle name="Normal 3 15 14 2 2" xfId="5769"/>
    <cellStyle name="Normal 3 15 14 3" xfId="5770"/>
    <cellStyle name="Normal 3 15 15" xfId="5771"/>
    <cellStyle name="Normal 3 15 15 2" xfId="5772"/>
    <cellStyle name="Normal 3 15 15 2 2" xfId="5773"/>
    <cellStyle name="Normal 3 15 15 3" xfId="5774"/>
    <cellStyle name="Normal 3 15 16" xfId="5775"/>
    <cellStyle name="Normal 3 15 16 2" xfId="5776"/>
    <cellStyle name="Normal 3 15 16 2 2" xfId="5777"/>
    <cellStyle name="Normal 3 15 16 3" xfId="5778"/>
    <cellStyle name="Normal 3 15 17" xfId="5779"/>
    <cellStyle name="Normal 3 15 17 2" xfId="5780"/>
    <cellStyle name="Normal 3 15 17 2 2" xfId="5781"/>
    <cellStyle name="Normal 3 15 17 3" xfId="5782"/>
    <cellStyle name="Normal 3 15 18" xfId="5783"/>
    <cellStyle name="Normal 3 15 18 2" xfId="5784"/>
    <cellStyle name="Normal 3 15 18 2 2" xfId="5785"/>
    <cellStyle name="Normal 3 15 18 3" xfId="5786"/>
    <cellStyle name="Normal 3 15 19" xfId="5787"/>
    <cellStyle name="Normal 3 15 19 2" xfId="5788"/>
    <cellStyle name="Normal 3 15 19 2 2" xfId="5789"/>
    <cellStyle name="Normal 3 15 19 3" xfId="5790"/>
    <cellStyle name="Normal 3 15 2" xfId="5791"/>
    <cellStyle name="Normal 3 15 2 2" xfId="5792"/>
    <cellStyle name="Normal 3 15 2 2 2" xfId="5793"/>
    <cellStyle name="Normal 3 15 2 3" xfId="5794"/>
    <cellStyle name="Normal 3 15 20" xfId="5795"/>
    <cellStyle name="Normal 3 15 20 2" xfId="5796"/>
    <cellStyle name="Normal 3 15 20 2 2" xfId="5797"/>
    <cellStyle name="Normal 3 15 20 3" xfId="5798"/>
    <cellStyle name="Normal 3 15 21" xfId="5799"/>
    <cellStyle name="Normal 3 15 21 2" xfId="5800"/>
    <cellStyle name="Normal 3 15 21 2 2" xfId="5801"/>
    <cellStyle name="Normal 3 15 21 3" xfId="5802"/>
    <cellStyle name="Normal 3 15 22" xfId="5803"/>
    <cellStyle name="Normal 3 15 22 2" xfId="5804"/>
    <cellStyle name="Normal 3 15 22 2 2" xfId="5805"/>
    <cellStyle name="Normal 3 15 22 3" xfId="5806"/>
    <cellStyle name="Normal 3 15 23" xfId="5807"/>
    <cellStyle name="Normal 3 15 23 2" xfId="5808"/>
    <cellStyle name="Normal 3 15 23 2 2" xfId="5809"/>
    <cellStyle name="Normal 3 15 23 3" xfId="5810"/>
    <cellStyle name="Normal 3 15 24" xfId="5811"/>
    <cellStyle name="Normal 3 15 24 2" xfId="5812"/>
    <cellStyle name="Normal 3 15 25" xfId="5813"/>
    <cellStyle name="Normal 3 15 3" xfId="5814"/>
    <cellStyle name="Normal 3 15 3 2" xfId="5815"/>
    <cellStyle name="Normal 3 15 3 2 2" xfId="5816"/>
    <cellStyle name="Normal 3 15 3 3" xfId="5817"/>
    <cellStyle name="Normal 3 15 4" xfId="5818"/>
    <cellStyle name="Normal 3 15 4 2" xfId="5819"/>
    <cellStyle name="Normal 3 15 4 2 2" xfId="5820"/>
    <cellStyle name="Normal 3 15 4 3" xfId="5821"/>
    <cellStyle name="Normal 3 15 5" xfId="5822"/>
    <cellStyle name="Normal 3 15 5 2" xfId="5823"/>
    <cellStyle name="Normal 3 15 5 2 2" xfId="5824"/>
    <cellStyle name="Normal 3 15 5 3" xfId="5825"/>
    <cellStyle name="Normal 3 15 6" xfId="5826"/>
    <cellStyle name="Normal 3 15 6 2" xfId="5827"/>
    <cellStyle name="Normal 3 15 6 2 2" xfId="5828"/>
    <cellStyle name="Normal 3 15 6 3" xfId="5829"/>
    <cellStyle name="Normal 3 15 7" xfId="5830"/>
    <cellStyle name="Normal 3 15 7 2" xfId="5831"/>
    <cellStyle name="Normal 3 15 7 2 2" xfId="5832"/>
    <cellStyle name="Normal 3 15 7 3" xfId="5833"/>
    <cellStyle name="Normal 3 15 8" xfId="5834"/>
    <cellStyle name="Normal 3 15 8 2" xfId="5835"/>
    <cellStyle name="Normal 3 15 8 2 2" xfId="5836"/>
    <cellStyle name="Normal 3 15 8 3" xfId="5837"/>
    <cellStyle name="Normal 3 15 9" xfId="5838"/>
    <cellStyle name="Normal 3 15 9 2" xfId="5839"/>
    <cellStyle name="Normal 3 15 9 2 2" xfId="5840"/>
    <cellStyle name="Normal 3 15 9 3" xfId="5841"/>
    <cellStyle name="Normal 3 16" xfId="5842"/>
    <cellStyle name="Normal 3 16 10" xfId="5843"/>
    <cellStyle name="Normal 3 16 10 2" xfId="5844"/>
    <cellStyle name="Normal 3 16 10 2 2" xfId="5845"/>
    <cellStyle name="Normal 3 16 10 3" xfId="5846"/>
    <cellStyle name="Normal 3 16 11" xfId="5847"/>
    <cellStyle name="Normal 3 16 11 2" xfId="5848"/>
    <cellStyle name="Normal 3 16 11 2 2" xfId="5849"/>
    <cellStyle name="Normal 3 16 11 3" xfId="5850"/>
    <cellStyle name="Normal 3 16 12" xfId="5851"/>
    <cellStyle name="Normal 3 16 12 2" xfId="5852"/>
    <cellStyle name="Normal 3 16 12 2 2" xfId="5853"/>
    <cellStyle name="Normal 3 16 12 3" xfId="5854"/>
    <cellStyle name="Normal 3 16 13" xfId="5855"/>
    <cellStyle name="Normal 3 16 13 2" xfId="5856"/>
    <cellStyle name="Normal 3 16 13 2 2" xfId="5857"/>
    <cellStyle name="Normal 3 16 13 3" xfId="5858"/>
    <cellStyle name="Normal 3 16 14" xfId="5859"/>
    <cellStyle name="Normal 3 16 14 2" xfId="5860"/>
    <cellStyle name="Normal 3 16 14 2 2" xfId="5861"/>
    <cellStyle name="Normal 3 16 14 3" xfId="5862"/>
    <cellStyle name="Normal 3 16 15" xfId="5863"/>
    <cellStyle name="Normal 3 16 15 2" xfId="5864"/>
    <cellStyle name="Normal 3 16 15 2 2" xfId="5865"/>
    <cellStyle name="Normal 3 16 15 3" xfId="5866"/>
    <cellStyle name="Normal 3 16 16" xfId="5867"/>
    <cellStyle name="Normal 3 16 16 2" xfId="5868"/>
    <cellStyle name="Normal 3 16 16 2 2" xfId="5869"/>
    <cellStyle name="Normal 3 16 16 3" xfId="5870"/>
    <cellStyle name="Normal 3 16 17" xfId="5871"/>
    <cellStyle name="Normal 3 16 17 2" xfId="5872"/>
    <cellStyle name="Normal 3 16 17 2 2" xfId="5873"/>
    <cellStyle name="Normal 3 16 17 3" xfId="5874"/>
    <cellStyle name="Normal 3 16 18" xfId="5875"/>
    <cellStyle name="Normal 3 16 18 2" xfId="5876"/>
    <cellStyle name="Normal 3 16 18 2 2" xfId="5877"/>
    <cellStyle name="Normal 3 16 18 3" xfId="5878"/>
    <cellStyle name="Normal 3 16 19" xfId="5879"/>
    <cellStyle name="Normal 3 16 19 2" xfId="5880"/>
    <cellStyle name="Normal 3 16 19 2 2" xfId="5881"/>
    <cellStyle name="Normal 3 16 19 3" xfId="5882"/>
    <cellStyle name="Normal 3 16 2" xfId="5883"/>
    <cellStyle name="Normal 3 16 2 2" xfId="5884"/>
    <cellStyle name="Normal 3 16 2 2 2" xfId="5885"/>
    <cellStyle name="Normal 3 16 2 3" xfId="5886"/>
    <cellStyle name="Normal 3 16 20" xfId="5887"/>
    <cellStyle name="Normal 3 16 20 2" xfId="5888"/>
    <cellStyle name="Normal 3 16 20 2 2" xfId="5889"/>
    <cellStyle name="Normal 3 16 20 3" xfId="5890"/>
    <cellStyle name="Normal 3 16 21" xfId="5891"/>
    <cellStyle name="Normal 3 16 21 2" xfId="5892"/>
    <cellStyle name="Normal 3 16 21 2 2" xfId="5893"/>
    <cellStyle name="Normal 3 16 21 3" xfId="5894"/>
    <cellStyle name="Normal 3 16 22" xfId="5895"/>
    <cellStyle name="Normal 3 16 22 2" xfId="5896"/>
    <cellStyle name="Normal 3 16 22 2 2" xfId="5897"/>
    <cellStyle name="Normal 3 16 22 3" xfId="5898"/>
    <cellStyle name="Normal 3 16 23" xfId="5899"/>
    <cellStyle name="Normal 3 16 23 2" xfId="5900"/>
    <cellStyle name="Normal 3 16 23 2 2" xfId="5901"/>
    <cellStyle name="Normal 3 16 23 3" xfId="5902"/>
    <cellStyle name="Normal 3 16 24" xfId="5903"/>
    <cellStyle name="Normal 3 16 24 2" xfId="5904"/>
    <cellStyle name="Normal 3 16 25" xfId="5905"/>
    <cellStyle name="Normal 3 16 3" xfId="5906"/>
    <cellStyle name="Normal 3 16 3 2" xfId="5907"/>
    <cellStyle name="Normal 3 16 3 2 2" xfId="5908"/>
    <cellStyle name="Normal 3 16 3 3" xfId="5909"/>
    <cellStyle name="Normal 3 16 4" xfId="5910"/>
    <cellStyle name="Normal 3 16 4 2" xfId="5911"/>
    <cellStyle name="Normal 3 16 4 2 2" xfId="5912"/>
    <cellStyle name="Normal 3 16 4 3" xfId="5913"/>
    <cellStyle name="Normal 3 16 5" xfId="5914"/>
    <cellStyle name="Normal 3 16 5 2" xfId="5915"/>
    <cellStyle name="Normal 3 16 5 2 2" xfId="5916"/>
    <cellStyle name="Normal 3 16 5 3" xfId="5917"/>
    <cellStyle name="Normal 3 16 6" xfId="5918"/>
    <cellStyle name="Normal 3 16 6 2" xfId="5919"/>
    <cellStyle name="Normal 3 16 6 2 2" xfId="5920"/>
    <cellStyle name="Normal 3 16 6 3" xfId="5921"/>
    <cellStyle name="Normal 3 16 7" xfId="5922"/>
    <cellStyle name="Normal 3 16 7 2" xfId="5923"/>
    <cellStyle name="Normal 3 16 7 2 2" xfId="5924"/>
    <cellStyle name="Normal 3 16 7 3" xfId="5925"/>
    <cellStyle name="Normal 3 16 8" xfId="5926"/>
    <cellStyle name="Normal 3 16 8 2" xfId="5927"/>
    <cellStyle name="Normal 3 16 8 2 2" xfId="5928"/>
    <cellStyle name="Normal 3 16 8 3" xfId="5929"/>
    <cellStyle name="Normal 3 16 9" xfId="5930"/>
    <cellStyle name="Normal 3 16 9 2" xfId="5931"/>
    <cellStyle name="Normal 3 16 9 2 2" xfId="5932"/>
    <cellStyle name="Normal 3 16 9 3" xfId="5933"/>
    <cellStyle name="Normal 3 17" xfId="5934"/>
    <cellStyle name="Normal 3 17 10" xfId="5935"/>
    <cellStyle name="Normal 3 17 10 2" xfId="5936"/>
    <cellStyle name="Normal 3 17 10 2 2" xfId="5937"/>
    <cellStyle name="Normal 3 17 10 3" xfId="5938"/>
    <cellStyle name="Normal 3 17 11" xfId="5939"/>
    <cellStyle name="Normal 3 17 11 2" xfId="5940"/>
    <cellStyle name="Normal 3 17 11 2 2" xfId="5941"/>
    <cellStyle name="Normal 3 17 11 3" xfId="5942"/>
    <cellStyle name="Normal 3 17 12" xfId="5943"/>
    <cellStyle name="Normal 3 17 12 2" xfId="5944"/>
    <cellStyle name="Normal 3 17 12 2 2" xfId="5945"/>
    <cellStyle name="Normal 3 17 12 3" xfId="5946"/>
    <cellStyle name="Normal 3 17 13" xfId="5947"/>
    <cellStyle name="Normal 3 17 13 2" xfId="5948"/>
    <cellStyle name="Normal 3 17 13 2 2" xfId="5949"/>
    <cellStyle name="Normal 3 17 13 3" xfId="5950"/>
    <cellStyle name="Normal 3 17 14" xfId="5951"/>
    <cellStyle name="Normal 3 17 14 2" xfId="5952"/>
    <cellStyle name="Normal 3 17 14 2 2" xfId="5953"/>
    <cellStyle name="Normal 3 17 14 3" xfId="5954"/>
    <cellStyle name="Normal 3 17 15" xfId="5955"/>
    <cellStyle name="Normal 3 17 15 2" xfId="5956"/>
    <cellStyle name="Normal 3 17 15 2 2" xfId="5957"/>
    <cellStyle name="Normal 3 17 15 3" xfId="5958"/>
    <cellStyle name="Normal 3 17 16" xfId="5959"/>
    <cellStyle name="Normal 3 17 16 2" xfId="5960"/>
    <cellStyle name="Normal 3 17 16 2 2" xfId="5961"/>
    <cellStyle name="Normal 3 17 16 3" xfId="5962"/>
    <cellStyle name="Normal 3 17 17" xfId="5963"/>
    <cellStyle name="Normal 3 17 17 2" xfId="5964"/>
    <cellStyle name="Normal 3 17 17 2 2" xfId="5965"/>
    <cellStyle name="Normal 3 17 17 3" xfId="5966"/>
    <cellStyle name="Normal 3 17 18" xfId="5967"/>
    <cellStyle name="Normal 3 17 18 2" xfId="5968"/>
    <cellStyle name="Normal 3 17 18 2 2" xfId="5969"/>
    <cellStyle name="Normal 3 17 18 3" xfId="5970"/>
    <cellStyle name="Normal 3 17 19" xfId="5971"/>
    <cellStyle name="Normal 3 17 19 2" xfId="5972"/>
    <cellStyle name="Normal 3 17 19 2 2" xfId="5973"/>
    <cellStyle name="Normal 3 17 19 3" xfId="5974"/>
    <cellStyle name="Normal 3 17 2" xfId="5975"/>
    <cellStyle name="Normal 3 17 2 2" xfId="5976"/>
    <cellStyle name="Normal 3 17 2 2 2" xfId="5977"/>
    <cellStyle name="Normal 3 17 2 3" xfId="5978"/>
    <cellStyle name="Normal 3 17 20" xfId="5979"/>
    <cellStyle name="Normal 3 17 20 2" xfId="5980"/>
    <cellStyle name="Normal 3 17 20 2 2" xfId="5981"/>
    <cellStyle name="Normal 3 17 20 3" xfId="5982"/>
    <cellStyle name="Normal 3 17 21" xfId="5983"/>
    <cellStyle name="Normal 3 17 21 2" xfId="5984"/>
    <cellStyle name="Normal 3 17 21 2 2" xfId="5985"/>
    <cellStyle name="Normal 3 17 21 3" xfId="5986"/>
    <cellStyle name="Normal 3 17 22" xfId="5987"/>
    <cellStyle name="Normal 3 17 22 2" xfId="5988"/>
    <cellStyle name="Normal 3 17 22 2 2" xfId="5989"/>
    <cellStyle name="Normal 3 17 22 3" xfId="5990"/>
    <cellStyle name="Normal 3 17 23" xfId="5991"/>
    <cellStyle name="Normal 3 17 23 2" xfId="5992"/>
    <cellStyle name="Normal 3 17 23 2 2" xfId="5993"/>
    <cellStyle name="Normal 3 17 23 3" xfId="5994"/>
    <cellStyle name="Normal 3 17 24" xfId="5995"/>
    <cellStyle name="Normal 3 17 24 2" xfId="5996"/>
    <cellStyle name="Normal 3 17 25" xfId="5997"/>
    <cellStyle name="Normal 3 17 3" xfId="5998"/>
    <cellStyle name="Normal 3 17 3 2" xfId="5999"/>
    <cellStyle name="Normal 3 17 3 2 2" xfId="6000"/>
    <cellStyle name="Normal 3 17 3 3" xfId="6001"/>
    <cellStyle name="Normal 3 17 4" xfId="6002"/>
    <cellStyle name="Normal 3 17 4 2" xfId="6003"/>
    <cellStyle name="Normal 3 17 4 2 2" xfId="6004"/>
    <cellStyle name="Normal 3 17 4 3" xfId="6005"/>
    <cellStyle name="Normal 3 17 5" xfId="6006"/>
    <cellStyle name="Normal 3 17 5 2" xfId="6007"/>
    <cellStyle name="Normal 3 17 5 2 2" xfId="6008"/>
    <cellStyle name="Normal 3 17 5 3" xfId="6009"/>
    <cellStyle name="Normal 3 17 6" xfId="6010"/>
    <cellStyle name="Normal 3 17 6 2" xfId="6011"/>
    <cellStyle name="Normal 3 17 6 2 2" xfId="6012"/>
    <cellStyle name="Normal 3 17 6 3" xfId="6013"/>
    <cellStyle name="Normal 3 17 7" xfId="6014"/>
    <cellStyle name="Normal 3 17 7 2" xfId="6015"/>
    <cellStyle name="Normal 3 17 7 2 2" xfId="6016"/>
    <cellStyle name="Normal 3 17 7 3" xfId="6017"/>
    <cellStyle name="Normal 3 17 8" xfId="6018"/>
    <cellStyle name="Normal 3 17 8 2" xfId="6019"/>
    <cellStyle name="Normal 3 17 8 2 2" xfId="6020"/>
    <cellStyle name="Normal 3 17 8 3" xfId="6021"/>
    <cellStyle name="Normal 3 17 9" xfId="6022"/>
    <cellStyle name="Normal 3 17 9 2" xfId="6023"/>
    <cellStyle name="Normal 3 17 9 2 2" xfId="6024"/>
    <cellStyle name="Normal 3 17 9 3" xfId="6025"/>
    <cellStyle name="Normal 3 18" xfId="6026"/>
    <cellStyle name="Normal 3 18 10" xfId="6027"/>
    <cellStyle name="Normal 3 18 10 2" xfId="6028"/>
    <cellStyle name="Normal 3 18 10 2 2" xfId="6029"/>
    <cellStyle name="Normal 3 18 10 3" xfId="6030"/>
    <cellStyle name="Normal 3 18 11" xfId="6031"/>
    <cellStyle name="Normal 3 18 11 2" xfId="6032"/>
    <cellStyle name="Normal 3 18 11 2 2" xfId="6033"/>
    <cellStyle name="Normal 3 18 11 3" xfId="6034"/>
    <cellStyle name="Normal 3 18 12" xfId="6035"/>
    <cellStyle name="Normal 3 18 12 2" xfId="6036"/>
    <cellStyle name="Normal 3 18 12 2 2" xfId="6037"/>
    <cellStyle name="Normal 3 18 12 3" xfId="6038"/>
    <cellStyle name="Normal 3 18 13" xfId="6039"/>
    <cellStyle name="Normal 3 18 13 2" xfId="6040"/>
    <cellStyle name="Normal 3 18 13 2 2" xfId="6041"/>
    <cellStyle name="Normal 3 18 13 3" xfId="6042"/>
    <cellStyle name="Normal 3 18 14" xfId="6043"/>
    <cellStyle name="Normal 3 18 14 2" xfId="6044"/>
    <cellStyle name="Normal 3 18 14 2 2" xfId="6045"/>
    <cellStyle name="Normal 3 18 14 3" xfId="6046"/>
    <cellStyle name="Normal 3 18 15" xfId="6047"/>
    <cellStyle name="Normal 3 18 15 2" xfId="6048"/>
    <cellStyle name="Normal 3 18 15 2 2" xfId="6049"/>
    <cellStyle name="Normal 3 18 15 3" xfId="6050"/>
    <cellStyle name="Normal 3 18 16" xfId="6051"/>
    <cellStyle name="Normal 3 18 16 2" xfId="6052"/>
    <cellStyle name="Normal 3 18 16 2 2" xfId="6053"/>
    <cellStyle name="Normal 3 18 16 3" xfId="6054"/>
    <cellStyle name="Normal 3 18 17" xfId="6055"/>
    <cellStyle name="Normal 3 18 17 2" xfId="6056"/>
    <cellStyle name="Normal 3 18 17 2 2" xfId="6057"/>
    <cellStyle name="Normal 3 18 17 3" xfId="6058"/>
    <cellStyle name="Normal 3 18 18" xfId="6059"/>
    <cellStyle name="Normal 3 18 18 2" xfId="6060"/>
    <cellStyle name="Normal 3 18 18 2 2" xfId="6061"/>
    <cellStyle name="Normal 3 18 18 3" xfId="6062"/>
    <cellStyle name="Normal 3 18 19" xfId="6063"/>
    <cellStyle name="Normal 3 18 19 2" xfId="6064"/>
    <cellStyle name="Normal 3 18 19 2 2" xfId="6065"/>
    <cellStyle name="Normal 3 18 19 3" xfId="6066"/>
    <cellStyle name="Normal 3 18 2" xfId="6067"/>
    <cellStyle name="Normal 3 18 2 2" xfId="6068"/>
    <cellStyle name="Normal 3 18 2 2 2" xfId="6069"/>
    <cellStyle name="Normal 3 18 2 3" xfId="6070"/>
    <cellStyle name="Normal 3 18 20" xfId="6071"/>
    <cellStyle name="Normal 3 18 20 2" xfId="6072"/>
    <cellStyle name="Normal 3 18 20 2 2" xfId="6073"/>
    <cellStyle name="Normal 3 18 20 3" xfId="6074"/>
    <cellStyle name="Normal 3 18 21" xfId="6075"/>
    <cellStyle name="Normal 3 18 21 2" xfId="6076"/>
    <cellStyle name="Normal 3 18 21 2 2" xfId="6077"/>
    <cellStyle name="Normal 3 18 21 3" xfId="6078"/>
    <cellStyle name="Normal 3 18 22" xfId="6079"/>
    <cellStyle name="Normal 3 18 22 2" xfId="6080"/>
    <cellStyle name="Normal 3 18 22 2 2" xfId="6081"/>
    <cellStyle name="Normal 3 18 22 3" xfId="6082"/>
    <cellStyle name="Normal 3 18 23" xfId="6083"/>
    <cellStyle name="Normal 3 18 23 2" xfId="6084"/>
    <cellStyle name="Normal 3 18 23 2 2" xfId="6085"/>
    <cellStyle name="Normal 3 18 23 3" xfId="6086"/>
    <cellStyle name="Normal 3 18 24" xfId="6087"/>
    <cellStyle name="Normal 3 18 24 2" xfId="6088"/>
    <cellStyle name="Normal 3 18 25" xfId="6089"/>
    <cellStyle name="Normal 3 18 3" xfId="6090"/>
    <cellStyle name="Normal 3 18 3 2" xfId="6091"/>
    <cellStyle name="Normal 3 18 3 2 2" xfId="6092"/>
    <cellStyle name="Normal 3 18 3 3" xfId="6093"/>
    <cellStyle name="Normal 3 18 4" xfId="6094"/>
    <cellStyle name="Normal 3 18 4 2" xfId="6095"/>
    <cellStyle name="Normal 3 18 4 2 2" xfId="6096"/>
    <cellStyle name="Normal 3 18 4 3" xfId="6097"/>
    <cellStyle name="Normal 3 18 5" xfId="6098"/>
    <cellStyle name="Normal 3 18 5 2" xfId="6099"/>
    <cellStyle name="Normal 3 18 5 2 2" xfId="6100"/>
    <cellStyle name="Normal 3 18 5 3" xfId="6101"/>
    <cellStyle name="Normal 3 18 6" xfId="6102"/>
    <cellStyle name="Normal 3 18 6 2" xfId="6103"/>
    <cellStyle name="Normal 3 18 6 2 2" xfId="6104"/>
    <cellStyle name="Normal 3 18 6 3" xfId="6105"/>
    <cellStyle name="Normal 3 18 7" xfId="6106"/>
    <cellStyle name="Normal 3 18 7 2" xfId="6107"/>
    <cellStyle name="Normal 3 18 7 2 2" xfId="6108"/>
    <cellStyle name="Normal 3 18 7 3" xfId="6109"/>
    <cellStyle name="Normal 3 18 8" xfId="6110"/>
    <cellStyle name="Normal 3 18 8 2" xfId="6111"/>
    <cellStyle name="Normal 3 18 8 2 2" xfId="6112"/>
    <cellStyle name="Normal 3 18 8 3" xfId="6113"/>
    <cellStyle name="Normal 3 18 9" xfId="6114"/>
    <cellStyle name="Normal 3 18 9 2" xfId="6115"/>
    <cellStyle name="Normal 3 18 9 2 2" xfId="6116"/>
    <cellStyle name="Normal 3 18 9 3" xfId="6117"/>
    <cellStyle name="Normal 3 19" xfId="6118"/>
    <cellStyle name="Normal 3 19 10" xfId="6119"/>
    <cellStyle name="Normal 3 19 10 2" xfId="6120"/>
    <cellStyle name="Normal 3 19 10 2 2" xfId="6121"/>
    <cellStyle name="Normal 3 19 10 3" xfId="6122"/>
    <cellStyle name="Normal 3 19 11" xfId="6123"/>
    <cellStyle name="Normal 3 19 11 2" xfId="6124"/>
    <cellStyle name="Normal 3 19 11 2 2" xfId="6125"/>
    <cellStyle name="Normal 3 19 11 3" xfId="6126"/>
    <cellStyle name="Normal 3 19 12" xfId="6127"/>
    <cellStyle name="Normal 3 19 12 2" xfId="6128"/>
    <cellStyle name="Normal 3 19 12 2 2" xfId="6129"/>
    <cellStyle name="Normal 3 19 12 3" xfId="6130"/>
    <cellStyle name="Normal 3 19 13" xfId="6131"/>
    <cellStyle name="Normal 3 19 13 2" xfId="6132"/>
    <cellStyle name="Normal 3 19 13 2 2" xfId="6133"/>
    <cellStyle name="Normal 3 19 13 3" xfId="6134"/>
    <cellStyle name="Normal 3 19 14" xfId="6135"/>
    <cellStyle name="Normal 3 19 14 2" xfId="6136"/>
    <cellStyle name="Normal 3 19 14 2 2" xfId="6137"/>
    <cellStyle name="Normal 3 19 14 3" xfId="6138"/>
    <cellStyle name="Normal 3 19 15" xfId="6139"/>
    <cellStyle name="Normal 3 19 15 2" xfId="6140"/>
    <cellStyle name="Normal 3 19 15 2 2" xfId="6141"/>
    <cellStyle name="Normal 3 19 15 3" xfId="6142"/>
    <cellStyle name="Normal 3 19 16" xfId="6143"/>
    <cellStyle name="Normal 3 19 16 2" xfId="6144"/>
    <cellStyle name="Normal 3 19 16 2 2" xfId="6145"/>
    <cellStyle name="Normal 3 19 16 3" xfId="6146"/>
    <cellStyle name="Normal 3 19 17" xfId="6147"/>
    <cellStyle name="Normal 3 19 17 2" xfId="6148"/>
    <cellStyle name="Normal 3 19 17 2 2" xfId="6149"/>
    <cellStyle name="Normal 3 19 17 3" xfId="6150"/>
    <cellStyle name="Normal 3 19 18" xfId="6151"/>
    <cellStyle name="Normal 3 19 18 2" xfId="6152"/>
    <cellStyle name="Normal 3 19 18 2 2" xfId="6153"/>
    <cellStyle name="Normal 3 19 18 3" xfId="6154"/>
    <cellStyle name="Normal 3 19 19" xfId="6155"/>
    <cellStyle name="Normal 3 19 19 2" xfId="6156"/>
    <cellStyle name="Normal 3 19 19 2 2" xfId="6157"/>
    <cellStyle name="Normal 3 19 19 3" xfId="6158"/>
    <cellStyle name="Normal 3 19 2" xfId="6159"/>
    <cellStyle name="Normal 3 19 2 2" xfId="6160"/>
    <cellStyle name="Normal 3 19 2 2 2" xfId="6161"/>
    <cellStyle name="Normal 3 19 2 3" xfId="6162"/>
    <cellStyle name="Normal 3 19 20" xfId="6163"/>
    <cellStyle name="Normal 3 19 20 2" xfId="6164"/>
    <cellStyle name="Normal 3 19 20 2 2" xfId="6165"/>
    <cellStyle name="Normal 3 19 20 3" xfId="6166"/>
    <cellStyle name="Normal 3 19 21" xfId="6167"/>
    <cellStyle name="Normal 3 19 21 2" xfId="6168"/>
    <cellStyle name="Normal 3 19 21 2 2" xfId="6169"/>
    <cellStyle name="Normal 3 19 21 3" xfId="6170"/>
    <cellStyle name="Normal 3 19 22" xfId="6171"/>
    <cellStyle name="Normal 3 19 22 2" xfId="6172"/>
    <cellStyle name="Normal 3 19 22 2 2" xfId="6173"/>
    <cellStyle name="Normal 3 19 22 3" xfId="6174"/>
    <cellStyle name="Normal 3 19 23" xfId="6175"/>
    <cellStyle name="Normal 3 19 23 2" xfId="6176"/>
    <cellStyle name="Normal 3 19 23 2 2" xfId="6177"/>
    <cellStyle name="Normal 3 19 23 3" xfId="6178"/>
    <cellStyle name="Normal 3 19 24" xfId="6179"/>
    <cellStyle name="Normal 3 19 24 2" xfId="6180"/>
    <cellStyle name="Normal 3 19 25" xfId="6181"/>
    <cellStyle name="Normal 3 19 3" xfId="6182"/>
    <cellStyle name="Normal 3 19 3 2" xfId="6183"/>
    <cellStyle name="Normal 3 19 3 2 2" xfId="6184"/>
    <cellStyle name="Normal 3 19 3 3" xfId="6185"/>
    <cellStyle name="Normal 3 19 4" xfId="6186"/>
    <cellStyle name="Normal 3 19 4 2" xfId="6187"/>
    <cellStyle name="Normal 3 19 4 2 2" xfId="6188"/>
    <cellStyle name="Normal 3 19 4 3" xfId="6189"/>
    <cellStyle name="Normal 3 19 5" xfId="6190"/>
    <cellStyle name="Normal 3 19 5 2" xfId="6191"/>
    <cellStyle name="Normal 3 19 5 2 2" xfId="6192"/>
    <cellStyle name="Normal 3 19 5 3" xfId="6193"/>
    <cellStyle name="Normal 3 19 6" xfId="6194"/>
    <cellStyle name="Normal 3 19 6 2" xfId="6195"/>
    <cellStyle name="Normal 3 19 6 2 2" xfId="6196"/>
    <cellStyle name="Normal 3 19 6 3" xfId="6197"/>
    <cellStyle name="Normal 3 19 7" xfId="6198"/>
    <cellStyle name="Normal 3 19 7 2" xfId="6199"/>
    <cellStyle name="Normal 3 19 7 2 2" xfId="6200"/>
    <cellStyle name="Normal 3 19 7 3" xfId="6201"/>
    <cellStyle name="Normal 3 19 8" xfId="6202"/>
    <cellStyle name="Normal 3 19 8 2" xfId="6203"/>
    <cellStyle name="Normal 3 19 8 2 2" xfId="6204"/>
    <cellStyle name="Normal 3 19 8 3" xfId="6205"/>
    <cellStyle name="Normal 3 19 9" xfId="6206"/>
    <cellStyle name="Normal 3 19 9 2" xfId="6207"/>
    <cellStyle name="Normal 3 19 9 2 2" xfId="6208"/>
    <cellStyle name="Normal 3 19 9 3" xfId="6209"/>
    <cellStyle name="Normal 3 2" xfId="210"/>
    <cellStyle name="Normal 3 2 10" xfId="6210"/>
    <cellStyle name="Normal 3 2 10 2" xfId="6211"/>
    <cellStyle name="Normal 3 2 10 2 2" xfId="6212"/>
    <cellStyle name="Normal 3 2 10 3" xfId="6213"/>
    <cellStyle name="Normal 3 2 11" xfId="6214"/>
    <cellStyle name="Normal 3 2 11 2" xfId="6215"/>
    <cellStyle name="Normal 3 2 11 2 2" xfId="6216"/>
    <cellStyle name="Normal 3 2 11 3" xfId="6217"/>
    <cellStyle name="Normal 3 2 12" xfId="6218"/>
    <cellStyle name="Normal 3 2 12 2" xfId="6219"/>
    <cellStyle name="Normal 3 2 12 2 2" xfId="6220"/>
    <cellStyle name="Normal 3 2 12 3" xfId="6221"/>
    <cellStyle name="Normal 3 2 13" xfId="6222"/>
    <cellStyle name="Normal 3 2 13 2" xfId="6223"/>
    <cellStyle name="Normal 3 2 13 2 2" xfId="6224"/>
    <cellStyle name="Normal 3 2 13 3" xfId="6225"/>
    <cellStyle name="Normal 3 2 14" xfId="6226"/>
    <cellStyle name="Normal 3 2 14 2" xfId="6227"/>
    <cellStyle name="Normal 3 2 14 2 2" xfId="6228"/>
    <cellStyle name="Normal 3 2 14 3" xfId="6229"/>
    <cellStyle name="Normal 3 2 15" xfId="6230"/>
    <cellStyle name="Normal 3 2 15 2" xfId="6231"/>
    <cellStyle name="Normal 3 2 15 2 2" xfId="6232"/>
    <cellStyle name="Normal 3 2 15 3" xfId="6233"/>
    <cellStyle name="Normal 3 2 16" xfId="6234"/>
    <cellStyle name="Normal 3 2 16 2" xfId="6235"/>
    <cellStyle name="Normal 3 2 16 2 2" xfId="6236"/>
    <cellStyle name="Normal 3 2 16 3" xfId="6237"/>
    <cellStyle name="Normal 3 2 17" xfId="6238"/>
    <cellStyle name="Normal 3 2 17 2" xfId="6239"/>
    <cellStyle name="Normal 3 2 17 2 2" xfId="6240"/>
    <cellStyle name="Normal 3 2 17 3" xfId="6241"/>
    <cellStyle name="Normal 3 2 18" xfId="6242"/>
    <cellStyle name="Normal 3 2 18 2" xfId="6243"/>
    <cellStyle name="Normal 3 2 18 2 2" xfId="6244"/>
    <cellStyle name="Normal 3 2 18 3" xfId="6245"/>
    <cellStyle name="Normal 3 2 19" xfId="6246"/>
    <cellStyle name="Normal 3 2 19 2" xfId="6247"/>
    <cellStyle name="Normal 3 2 19 2 2" xfId="6248"/>
    <cellStyle name="Normal 3 2 19 3" xfId="6249"/>
    <cellStyle name="Normal 3 2 2" xfId="211"/>
    <cellStyle name="Normal 3 2 2 10" xfId="6250"/>
    <cellStyle name="Normal 3 2 2 10 2" xfId="6251"/>
    <cellStyle name="Normal 3 2 2 10 2 2" xfId="6252"/>
    <cellStyle name="Normal 3 2 2 10 3" xfId="6253"/>
    <cellStyle name="Normal 3 2 2 11" xfId="6254"/>
    <cellStyle name="Normal 3 2 2 11 2" xfId="6255"/>
    <cellStyle name="Normal 3 2 2 11 2 2" xfId="6256"/>
    <cellStyle name="Normal 3 2 2 11 3" xfId="6257"/>
    <cellStyle name="Normal 3 2 2 12" xfId="6258"/>
    <cellStyle name="Normal 3 2 2 12 2" xfId="6259"/>
    <cellStyle name="Normal 3 2 2 12 2 2" xfId="6260"/>
    <cellStyle name="Normal 3 2 2 12 3" xfId="6261"/>
    <cellStyle name="Normal 3 2 2 13" xfId="6262"/>
    <cellStyle name="Normal 3 2 2 13 2" xfId="6263"/>
    <cellStyle name="Normal 3 2 2 13 2 2" xfId="6264"/>
    <cellStyle name="Normal 3 2 2 13 3" xfId="6265"/>
    <cellStyle name="Normal 3 2 2 14" xfId="6266"/>
    <cellStyle name="Normal 3 2 2 14 2" xfId="6267"/>
    <cellStyle name="Normal 3 2 2 14 2 2" xfId="6268"/>
    <cellStyle name="Normal 3 2 2 14 3" xfId="6269"/>
    <cellStyle name="Normal 3 2 2 15" xfId="6270"/>
    <cellStyle name="Normal 3 2 2 15 2" xfId="6271"/>
    <cellStyle name="Normal 3 2 2 15 2 2" xfId="6272"/>
    <cellStyle name="Normal 3 2 2 15 3" xfId="6273"/>
    <cellStyle name="Normal 3 2 2 16" xfId="6274"/>
    <cellStyle name="Normal 3 2 2 16 2" xfId="6275"/>
    <cellStyle name="Normal 3 2 2 16 2 2" xfId="6276"/>
    <cellStyle name="Normal 3 2 2 16 3" xfId="6277"/>
    <cellStyle name="Normal 3 2 2 17" xfId="6278"/>
    <cellStyle name="Normal 3 2 2 17 2" xfId="6279"/>
    <cellStyle name="Normal 3 2 2 17 2 2" xfId="6280"/>
    <cellStyle name="Normal 3 2 2 17 3" xfId="6281"/>
    <cellStyle name="Normal 3 2 2 18" xfId="6282"/>
    <cellStyle name="Normal 3 2 2 18 2" xfId="6283"/>
    <cellStyle name="Normal 3 2 2 18 2 2" xfId="6284"/>
    <cellStyle name="Normal 3 2 2 18 3" xfId="6285"/>
    <cellStyle name="Normal 3 2 2 19" xfId="6286"/>
    <cellStyle name="Normal 3 2 2 19 2" xfId="6287"/>
    <cellStyle name="Normal 3 2 2 19 2 2" xfId="6288"/>
    <cellStyle name="Normal 3 2 2 19 3" xfId="6289"/>
    <cellStyle name="Normal 3 2 2 2" xfId="1157"/>
    <cellStyle name="Normal 3 2 2 2 2" xfId="6290"/>
    <cellStyle name="Normal 3 2 2 2 2 2" xfId="6291"/>
    <cellStyle name="Normal 3 2 2 2 3" xfId="6292"/>
    <cellStyle name="Normal 3 2 2 20" xfId="6293"/>
    <cellStyle name="Normal 3 2 2 20 2" xfId="6294"/>
    <cellStyle name="Normal 3 2 2 20 2 2" xfId="6295"/>
    <cellStyle name="Normal 3 2 2 20 3" xfId="6296"/>
    <cellStyle name="Normal 3 2 2 21" xfId="6297"/>
    <cellStyle name="Normal 3 2 2 21 2" xfId="6298"/>
    <cellStyle name="Normal 3 2 2 21 2 2" xfId="6299"/>
    <cellStyle name="Normal 3 2 2 21 3" xfId="6300"/>
    <cellStyle name="Normal 3 2 2 22" xfId="6301"/>
    <cellStyle name="Normal 3 2 2 22 2" xfId="6302"/>
    <cellStyle name="Normal 3 2 2 22 2 2" xfId="6303"/>
    <cellStyle name="Normal 3 2 2 22 3" xfId="6304"/>
    <cellStyle name="Normal 3 2 2 23" xfId="6305"/>
    <cellStyle name="Normal 3 2 2 23 2" xfId="6306"/>
    <cellStyle name="Normal 3 2 2 23 2 2" xfId="6307"/>
    <cellStyle name="Normal 3 2 2 23 3" xfId="6308"/>
    <cellStyle name="Normal 3 2 2 24" xfId="6309"/>
    <cellStyle name="Normal 3 2 2 24 2" xfId="6310"/>
    <cellStyle name="Normal 3 2 2 24 2 2" xfId="6311"/>
    <cellStyle name="Normal 3 2 2 24 3" xfId="6312"/>
    <cellStyle name="Normal 3 2 2 25" xfId="6313"/>
    <cellStyle name="Normal 3 2 2 25 2" xfId="6314"/>
    <cellStyle name="Normal 3 2 2 25 2 2" xfId="6315"/>
    <cellStyle name="Normal 3 2 2 25 3" xfId="6316"/>
    <cellStyle name="Normal 3 2 2 26" xfId="6317"/>
    <cellStyle name="Normal 3 2 2 26 2" xfId="6318"/>
    <cellStyle name="Normal 3 2 2 26 2 2" xfId="6319"/>
    <cellStyle name="Normal 3 2 2 26 3" xfId="6320"/>
    <cellStyle name="Normal 3 2 2 27" xfId="6321"/>
    <cellStyle name="Normal 3 2 2 27 2" xfId="6322"/>
    <cellStyle name="Normal 3 2 2 27 2 2" xfId="6323"/>
    <cellStyle name="Normal 3 2 2 27 3" xfId="6324"/>
    <cellStyle name="Normal 3 2 2 28" xfId="6325"/>
    <cellStyle name="Normal 3 2 2 28 2" xfId="6326"/>
    <cellStyle name="Normal 3 2 2 28 2 2" xfId="6327"/>
    <cellStyle name="Normal 3 2 2 28 3" xfId="6328"/>
    <cellStyle name="Normal 3 2 2 29" xfId="6329"/>
    <cellStyle name="Normal 3 2 2 29 2" xfId="6330"/>
    <cellStyle name="Normal 3 2 2 29 2 2" xfId="6331"/>
    <cellStyle name="Normal 3 2 2 29 3" xfId="6332"/>
    <cellStyle name="Normal 3 2 2 3" xfId="6333"/>
    <cellStyle name="Normal 3 2 2 3 2" xfId="6334"/>
    <cellStyle name="Normal 3 2 2 3 2 2" xfId="6335"/>
    <cellStyle name="Normal 3 2 2 3 3" xfId="6336"/>
    <cellStyle name="Normal 3 2 2 30" xfId="6337"/>
    <cellStyle name="Normal 3 2 2 30 2" xfId="6338"/>
    <cellStyle name="Normal 3 2 2 30 2 2" xfId="6339"/>
    <cellStyle name="Normal 3 2 2 30 3" xfId="6340"/>
    <cellStyle name="Normal 3 2 2 31" xfId="6341"/>
    <cellStyle name="Normal 3 2 2 31 2" xfId="6342"/>
    <cellStyle name="Normal 3 2 2 31 2 2" xfId="6343"/>
    <cellStyle name="Normal 3 2 2 31 3" xfId="6344"/>
    <cellStyle name="Normal 3 2 2 32" xfId="6345"/>
    <cellStyle name="Normal 3 2 2 32 2" xfId="6346"/>
    <cellStyle name="Normal 3 2 2 32 2 2" xfId="6347"/>
    <cellStyle name="Normal 3 2 2 32 3" xfId="6348"/>
    <cellStyle name="Normal 3 2 2 33" xfId="6349"/>
    <cellStyle name="Normal 3 2 2 33 2" xfId="6350"/>
    <cellStyle name="Normal 3 2 2 33 2 2" xfId="6351"/>
    <cellStyle name="Normal 3 2 2 33 3" xfId="6352"/>
    <cellStyle name="Normal 3 2 2 34" xfId="6353"/>
    <cellStyle name="Normal 3 2 2 34 2" xfId="6354"/>
    <cellStyle name="Normal 3 2 2 35" xfId="6355"/>
    <cellStyle name="Normal 3 2 2 4" xfId="6356"/>
    <cellStyle name="Normal 3 2 2 4 2" xfId="6357"/>
    <cellStyle name="Normal 3 2 2 4 2 2" xfId="6358"/>
    <cellStyle name="Normal 3 2 2 4 3" xfId="6359"/>
    <cellStyle name="Normal 3 2 2 5" xfId="6360"/>
    <cellStyle name="Normal 3 2 2 5 2" xfId="6361"/>
    <cellStyle name="Normal 3 2 2 5 2 2" xfId="6362"/>
    <cellStyle name="Normal 3 2 2 5 3" xfId="6363"/>
    <cellStyle name="Normal 3 2 2 6" xfId="6364"/>
    <cellStyle name="Normal 3 2 2 6 2" xfId="6365"/>
    <cellStyle name="Normal 3 2 2 6 2 2" xfId="6366"/>
    <cellStyle name="Normal 3 2 2 6 3" xfId="6367"/>
    <cellStyle name="Normal 3 2 2 7" xfId="6368"/>
    <cellStyle name="Normal 3 2 2 7 2" xfId="6369"/>
    <cellStyle name="Normal 3 2 2 7 2 2" xfId="6370"/>
    <cellStyle name="Normal 3 2 2 7 3" xfId="6371"/>
    <cellStyle name="Normal 3 2 2 8" xfId="6372"/>
    <cellStyle name="Normal 3 2 2 8 2" xfId="6373"/>
    <cellStyle name="Normal 3 2 2 8 2 2" xfId="6374"/>
    <cellStyle name="Normal 3 2 2 8 3" xfId="6375"/>
    <cellStyle name="Normal 3 2 2 9" xfId="6376"/>
    <cellStyle name="Normal 3 2 2 9 2" xfId="6377"/>
    <cellStyle name="Normal 3 2 2 9 2 2" xfId="6378"/>
    <cellStyle name="Normal 3 2 2 9 3" xfId="6379"/>
    <cellStyle name="Normal 3 2 20" xfId="6380"/>
    <cellStyle name="Normal 3 2 20 2" xfId="6381"/>
    <cellStyle name="Normal 3 2 20 2 2" xfId="6382"/>
    <cellStyle name="Normal 3 2 20 3" xfId="6383"/>
    <cellStyle name="Normal 3 2 21" xfId="6384"/>
    <cellStyle name="Normal 3 2 21 2" xfId="6385"/>
    <cellStyle name="Normal 3 2 21 2 2" xfId="6386"/>
    <cellStyle name="Normal 3 2 21 3" xfId="6387"/>
    <cellStyle name="Normal 3 2 22" xfId="6388"/>
    <cellStyle name="Normal 3 2 22 2" xfId="6389"/>
    <cellStyle name="Normal 3 2 22 2 2" xfId="6390"/>
    <cellStyle name="Normal 3 2 22 3" xfId="6391"/>
    <cellStyle name="Normal 3 2 23" xfId="6392"/>
    <cellStyle name="Normal 3 2 23 2" xfId="6393"/>
    <cellStyle name="Normal 3 2 23 2 2" xfId="6394"/>
    <cellStyle name="Normal 3 2 23 3" xfId="6395"/>
    <cellStyle name="Normal 3 2 24" xfId="6396"/>
    <cellStyle name="Normal 3 2 24 2" xfId="6397"/>
    <cellStyle name="Normal 3 2 24 2 2" xfId="6398"/>
    <cellStyle name="Normal 3 2 24 3" xfId="6399"/>
    <cellStyle name="Normal 3 2 25" xfId="6400"/>
    <cellStyle name="Normal 3 2 25 2" xfId="6401"/>
    <cellStyle name="Normal 3 2 25 2 2" xfId="6402"/>
    <cellStyle name="Normal 3 2 25 3" xfId="6403"/>
    <cellStyle name="Normal 3 2 26" xfId="6404"/>
    <cellStyle name="Normal 3 2 26 2" xfId="6405"/>
    <cellStyle name="Normal 3 2 26 2 2" xfId="6406"/>
    <cellStyle name="Normal 3 2 26 3" xfId="6407"/>
    <cellStyle name="Normal 3 2 27" xfId="6408"/>
    <cellStyle name="Normal 3 2 27 2" xfId="6409"/>
    <cellStyle name="Normal 3 2 27 2 2" xfId="6410"/>
    <cellStyle name="Normal 3 2 27 3" xfId="6411"/>
    <cellStyle name="Normal 3 2 28" xfId="6412"/>
    <cellStyle name="Normal 3 2 28 2" xfId="6413"/>
    <cellStyle name="Normal 3 2 28 2 2" xfId="6414"/>
    <cellStyle name="Normal 3 2 28 3" xfId="6415"/>
    <cellStyle name="Normal 3 2 29" xfId="6416"/>
    <cellStyle name="Normal 3 2 29 2" xfId="6417"/>
    <cellStyle name="Normal 3 2 29 2 2" xfId="6418"/>
    <cellStyle name="Normal 3 2 29 3" xfId="6419"/>
    <cellStyle name="Normal 3 2 3" xfId="212"/>
    <cellStyle name="Normal 3 2 3 2" xfId="6420"/>
    <cellStyle name="Normal 3 2 3 2 2" xfId="6421"/>
    <cellStyle name="Normal 3 2 3 3" xfId="6422"/>
    <cellStyle name="Normal 3 2 30" xfId="6423"/>
    <cellStyle name="Normal 3 2 30 2" xfId="6424"/>
    <cellStyle name="Normal 3 2 30 2 2" xfId="6425"/>
    <cellStyle name="Normal 3 2 30 3" xfId="6426"/>
    <cellStyle name="Normal 3 2 31" xfId="6427"/>
    <cellStyle name="Normal 3 2 31 2" xfId="6428"/>
    <cellStyle name="Normal 3 2 31 2 2" xfId="6429"/>
    <cellStyle name="Normal 3 2 31 3" xfId="6430"/>
    <cellStyle name="Normal 3 2 32" xfId="6431"/>
    <cellStyle name="Normal 3 2 32 2" xfId="6432"/>
    <cellStyle name="Normal 3 2 32 2 2" xfId="6433"/>
    <cellStyle name="Normal 3 2 32 3" xfId="6434"/>
    <cellStyle name="Normal 3 2 33" xfId="6435"/>
    <cellStyle name="Normal 3 2 33 2" xfId="6436"/>
    <cellStyle name="Normal 3 2 33 2 2" xfId="6437"/>
    <cellStyle name="Normal 3 2 33 3" xfId="6438"/>
    <cellStyle name="Normal 3 2 34" xfId="6439"/>
    <cellStyle name="Normal 3 2 34 2" xfId="6440"/>
    <cellStyle name="Normal 3 2 34 2 2" xfId="6441"/>
    <cellStyle name="Normal 3 2 34 3" xfId="6442"/>
    <cellStyle name="Normal 3 2 35" xfId="6443"/>
    <cellStyle name="Normal 3 2 35 2" xfId="6444"/>
    <cellStyle name="Normal 3 2 35 2 2" xfId="6445"/>
    <cellStyle name="Normal 3 2 35 3" xfId="6446"/>
    <cellStyle name="Normal 3 2 36" xfId="6447"/>
    <cellStyle name="Normal 3 2 36 2" xfId="6448"/>
    <cellStyle name="Normal 3 2 36 2 2" xfId="6449"/>
    <cellStyle name="Normal 3 2 36 3" xfId="6450"/>
    <cellStyle name="Normal 3 2 37" xfId="6451"/>
    <cellStyle name="Normal 3 2 37 2" xfId="6452"/>
    <cellStyle name="Normal 3 2 37 2 2" xfId="6453"/>
    <cellStyle name="Normal 3 2 37 3" xfId="6454"/>
    <cellStyle name="Normal 3 2 38" xfId="6455"/>
    <cellStyle name="Normal 3 2 38 2" xfId="6456"/>
    <cellStyle name="Normal 3 2 38 2 2" xfId="6457"/>
    <cellStyle name="Normal 3 2 38 3" xfId="6458"/>
    <cellStyle name="Normal 3 2 39" xfId="6459"/>
    <cellStyle name="Normal 3 2 39 2" xfId="6460"/>
    <cellStyle name="Normal 3 2 39 2 2" xfId="6461"/>
    <cellStyle name="Normal 3 2 39 3" xfId="6462"/>
    <cellStyle name="Normal 3 2 4" xfId="1158"/>
    <cellStyle name="Normal 3 2 4 2" xfId="6463"/>
    <cellStyle name="Normal 3 2 4 2 2" xfId="6464"/>
    <cellStyle name="Normal 3 2 4 3" xfId="6465"/>
    <cellStyle name="Normal 3 2 40" xfId="6466"/>
    <cellStyle name="Normal 3 2 40 2" xfId="6467"/>
    <cellStyle name="Normal 3 2 40 2 2" xfId="6468"/>
    <cellStyle name="Normal 3 2 40 3" xfId="6469"/>
    <cellStyle name="Normal 3 2 41" xfId="6470"/>
    <cellStyle name="Normal 3 2 41 2" xfId="6471"/>
    <cellStyle name="Normal 3 2 41 2 2" xfId="6472"/>
    <cellStyle name="Normal 3 2 41 3" xfId="6473"/>
    <cellStyle name="Normal 3 2 42" xfId="6474"/>
    <cellStyle name="Normal 3 2 42 2" xfId="6475"/>
    <cellStyle name="Normal 3 2 42 2 2" xfId="6476"/>
    <cellStyle name="Normal 3 2 42 3" xfId="6477"/>
    <cellStyle name="Normal 3 2 43" xfId="6478"/>
    <cellStyle name="Normal 3 2 43 2" xfId="6479"/>
    <cellStyle name="Normal 3 2 43 2 2" xfId="6480"/>
    <cellStyle name="Normal 3 2 43 3" xfId="6481"/>
    <cellStyle name="Normal 3 2 44" xfId="6482"/>
    <cellStyle name="Normal 3 2 44 2" xfId="6483"/>
    <cellStyle name="Normal 3 2 44 2 2" xfId="6484"/>
    <cellStyle name="Normal 3 2 44 3" xfId="6485"/>
    <cellStyle name="Normal 3 2 45" xfId="6486"/>
    <cellStyle name="Normal 3 2 45 2" xfId="6487"/>
    <cellStyle name="Normal 3 2 45 2 2" xfId="6488"/>
    <cellStyle name="Normal 3 2 45 3" xfId="6489"/>
    <cellStyle name="Normal 3 2 46" xfId="6490"/>
    <cellStyle name="Normal 3 2 46 2" xfId="6491"/>
    <cellStyle name="Normal 3 2 46 2 2" xfId="6492"/>
    <cellStyle name="Normal 3 2 46 3" xfId="6493"/>
    <cellStyle name="Normal 3 2 47" xfId="6494"/>
    <cellStyle name="Normal 3 2 47 2" xfId="6495"/>
    <cellStyle name="Normal 3 2 47 2 2" xfId="6496"/>
    <cellStyle name="Normal 3 2 47 3" xfId="6497"/>
    <cellStyle name="Normal 3 2 48" xfId="6498"/>
    <cellStyle name="Normal 3 2 48 2" xfId="6499"/>
    <cellStyle name="Normal 3 2 48 2 2" xfId="6500"/>
    <cellStyle name="Normal 3 2 48 3" xfId="6501"/>
    <cellStyle name="Normal 3 2 49" xfId="6502"/>
    <cellStyle name="Normal 3 2 49 2" xfId="6503"/>
    <cellStyle name="Normal 3 2 49 2 2" xfId="6504"/>
    <cellStyle name="Normal 3 2 49 3" xfId="6505"/>
    <cellStyle name="Normal 3 2 5" xfId="6506"/>
    <cellStyle name="Normal 3 2 5 2" xfId="6507"/>
    <cellStyle name="Normal 3 2 5 2 2" xfId="6508"/>
    <cellStyle name="Normal 3 2 5 3" xfId="6509"/>
    <cellStyle name="Normal 3 2 50" xfId="6510"/>
    <cellStyle name="Normal 3 2 50 2" xfId="6511"/>
    <cellStyle name="Normal 3 2 50 2 2" xfId="6512"/>
    <cellStyle name="Normal 3 2 50 3" xfId="6513"/>
    <cellStyle name="Normal 3 2 51" xfId="6514"/>
    <cellStyle name="Normal 3 2 51 2" xfId="6515"/>
    <cellStyle name="Normal 3 2 51 2 2" xfId="6516"/>
    <cellStyle name="Normal 3 2 51 3" xfId="6517"/>
    <cellStyle name="Normal 3 2 52" xfId="6518"/>
    <cellStyle name="Normal 3 2 52 2" xfId="6519"/>
    <cellStyle name="Normal 3 2 52 2 2" xfId="6520"/>
    <cellStyle name="Normal 3 2 52 3" xfId="6521"/>
    <cellStyle name="Normal 3 2 53" xfId="6522"/>
    <cellStyle name="Normal 3 2 53 2" xfId="6523"/>
    <cellStyle name="Normal 3 2 53 2 2" xfId="6524"/>
    <cellStyle name="Normal 3 2 53 3" xfId="6525"/>
    <cellStyle name="Normal 3 2 54" xfId="6526"/>
    <cellStyle name="Normal 3 2 54 2" xfId="6527"/>
    <cellStyle name="Normal 3 2 54 2 2" xfId="6528"/>
    <cellStyle name="Normal 3 2 54 3" xfId="6529"/>
    <cellStyle name="Normal 3 2 55" xfId="6530"/>
    <cellStyle name="Normal 3 2 55 2" xfId="6531"/>
    <cellStyle name="Normal 3 2 55 2 2" xfId="6532"/>
    <cellStyle name="Normal 3 2 55 3" xfId="6533"/>
    <cellStyle name="Normal 3 2 56" xfId="6534"/>
    <cellStyle name="Normal 3 2 57" xfId="6535"/>
    <cellStyle name="Normal 3 2 57 2" xfId="6536"/>
    <cellStyle name="Normal 3 2 58" xfId="6537"/>
    <cellStyle name="Normal 3 2 59" xfId="6538"/>
    <cellStyle name="Normal 3 2 6" xfId="6539"/>
    <cellStyle name="Normal 3 2 6 2" xfId="6540"/>
    <cellStyle name="Normal 3 2 6 2 2" xfId="6541"/>
    <cellStyle name="Normal 3 2 6 3" xfId="6542"/>
    <cellStyle name="Normal 3 2 60" xfId="6543"/>
    <cellStyle name="Normal 3 2 7" xfId="6544"/>
    <cellStyle name="Normal 3 2 7 2" xfId="6545"/>
    <cellStyle name="Normal 3 2 7 2 2" xfId="6546"/>
    <cellStyle name="Normal 3 2 7 3" xfId="6547"/>
    <cellStyle name="Normal 3 2 8" xfId="6548"/>
    <cellStyle name="Normal 3 2 8 2" xfId="6549"/>
    <cellStyle name="Normal 3 2 8 2 2" xfId="6550"/>
    <cellStyle name="Normal 3 2 8 3" xfId="6551"/>
    <cellStyle name="Normal 3 2 9" xfId="6552"/>
    <cellStyle name="Normal 3 2 9 2" xfId="6553"/>
    <cellStyle name="Normal 3 2 9 2 2" xfId="6554"/>
    <cellStyle name="Normal 3 2 9 3" xfId="6555"/>
    <cellStyle name="Normal 3 20" xfId="6556"/>
    <cellStyle name="Normal 3 20 10" xfId="6557"/>
    <cellStyle name="Normal 3 20 10 2" xfId="6558"/>
    <cellStyle name="Normal 3 20 10 2 2" xfId="6559"/>
    <cellStyle name="Normal 3 20 10 3" xfId="6560"/>
    <cellStyle name="Normal 3 20 11" xfId="6561"/>
    <cellStyle name="Normal 3 20 11 2" xfId="6562"/>
    <cellStyle name="Normal 3 20 11 2 2" xfId="6563"/>
    <cellStyle name="Normal 3 20 11 3" xfId="6564"/>
    <cellStyle name="Normal 3 20 12" xfId="6565"/>
    <cellStyle name="Normal 3 20 12 2" xfId="6566"/>
    <cellStyle name="Normal 3 20 12 2 2" xfId="6567"/>
    <cellStyle name="Normal 3 20 12 3" xfId="6568"/>
    <cellStyle name="Normal 3 20 13" xfId="6569"/>
    <cellStyle name="Normal 3 20 13 2" xfId="6570"/>
    <cellStyle name="Normal 3 20 13 2 2" xfId="6571"/>
    <cellStyle name="Normal 3 20 13 3" xfId="6572"/>
    <cellStyle name="Normal 3 20 14" xfId="6573"/>
    <cellStyle name="Normal 3 20 14 2" xfId="6574"/>
    <cellStyle name="Normal 3 20 14 2 2" xfId="6575"/>
    <cellStyle name="Normal 3 20 14 3" xfId="6576"/>
    <cellStyle name="Normal 3 20 15" xfId="6577"/>
    <cellStyle name="Normal 3 20 15 2" xfId="6578"/>
    <cellStyle name="Normal 3 20 15 2 2" xfId="6579"/>
    <cellStyle name="Normal 3 20 15 3" xfId="6580"/>
    <cellStyle name="Normal 3 20 16" xfId="6581"/>
    <cellStyle name="Normal 3 20 16 2" xfId="6582"/>
    <cellStyle name="Normal 3 20 16 2 2" xfId="6583"/>
    <cellStyle name="Normal 3 20 16 3" xfId="6584"/>
    <cellStyle name="Normal 3 20 17" xfId="6585"/>
    <cellStyle name="Normal 3 20 17 2" xfId="6586"/>
    <cellStyle name="Normal 3 20 17 2 2" xfId="6587"/>
    <cellStyle name="Normal 3 20 17 3" xfId="6588"/>
    <cellStyle name="Normal 3 20 18" xfId="6589"/>
    <cellStyle name="Normal 3 20 18 2" xfId="6590"/>
    <cellStyle name="Normal 3 20 18 2 2" xfId="6591"/>
    <cellStyle name="Normal 3 20 18 3" xfId="6592"/>
    <cellStyle name="Normal 3 20 19" xfId="6593"/>
    <cellStyle name="Normal 3 20 19 2" xfId="6594"/>
    <cellStyle name="Normal 3 20 19 2 2" xfId="6595"/>
    <cellStyle name="Normal 3 20 19 3" xfId="6596"/>
    <cellStyle name="Normal 3 20 2" xfId="6597"/>
    <cellStyle name="Normal 3 20 2 2" xfId="6598"/>
    <cellStyle name="Normal 3 20 2 2 2" xfId="6599"/>
    <cellStyle name="Normal 3 20 2 3" xfId="6600"/>
    <cellStyle name="Normal 3 20 20" xfId="6601"/>
    <cellStyle name="Normal 3 20 20 2" xfId="6602"/>
    <cellStyle name="Normal 3 20 20 2 2" xfId="6603"/>
    <cellStyle name="Normal 3 20 20 3" xfId="6604"/>
    <cellStyle name="Normal 3 20 21" xfId="6605"/>
    <cellStyle name="Normal 3 20 21 2" xfId="6606"/>
    <cellStyle name="Normal 3 20 21 2 2" xfId="6607"/>
    <cellStyle name="Normal 3 20 21 3" xfId="6608"/>
    <cellStyle name="Normal 3 20 22" xfId="6609"/>
    <cellStyle name="Normal 3 20 22 2" xfId="6610"/>
    <cellStyle name="Normal 3 20 22 2 2" xfId="6611"/>
    <cellStyle name="Normal 3 20 22 3" xfId="6612"/>
    <cellStyle name="Normal 3 20 23" xfId="6613"/>
    <cellStyle name="Normal 3 20 23 2" xfId="6614"/>
    <cellStyle name="Normal 3 20 23 2 2" xfId="6615"/>
    <cellStyle name="Normal 3 20 23 3" xfId="6616"/>
    <cellStyle name="Normal 3 20 24" xfId="6617"/>
    <cellStyle name="Normal 3 20 24 2" xfId="6618"/>
    <cellStyle name="Normal 3 20 25" xfId="6619"/>
    <cellStyle name="Normal 3 20 3" xfId="6620"/>
    <cellStyle name="Normal 3 20 3 2" xfId="6621"/>
    <cellStyle name="Normal 3 20 3 2 2" xfId="6622"/>
    <cellStyle name="Normal 3 20 3 3" xfId="6623"/>
    <cellStyle name="Normal 3 20 4" xfId="6624"/>
    <cellStyle name="Normal 3 20 4 2" xfId="6625"/>
    <cellStyle name="Normal 3 20 4 2 2" xfId="6626"/>
    <cellStyle name="Normal 3 20 4 3" xfId="6627"/>
    <cellStyle name="Normal 3 20 5" xfId="6628"/>
    <cellStyle name="Normal 3 20 5 2" xfId="6629"/>
    <cellStyle name="Normal 3 20 5 2 2" xfId="6630"/>
    <cellStyle name="Normal 3 20 5 3" xfId="6631"/>
    <cellStyle name="Normal 3 20 6" xfId="6632"/>
    <cellStyle name="Normal 3 20 6 2" xfId="6633"/>
    <cellStyle name="Normal 3 20 6 2 2" xfId="6634"/>
    <cellStyle name="Normal 3 20 6 3" xfId="6635"/>
    <cellStyle name="Normal 3 20 7" xfId="6636"/>
    <cellStyle name="Normal 3 20 7 2" xfId="6637"/>
    <cellStyle name="Normal 3 20 7 2 2" xfId="6638"/>
    <cellStyle name="Normal 3 20 7 3" xfId="6639"/>
    <cellStyle name="Normal 3 20 8" xfId="6640"/>
    <cellStyle name="Normal 3 20 8 2" xfId="6641"/>
    <cellStyle name="Normal 3 20 8 2 2" xfId="6642"/>
    <cellStyle name="Normal 3 20 8 3" xfId="6643"/>
    <cellStyle name="Normal 3 20 9" xfId="6644"/>
    <cellStyle name="Normal 3 20 9 2" xfId="6645"/>
    <cellStyle name="Normal 3 20 9 2 2" xfId="6646"/>
    <cellStyle name="Normal 3 20 9 3" xfId="6647"/>
    <cellStyle name="Normal 3 21" xfId="6648"/>
    <cellStyle name="Normal 3 21 10" xfId="6649"/>
    <cellStyle name="Normal 3 21 10 2" xfId="6650"/>
    <cellStyle name="Normal 3 21 10 2 2" xfId="6651"/>
    <cellStyle name="Normal 3 21 10 3" xfId="6652"/>
    <cellStyle name="Normal 3 21 11" xfId="6653"/>
    <cellStyle name="Normal 3 21 11 2" xfId="6654"/>
    <cellStyle name="Normal 3 21 11 2 2" xfId="6655"/>
    <cellStyle name="Normal 3 21 11 3" xfId="6656"/>
    <cellStyle name="Normal 3 21 12" xfId="6657"/>
    <cellStyle name="Normal 3 21 12 2" xfId="6658"/>
    <cellStyle name="Normal 3 21 12 2 2" xfId="6659"/>
    <cellStyle name="Normal 3 21 12 3" xfId="6660"/>
    <cellStyle name="Normal 3 21 13" xfId="6661"/>
    <cellStyle name="Normal 3 21 13 2" xfId="6662"/>
    <cellStyle name="Normal 3 21 13 2 2" xfId="6663"/>
    <cellStyle name="Normal 3 21 13 3" xfId="6664"/>
    <cellStyle name="Normal 3 21 14" xfId="6665"/>
    <cellStyle name="Normal 3 21 14 2" xfId="6666"/>
    <cellStyle name="Normal 3 21 14 2 2" xfId="6667"/>
    <cellStyle name="Normal 3 21 14 3" xfId="6668"/>
    <cellStyle name="Normal 3 21 15" xfId="6669"/>
    <cellStyle name="Normal 3 21 15 2" xfId="6670"/>
    <cellStyle name="Normal 3 21 15 2 2" xfId="6671"/>
    <cellStyle name="Normal 3 21 15 3" xfId="6672"/>
    <cellStyle name="Normal 3 21 16" xfId="6673"/>
    <cellStyle name="Normal 3 21 16 2" xfId="6674"/>
    <cellStyle name="Normal 3 21 16 2 2" xfId="6675"/>
    <cellStyle name="Normal 3 21 16 3" xfId="6676"/>
    <cellStyle name="Normal 3 21 17" xfId="6677"/>
    <cellStyle name="Normal 3 21 17 2" xfId="6678"/>
    <cellStyle name="Normal 3 21 17 2 2" xfId="6679"/>
    <cellStyle name="Normal 3 21 17 3" xfId="6680"/>
    <cellStyle name="Normal 3 21 18" xfId="6681"/>
    <cellStyle name="Normal 3 21 18 2" xfId="6682"/>
    <cellStyle name="Normal 3 21 18 2 2" xfId="6683"/>
    <cellStyle name="Normal 3 21 18 3" xfId="6684"/>
    <cellStyle name="Normal 3 21 19" xfId="6685"/>
    <cellStyle name="Normal 3 21 19 2" xfId="6686"/>
    <cellStyle name="Normal 3 21 19 2 2" xfId="6687"/>
    <cellStyle name="Normal 3 21 19 3" xfId="6688"/>
    <cellStyle name="Normal 3 21 2" xfId="6689"/>
    <cellStyle name="Normal 3 21 2 2" xfId="6690"/>
    <cellStyle name="Normal 3 21 2 2 2" xfId="6691"/>
    <cellStyle name="Normal 3 21 2 3" xfId="6692"/>
    <cellStyle name="Normal 3 21 20" xfId="6693"/>
    <cellStyle name="Normal 3 21 20 2" xfId="6694"/>
    <cellStyle name="Normal 3 21 20 2 2" xfId="6695"/>
    <cellStyle name="Normal 3 21 20 3" xfId="6696"/>
    <cellStyle name="Normal 3 21 21" xfId="6697"/>
    <cellStyle name="Normal 3 21 21 2" xfId="6698"/>
    <cellStyle name="Normal 3 21 21 2 2" xfId="6699"/>
    <cellStyle name="Normal 3 21 21 3" xfId="6700"/>
    <cellStyle name="Normal 3 21 22" xfId="6701"/>
    <cellStyle name="Normal 3 21 22 2" xfId="6702"/>
    <cellStyle name="Normal 3 21 22 2 2" xfId="6703"/>
    <cellStyle name="Normal 3 21 22 3" xfId="6704"/>
    <cellStyle name="Normal 3 21 23" xfId="6705"/>
    <cellStyle name="Normal 3 21 23 2" xfId="6706"/>
    <cellStyle name="Normal 3 21 23 2 2" xfId="6707"/>
    <cellStyle name="Normal 3 21 23 3" xfId="6708"/>
    <cellStyle name="Normal 3 21 24" xfId="6709"/>
    <cellStyle name="Normal 3 21 24 2" xfId="6710"/>
    <cellStyle name="Normal 3 21 25" xfId="6711"/>
    <cellStyle name="Normal 3 21 3" xfId="6712"/>
    <cellStyle name="Normal 3 21 3 2" xfId="6713"/>
    <cellStyle name="Normal 3 21 3 2 2" xfId="6714"/>
    <cellStyle name="Normal 3 21 3 3" xfId="6715"/>
    <cellStyle name="Normal 3 21 4" xfId="6716"/>
    <cellStyle name="Normal 3 21 4 2" xfId="6717"/>
    <cellStyle name="Normal 3 21 4 2 2" xfId="6718"/>
    <cellStyle name="Normal 3 21 4 3" xfId="6719"/>
    <cellStyle name="Normal 3 21 5" xfId="6720"/>
    <cellStyle name="Normal 3 21 5 2" xfId="6721"/>
    <cellStyle name="Normal 3 21 5 2 2" xfId="6722"/>
    <cellStyle name="Normal 3 21 5 3" xfId="6723"/>
    <cellStyle name="Normal 3 21 6" xfId="6724"/>
    <cellStyle name="Normal 3 21 6 2" xfId="6725"/>
    <cellStyle name="Normal 3 21 6 2 2" xfId="6726"/>
    <cellStyle name="Normal 3 21 6 3" xfId="6727"/>
    <cellStyle name="Normal 3 21 7" xfId="6728"/>
    <cellStyle name="Normal 3 21 7 2" xfId="6729"/>
    <cellStyle name="Normal 3 21 7 2 2" xfId="6730"/>
    <cellStyle name="Normal 3 21 7 3" xfId="6731"/>
    <cellStyle name="Normal 3 21 8" xfId="6732"/>
    <cellStyle name="Normal 3 21 8 2" xfId="6733"/>
    <cellStyle name="Normal 3 21 8 2 2" xfId="6734"/>
    <cellStyle name="Normal 3 21 8 3" xfId="6735"/>
    <cellStyle name="Normal 3 21 9" xfId="6736"/>
    <cellStyle name="Normal 3 21 9 2" xfId="6737"/>
    <cellStyle name="Normal 3 21 9 2 2" xfId="6738"/>
    <cellStyle name="Normal 3 21 9 3" xfId="6739"/>
    <cellStyle name="Normal 3 22" xfId="6740"/>
    <cellStyle name="Normal 3 22 10" xfId="6741"/>
    <cellStyle name="Normal 3 22 10 2" xfId="6742"/>
    <cellStyle name="Normal 3 22 10 2 2" xfId="6743"/>
    <cellStyle name="Normal 3 22 10 3" xfId="6744"/>
    <cellStyle name="Normal 3 22 11" xfId="6745"/>
    <cellStyle name="Normal 3 22 11 2" xfId="6746"/>
    <cellStyle name="Normal 3 22 11 2 2" xfId="6747"/>
    <cellStyle name="Normal 3 22 11 3" xfId="6748"/>
    <cellStyle name="Normal 3 22 12" xfId="6749"/>
    <cellStyle name="Normal 3 22 12 2" xfId="6750"/>
    <cellStyle name="Normal 3 22 12 2 2" xfId="6751"/>
    <cellStyle name="Normal 3 22 12 3" xfId="6752"/>
    <cellStyle name="Normal 3 22 13" xfId="6753"/>
    <cellStyle name="Normal 3 22 13 2" xfId="6754"/>
    <cellStyle name="Normal 3 22 13 2 2" xfId="6755"/>
    <cellStyle name="Normal 3 22 13 3" xfId="6756"/>
    <cellStyle name="Normal 3 22 14" xfId="6757"/>
    <cellStyle name="Normal 3 22 14 2" xfId="6758"/>
    <cellStyle name="Normal 3 22 14 2 2" xfId="6759"/>
    <cellStyle name="Normal 3 22 14 3" xfId="6760"/>
    <cellStyle name="Normal 3 22 15" xfId="6761"/>
    <cellStyle name="Normal 3 22 15 2" xfId="6762"/>
    <cellStyle name="Normal 3 22 15 2 2" xfId="6763"/>
    <cellStyle name="Normal 3 22 15 3" xfId="6764"/>
    <cellStyle name="Normal 3 22 16" xfId="6765"/>
    <cellStyle name="Normal 3 22 16 2" xfId="6766"/>
    <cellStyle name="Normal 3 22 16 2 2" xfId="6767"/>
    <cellStyle name="Normal 3 22 16 3" xfId="6768"/>
    <cellStyle name="Normal 3 22 17" xfId="6769"/>
    <cellStyle name="Normal 3 22 17 2" xfId="6770"/>
    <cellStyle name="Normal 3 22 17 2 2" xfId="6771"/>
    <cellStyle name="Normal 3 22 17 3" xfId="6772"/>
    <cellStyle name="Normal 3 22 18" xfId="6773"/>
    <cellStyle name="Normal 3 22 18 2" xfId="6774"/>
    <cellStyle name="Normal 3 22 18 2 2" xfId="6775"/>
    <cellStyle name="Normal 3 22 18 3" xfId="6776"/>
    <cellStyle name="Normal 3 22 19" xfId="6777"/>
    <cellStyle name="Normal 3 22 19 2" xfId="6778"/>
    <cellStyle name="Normal 3 22 19 2 2" xfId="6779"/>
    <cellStyle name="Normal 3 22 19 3" xfId="6780"/>
    <cellStyle name="Normal 3 22 2" xfId="6781"/>
    <cellStyle name="Normal 3 22 2 2" xfId="6782"/>
    <cellStyle name="Normal 3 22 2 2 2" xfId="6783"/>
    <cellStyle name="Normal 3 22 2 3" xfId="6784"/>
    <cellStyle name="Normal 3 22 20" xfId="6785"/>
    <cellStyle name="Normal 3 22 20 2" xfId="6786"/>
    <cellStyle name="Normal 3 22 20 2 2" xfId="6787"/>
    <cellStyle name="Normal 3 22 20 3" xfId="6788"/>
    <cellStyle name="Normal 3 22 21" xfId="6789"/>
    <cellStyle name="Normal 3 22 21 2" xfId="6790"/>
    <cellStyle name="Normal 3 22 21 2 2" xfId="6791"/>
    <cellStyle name="Normal 3 22 21 3" xfId="6792"/>
    <cellStyle name="Normal 3 22 22" xfId="6793"/>
    <cellStyle name="Normal 3 22 22 2" xfId="6794"/>
    <cellStyle name="Normal 3 22 22 2 2" xfId="6795"/>
    <cellStyle name="Normal 3 22 22 3" xfId="6796"/>
    <cellStyle name="Normal 3 22 23" xfId="6797"/>
    <cellStyle name="Normal 3 22 23 2" xfId="6798"/>
    <cellStyle name="Normal 3 22 23 2 2" xfId="6799"/>
    <cellStyle name="Normal 3 22 23 3" xfId="6800"/>
    <cellStyle name="Normal 3 22 24" xfId="6801"/>
    <cellStyle name="Normal 3 22 24 2" xfId="6802"/>
    <cellStyle name="Normal 3 22 25" xfId="6803"/>
    <cellStyle name="Normal 3 22 3" xfId="6804"/>
    <cellStyle name="Normal 3 22 3 2" xfId="6805"/>
    <cellStyle name="Normal 3 22 3 2 2" xfId="6806"/>
    <cellStyle name="Normal 3 22 3 3" xfId="6807"/>
    <cellStyle name="Normal 3 22 4" xfId="6808"/>
    <cellStyle name="Normal 3 22 4 2" xfId="6809"/>
    <cellStyle name="Normal 3 22 4 2 2" xfId="6810"/>
    <cellStyle name="Normal 3 22 4 3" xfId="6811"/>
    <cellStyle name="Normal 3 22 5" xfId="6812"/>
    <cellStyle name="Normal 3 22 5 2" xfId="6813"/>
    <cellStyle name="Normal 3 22 5 2 2" xfId="6814"/>
    <cellStyle name="Normal 3 22 5 3" xfId="6815"/>
    <cellStyle name="Normal 3 22 6" xfId="6816"/>
    <cellStyle name="Normal 3 22 6 2" xfId="6817"/>
    <cellStyle name="Normal 3 22 6 2 2" xfId="6818"/>
    <cellStyle name="Normal 3 22 6 3" xfId="6819"/>
    <cellStyle name="Normal 3 22 7" xfId="6820"/>
    <cellStyle name="Normal 3 22 7 2" xfId="6821"/>
    <cellStyle name="Normal 3 22 7 2 2" xfId="6822"/>
    <cellStyle name="Normal 3 22 7 3" xfId="6823"/>
    <cellStyle name="Normal 3 22 8" xfId="6824"/>
    <cellStyle name="Normal 3 22 8 2" xfId="6825"/>
    <cellStyle name="Normal 3 22 8 2 2" xfId="6826"/>
    <cellStyle name="Normal 3 22 8 3" xfId="6827"/>
    <cellStyle name="Normal 3 22 9" xfId="6828"/>
    <cellStyle name="Normal 3 22 9 2" xfId="6829"/>
    <cellStyle name="Normal 3 22 9 2 2" xfId="6830"/>
    <cellStyle name="Normal 3 22 9 3" xfId="6831"/>
    <cellStyle name="Normal 3 23" xfId="6832"/>
    <cellStyle name="Normal 3 23 10" xfId="6833"/>
    <cellStyle name="Normal 3 23 10 2" xfId="6834"/>
    <cellStyle name="Normal 3 23 10 2 2" xfId="6835"/>
    <cellStyle name="Normal 3 23 10 3" xfId="6836"/>
    <cellStyle name="Normal 3 23 11" xfId="6837"/>
    <cellStyle name="Normal 3 23 11 2" xfId="6838"/>
    <cellStyle name="Normal 3 23 11 2 2" xfId="6839"/>
    <cellStyle name="Normal 3 23 11 3" xfId="6840"/>
    <cellStyle name="Normal 3 23 12" xfId="6841"/>
    <cellStyle name="Normal 3 23 12 2" xfId="6842"/>
    <cellStyle name="Normal 3 23 12 2 2" xfId="6843"/>
    <cellStyle name="Normal 3 23 12 3" xfId="6844"/>
    <cellStyle name="Normal 3 23 13" xfId="6845"/>
    <cellStyle name="Normal 3 23 13 2" xfId="6846"/>
    <cellStyle name="Normal 3 23 13 2 2" xfId="6847"/>
    <cellStyle name="Normal 3 23 13 3" xfId="6848"/>
    <cellStyle name="Normal 3 23 14" xfId="6849"/>
    <cellStyle name="Normal 3 23 14 2" xfId="6850"/>
    <cellStyle name="Normal 3 23 14 2 2" xfId="6851"/>
    <cellStyle name="Normal 3 23 14 3" xfId="6852"/>
    <cellStyle name="Normal 3 23 15" xfId="6853"/>
    <cellStyle name="Normal 3 23 15 2" xfId="6854"/>
    <cellStyle name="Normal 3 23 15 2 2" xfId="6855"/>
    <cellStyle name="Normal 3 23 15 3" xfId="6856"/>
    <cellStyle name="Normal 3 23 16" xfId="6857"/>
    <cellStyle name="Normal 3 23 16 2" xfId="6858"/>
    <cellStyle name="Normal 3 23 16 2 2" xfId="6859"/>
    <cellStyle name="Normal 3 23 16 3" xfId="6860"/>
    <cellStyle name="Normal 3 23 17" xfId="6861"/>
    <cellStyle name="Normal 3 23 17 2" xfId="6862"/>
    <cellStyle name="Normal 3 23 17 2 2" xfId="6863"/>
    <cellStyle name="Normal 3 23 17 3" xfId="6864"/>
    <cellStyle name="Normal 3 23 18" xfId="6865"/>
    <cellStyle name="Normal 3 23 18 2" xfId="6866"/>
    <cellStyle name="Normal 3 23 18 2 2" xfId="6867"/>
    <cellStyle name="Normal 3 23 18 3" xfId="6868"/>
    <cellStyle name="Normal 3 23 19" xfId="6869"/>
    <cellStyle name="Normal 3 23 19 2" xfId="6870"/>
    <cellStyle name="Normal 3 23 19 2 2" xfId="6871"/>
    <cellStyle name="Normal 3 23 19 3" xfId="6872"/>
    <cellStyle name="Normal 3 23 2" xfId="6873"/>
    <cellStyle name="Normal 3 23 2 2" xfId="6874"/>
    <cellStyle name="Normal 3 23 2 2 2" xfId="6875"/>
    <cellStyle name="Normal 3 23 2 3" xfId="6876"/>
    <cellStyle name="Normal 3 23 20" xfId="6877"/>
    <cellStyle name="Normal 3 23 20 2" xfId="6878"/>
    <cellStyle name="Normal 3 23 20 2 2" xfId="6879"/>
    <cellStyle name="Normal 3 23 20 3" xfId="6880"/>
    <cellStyle name="Normal 3 23 21" xfId="6881"/>
    <cellStyle name="Normal 3 23 21 2" xfId="6882"/>
    <cellStyle name="Normal 3 23 21 2 2" xfId="6883"/>
    <cellStyle name="Normal 3 23 21 3" xfId="6884"/>
    <cellStyle name="Normal 3 23 22" xfId="6885"/>
    <cellStyle name="Normal 3 23 22 2" xfId="6886"/>
    <cellStyle name="Normal 3 23 22 2 2" xfId="6887"/>
    <cellStyle name="Normal 3 23 22 3" xfId="6888"/>
    <cellStyle name="Normal 3 23 23" xfId="6889"/>
    <cellStyle name="Normal 3 23 23 2" xfId="6890"/>
    <cellStyle name="Normal 3 23 23 2 2" xfId="6891"/>
    <cellStyle name="Normal 3 23 23 3" xfId="6892"/>
    <cellStyle name="Normal 3 23 24" xfId="6893"/>
    <cellStyle name="Normal 3 23 24 2" xfId="6894"/>
    <cellStyle name="Normal 3 23 25" xfId="6895"/>
    <cellStyle name="Normal 3 23 3" xfId="6896"/>
    <cellStyle name="Normal 3 23 3 2" xfId="6897"/>
    <cellStyle name="Normal 3 23 3 2 2" xfId="6898"/>
    <cellStyle name="Normal 3 23 3 3" xfId="6899"/>
    <cellStyle name="Normal 3 23 4" xfId="6900"/>
    <cellStyle name="Normal 3 23 4 2" xfId="6901"/>
    <cellStyle name="Normal 3 23 4 2 2" xfId="6902"/>
    <cellStyle name="Normal 3 23 4 3" xfId="6903"/>
    <cellStyle name="Normal 3 23 5" xfId="6904"/>
    <cellStyle name="Normal 3 23 5 2" xfId="6905"/>
    <cellStyle name="Normal 3 23 5 2 2" xfId="6906"/>
    <cellStyle name="Normal 3 23 5 3" xfId="6907"/>
    <cellStyle name="Normal 3 23 6" xfId="6908"/>
    <cellStyle name="Normal 3 23 6 2" xfId="6909"/>
    <cellStyle name="Normal 3 23 6 2 2" xfId="6910"/>
    <cellStyle name="Normal 3 23 6 3" xfId="6911"/>
    <cellStyle name="Normal 3 23 7" xfId="6912"/>
    <cellStyle name="Normal 3 23 7 2" xfId="6913"/>
    <cellStyle name="Normal 3 23 7 2 2" xfId="6914"/>
    <cellStyle name="Normal 3 23 7 3" xfId="6915"/>
    <cellStyle name="Normal 3 23 8" xfId="6916"/>
    <cellStyle name="Normal 3 23 8 2" xfId="6917"/>
    <cellStyle name="Normal 3 23 8 2 2" xfId="6918"/>
    <cellStyle name="Normal 3 23 8 3" xfId="6919"/>
    <cellStyle name="Normal 3 23 9" xfId="6920"/>
    <cellStyle name="Normal 3 23 9 2" xfId="6921"/>
    <cellStyle name="Normal 3 23 9 2 2" xfId="6922"/>
    <cellStyle name="Normal 3 23 9 3" xfId="6923"/>
    <cellStyle name="Normal 3 24" xfId="6924"/>
    <cellStyle name="Normal 3 24 10" xfId="6925"/>
    <cellStyle name="Normal 3 24 10 2" xfId="6926"/>
    <cellStyle name="Normal 3 24 10 2 2" xfId="6927"/>
    <cellStyle name="Normal 3 24 10 3" xfId="6928"/>
    <cellStyle name="Normal 3 24 11" xfId="6929"/>
    <cellStyle name="Normal 3 24 11 2" xfId="6930"/>
    <cellStyle name="Normal 3 24 11 2 2" xfId="6931"/>
    <cellStyle name="Normal 3 24 11 3" xfId="6932"/>
    <cellStyle name="Normal 3 24 12" xfId="6933"/>
    <cellStyle name="Normal 3 24 12 2" xfId="6934"/>
    <cellStyle name="Normal 3 24 12 2 2" xfId="6935"/>
    <cellStyle name="Normal 3 24 12 3" xfId="6936"/>
    <cellStyle name="Normal 3 24 13" xfId="6937"/>
    <cellStyle name="Normal 3 24 13 2" xfId="6938"/>
    <cellStyle name="Normal 3 24 13 2 2" xfId="6939"/>
    <cellStyle name="Normal 3 24 13 3" xfId="6940"/>
    <cellStyle name="Normal 3 24 14" xfId="6941"/>
    <cellStyle name="Normal 3 24 14 2" xfId="6942"/>
    <cellStyle name="Normal 3 24 14 2 2" xfId="6943"/>
    <cellStyle name="Normal 3 24 14 3" xfId="6944"/>
    <cellStyle name="Normal 3 24 15" xfId="6945"/>
    <cellStyle name="Normal 3 24 15 2" xfId="6946"/>
    <cellStyle name="Normal 3 24 15 2 2" xfId="6947"/>
    <cellStyle name="Normal 3 24 15 3" xfId="6948"/>
    <cellStyle name="Normal 3 24 16" xfId="6949"/>
    <cellStyle name="Normal 3 24 16 2" xfId="6950"/>
    <cellStyle name="Normal 3 24 16 2 2" xfId="6951"/>
    <cellStyle name="Normal 3 24 16 3" xfId="6952"/>
    <cellStyle name="Normal 3 24 17" xfId="6953"/>
    <cellStyle name="Normal 3 24 17 2" xfId="6954"/>
    <cellStyle name="Normal 3 24 17 2 2" xfId="6955"/>
    <cellStyle name="Normal 3 24 17 3" xfId="6956"/>
    <cellStyle name="Normal 3 24 18" xfId="6957"/>
    <cellStyle name="Normal 3 24 18 2" xfId="6958"/>
    <cellStyle name="Normal 3 24 18 2 2" xfId="6959"/>
    <cellStyle name="Normal 3 24 18 3" xfId="6960"/>
    <cellStyle name="Normal 3 24 19" xfId="6961"/>
    <cellStyle name="Normal 3 24 19 2" xfId="6962"/>
    <cellStyle name="Normal 3 24 19 2 2" xfId="6963"/>
    <cellStyle name="Normal 3 24 19 3" xfId="6964"/>
    <cellStyle name="Normal 3 24 2" xfId="6965"/>
    <cellStyle name="Normal 3 24 2 2" xfId="6966"/>
    <cellStyle name="Normal 3 24 2 2 2" xfId="6967"/>
    <cellStyle name="Normal 3 24 2 3" xfId="6968"/>
    <cellStyle name="Normal 3 24 20" xfId="6969"/>
    <cellStyle name="Normal 3 24 20 2" xfId="6970"/>
    <cellStyle name="Normal 3 24 20 2 2" xfId="6971"/>
    <cellStyle name="Normal 3 24 20 3" xfId="6972"/>
    <cellStyle name="Normal 3 24 21" xfId="6973"/>
    <cellStyle name="Normal 3 24 21 2" xfId="6974"/>
    <cellStyle name="Normal 3 24 21 2 2" xfId="6975"/>
    <cellStyle name="Normal 3 24 21 3" xfId="6976"/>
    <cellStyle name="Normal 3 24 22" xfId="6977"/>
    <cellStyle name="Normal 3 24 22 2" xfId="6978"/>
    <cellStyle name="Normal 3 24 22 2 2" xfId="6979"/>
    <cellStyle name="Normal 3 24 22 3" xfId="6980"/>
    <cellStyle name="Normal 3 24 23" xfId="6981"/>
    <cellStyle name="Normal 3 24 23 2" xfId="6982"/>
    <cellStyle name="Normal 3 24 23 2 2" xfId="6983"/>
    <cellStyle name="Normal 3 24 23 3" xfId="6984"/>
    <cellStyle name="Normal 3 24 24" xfId="6985"/>
    <cellStyle name="Normal 3 24 24 2" xfId="6986"/>
    <cellStyle name="Normal 3 24 25" xfId="6987"/>
    <cellStyle name="Normal 3 24 3" xfId="6988"/>
    <cellStyle name="Normal 3 24 3 2" xfId="6989"/>
    <cellStyle name="Normal 3 24 3 2 2" xfId="6990"/>
    <cellStyle name="Normal 3 24 3 3" xfId="6991"/>
    <cellStyle name="Normal 3 24 4" xfId="6992"/>
    <cellStyle name="Normal 3 24 4 2" xfId="6993"/>
    <cellStyle name="Normal 3 24 4 2 2" xfId="6994"/>
    <cellStyle name="Normal 3 24 4 3" xfId="6995"/>
    <cellStyle name="Normal 3 24 5" xfId="6996"/>
    <cellStyle name="Normal 3 24 5 2" xfId="6997"/>
    <cellStyle name="Normal 3 24 5 2 2" xfId="6998"/>
    <cellStyle name="Normal 3 24 5 3" xfId="6999"/>
    <cellStyle name="Normal 3 24 6" xfId="7000"/>
    <cellStyle name="Normal 3 24 6 2" xfId="7001"/>
    <cellStyle name="Normal 3 24 6 2 2" xfId="7002"/>
    <cellStyle name="Normal 3 24 6 3" xfId="7003"/>
    <cellStyle name="Normal 3 24 7" xfId="7004"/>
    <cellStyle name="Normal 3 24 7 2" xfId="7005"/>
    <cellStyle name="Normal 3 24 7 2 2" xfId="7006"/>
    <cellStyle name="Normal 3 24 7 3" xfId="7007"/>
    <cellStyle name="Normal 3 24 8" xfId="7008"/>
    <cellStyle name="Normal 3 24 8 2" xfId="7009"/>
    <cellStyle name="Normal 3 24 8 2 2" xfId="7010"/>
    <cellStyle name="Normal 3 24 8 3" xfId="7011"/>
    <cellStyle name="Normal 3 24 9" xfId="7012"/>
    <cellStyle name="Normal 3 24 9 2" xfId="7013"/>
    <cellStyle name="Normal 3 24 9 2 2" xfId="7014"/>
    <cellStyle name="Normal 3 24 9 3" xfId="7015"/>
    <cellStyle name="Normal 3 25" xfId="7016"/>
    <cellStyle name="Normal 3 25 10" xfId="7017"/>
    <cellStyle name="Normal 3 25 10 2" xfId="7018"/>
    <cellStyle name="Normal 3 25 10 2 2" xfId="7019"/>
    <cellStyle name="Normal 3 25 10 3" xfId="7020"/>
    <cellStyle name="Normal 3 25 11" xfId="7021"/>
    <cellStyle name="Normal 3 25 11 2" xfId="7022"/>
    <cellStyle name="Normal 3 25 11 2 2" xfId="7023"/>
    <cellStyle name="Normal 3 25 11 3" xfId="7024"/>
    <cellStyle name="Normal 3 25 12" xfId="7025"/>
    <cellStyle name="Normal 3 25 12 2" xfId="7026"/>
    <cellStyle name="Normal 3 25 12 2 2" xfId="7027"/>
    <cellStyle name="Normal 3 25 12 3" xfId="7028"/>
    <cellStyle name="Normal 3 25 13" xfId="7029"/>
    <cellStyle name="Normal 3 25 13 2" xfId="7030"/>
    <cellStyle name="Normal 3 25 13 2 2" xfId="7031"/>
    <cellStyle name="Normal 3 25 13 3" xfId="7032"/>
    <cellStyle name="Normal 3 25 14" xfId="7033"/>
    <cellStyle name="Normal 3 25 14 2" xfId="7034"/>
    <cellStyle name="Normal 3 25 14 2 2" xfId="7035"/>
    <cellStyle name="Normal 3 25 14 3" xfId="7036"/>
    <cellStyle name="Normal 3 25 15" xfId="7037"/>
    <cellStyle name="Normal 3 25 15 2" xfId="7038"/>
    <cellStyle name="Normal 3 25 15 2 2" xfId="7039"/>
    <cellStyle name="Normal 3 25 15 3" xfId="7040"/>
    <cellStyle name="Normal 3 25 16" xfId="7041"/>
    <cellStyle name="Normal 3 25 16 2" xfId="7042"/>
    <cellStyle name="Normal 3 25 16 2 2" xfId="7043"/>
    <cellStyle name="Normal 3 25 16 3" xfId="7044"/>
    <cellStyle name="Normal 3 25 17" xfId="7045"/>
    <cellStyle name="Normal 3 25 17 2" xfId="7046"/>
    <cellStyle name="Normal 3 25 17 2 2" xfId="7047"/>
    <cellStyle name="Normal 3 25 17 3" xfId="7048"/>
    <cellStyle name="Normal 3 25 18" xfId="7049"/>
    <cellStyle name="Normal 3 25 18 2" xfId="7050"/>
    <cellStyle name="Normal 3 25 18 2 2" xfId="7051"/>
    <cellStyle name="Normal 3 25 18 3" xfId="7052"/>
    <cellStyle name="Normal 3 25 19" xfId="7053"/>
    <cellStyle name="Normal 3 25 19 2" xfId="7054"/>
    <cellStyle name="Normal 3 25 19 2 2" xfId="7055"/>
    <cellStyle name="Normal 3 25 19 3" xfId="7056"/>
    <cellStyle name="Normal 3 25 2" xfId="7057"/>
    <cellStyle name="Normal 3 25 2 2" xfId="7058"/>
    <cellStyle name="Normal 3 25 2 2 2" xfId="7059"/>
    <cellStyle name="Normal 3 25 2 3" xfId="7060"/>
    <cellStyle name="Normal 3 25 20" xfId="7061"/>
    <cellStyle name="Normal 3 25 20 2" xfId="7062"/>
    <cellStyle name="Normal 3 25 20 2 2" xfId="7063"/>
    <cellStyle name="Normal 3 25 20 3" xfId="7064"/>
    <cellStyle name="Normal 3 25 21" xfId="7065"/>
    <cellStyle name="Normal 3 25 21 2" xfId="7066"/>
    <cellStyle name="Normal 3 25 21 2 2" xfId="7067"/>
    <cellStyle name="Normal 3 25 21 3" xfId="7068"/>
    <cellStyle name="Normal 3 25 22" xfId="7069"/>
    <cellStyle name="Normal 3 25 22 2" xfId="7070"/>
    <cellStyle name="Normal 3 25 22 2 2" xfId="7071"/>
    <cellStyle name="Normal 3 25 22 3" xfId="7072"/>
    <cellStyle name="Normal 3 25 23" xfId="7073"/>
    <cellStyle name="Normal 3 25 23 2" xfId="7074"/>
    <cellStyle name="Normal 3 25 23 2 2" xfId="7075"/>
    <cellStyle name="Normal 3 25 23 3" xfId="7076"/>
    <cellStyle name="Normal 3 25 24" xfId="7077"/>
    <cellStyle name="Normal 3 25 24 2" xfId="7078"/>
    <cellStyle name="Normal 3 25 25" xfId="7079"/>
    <cellStyle name="Normal 3 25 3" xfId="7080"/>
    <cellStyle name="Normal 3 25 3 2" xfId="7081"/>
    <cellStyle name="Normal 3 25 3 2 2" xfId="7082"/>
    <cellStyle name="Normal 3 25 3 3" xfId="7083"/>
    <cellStyle name="Normal 3 25 4" xfId="7084"/>
    <cellStyle name="Normal 3 25 4 2" xfId="7085"/>
    <cellStyle name="Normal 3 25 4 2 2" xfId="7086"/>
    <cellStyle name="Normal 3 25 4 3" xfId="7087"/>
    <cellStyle name="Normal 3 25 5" xfId="7088"/>
    <cellStyle name="Normal 3 25 5 2" xfId="7089"/>
    <cellStyle name="Normal 3 25 5 2 2" xfId="7090"/>
    <cellStyle name="Normal 3 25 5 3" xfId="7091"/>
    <cellStyle name="Normal 3 25 6" xfId="7092"/>
    <cellStyle name="Normal 3 25 6 2" xfId="7093"/>
    <cellStyle name="Normal 3 25 6 2 2" xfId="7094"/>
    <cellStyle name="Normal 3 25 6 3" xfId="7095"/>
    <cellStyle name="Normal 3 25 7" xfId="7096"/>
    <cellStyle name="Normal 3 25 7 2" xfId="7097"/>
    <cellStyle name="Normal 3 25 7 2 2" xfId="7098"/>
    <cellStyle name="Normal 3 25 7 3" xfId="7099"/>
    <cellStyle name="Normal 3 25 8" xfId="7100"/>
    <cellStyle name="Normal 3 25 8 2" xfId="7101"/>
    <cellStyle name="Normal 3 25 8 2 2" xfId="7102"/>
    <cellStyle name="Normal 3 25 8 3" xfId="7103"/>
    <cellStyle name="Normal 3 25 9" xfId="7104"/>
    <cellStyle name="Normal 3 25 9 2" xfId="7105"/>
    <cellStyle name="Normal 3 25 9 2 2" xfId="7106"/>
    <cellStyle name="Normal 3 25 9 3" xfId="7107"/>
    <cellStyle name="Normal 3 26" xfId="7108"/>
    <cellStyle name="Normal 3 26 10" xfId="7109"/>
    <cellStyle name="Normal 3 26 10 2" xfId="7110"/>
    <cellStyle name="Normal 3 26 10 2 2" xfId="7111"/>
    <cellStyle name="Normal 3 26 10 3" xfId="7112"/>
    <cellStyle name="Normal 3 26 11" xfId="7113"/>
    <cellStyle name="Normal 3 26 11 2" xfId="7114"/>
    <cellStyle name="Normal 3 26 11 2 2" xfId="7115"/>
    <cellStyle name="Normal 3 26 11 3" xfId="7116"/>
    <cellStyle name="Normal 3 26 12" xfId="7117"/>
    <cellStyle name="Normal 3 26 12 2" xfId="7118"/>
    <cellStyle name="Normal 3 26 12 2 2" xfId="7119"/>
    <cellStyle name="Normal 3 26 12 3" xfId="7120"/>
    <cellStyle name="Normal 3 26 13" xfId="7121"/>
    <cellStyle name="Normal 3 26 13 2" xfId="7122"/>
    <cellStyle name="Normal 3 26 13 2 2" xfId="7123"/>
    <cellStyle name="Normal 3 26 13 3" xfId="7124"/>
    <cellStyle name="Normal 3 26 14" xfId="7125"/>
    <cellStyle name="Normal 3 26 14 2" xfId="7126"/>
    <cellStyle name="Normal 3 26 14 2 2" xfId="7127"/>
    <cellStyle name="Normal 3 26 14 3" xfId="7128"/>
    <cellStyle name="Normal 3 26 15" xfId="7129"/>
    <cellStyle name="Normal 3 26 15 2" xfId="7130"/>
    <cellStyle name="Normal 3 26 15 2 2" xfId="7131"/>
    <cellStyle name="Normal 3 26 15 3" xfId="7132"/>
    <cellStyle name="Normal 3 26 16" xfId="7133"/>
    <cellStyle name="Normal 3 26 16 2" xfId="7134"/>
    <cellStyle name="Normal 3 26 16 2 2" xfId="7135"/>
    <cellStyle name="Normal 3 26 16 3" xfId="7136"/>
    <cellStyle name="Normal 3 26 17" xfId="7137"/>
    <cellStyle name="Normal 3 26 17 2" xfId="7138"/>
    <cellStyle name="Normal 3 26 17 2 2" xfId="7139"/>
    <cellStyle name="Normal 3 26 17 3" xfId="7140"/>
    <cellStyle name="Normal 3 26 18" xfId="7141"/>
    <cellStyle name="Normal 3 26 18 2" xfId="7142"/>
    <cellStyle name="Normal 3 26 18 2 2" xfId="7143"/>
    <cellStyle name="Normal 3 26 18 3" xfId="7144"/>
    <cellStyle name="Normal 3 26 19" xfId="7145"/>
    <cellStyle name="Normal 3 26 19 2" xfId="7146"/>
    <cellStyle name="Normal 3 26 19 2 2" xfId="7147"/>
    <cellStyle name="Normal 3 26 19 3" xfId="7148"/>
    <cellStyle name="Normal 3 26 2" xfId="7149"/>
    <cellStyle name="Normal 3 26 2 2" xfId="7150"/>
    <cellStyle name="Normal 3 26 2 2 2" xfId="7151"/>
    <cellStyle name="Normal 3 26 2 3" xfId="7152"/>
    <cellStyle name="Normal 3 26 20" xfId="7153"/>
    <cellStyle name="Normal 3 26 20 2" xfId="7154"/>
    <cellStyle name="Normal 3 26 20 2 2" xfId="7155"/>
    <cellStyle name="Normal 3 26 20 3" xfId="7156"/>
    <cellStyle name="Normal 3 26 21" xfId="7157"/>
    <cellStyle name="Normal 3 26 21 2" xfId="7158"/>
    <cellStyle name="Normal 3 26 21 2 2" xfId="7159"/>
    <cellStyle name="Normal 3 26 21 3" xfId="7160"/>
    <cellStyle name="Normal 3 26 22" xfId="7161"/>
    <cellStyle name="Normal 3 26 22 2" xfId="7162"/>
    <cellStyle name="Normal 3 26 22 2 2" xfId="7163"/>
    <cellStyle name="Normal 3 26 22 3" xfId="7164"/>
    <cellStyle name="Normal 3 26 23" xfId="7165"/>
    <cellStyle name="Normal 3 26 23 2" xfId="7166"/>
    <cellStyle name="Normal 3 26 23 2 2" xfId="7167"/>
    <cellStyle name="Normal 3 26 23 3" xfId="7168"/>
    <cellStyle name="Normal 3 26 24" xfId="7169"/>
    <cellStyle name="Normal 3 26 24 2" xfId="7170"/>
    <cellStyle name="Normal 3 26 25" xfId="7171"/>
    <cellStyle name="Normal 3 26 3" xfId="7172"/>
    <cellStyle name="Normal 3 26 3 2" xfId="7173"/>
    <cellStyle name="Normal 3 26 3 2 2" xfId="7174"/>
    <cellStyle name="Normal 3 26 3 3" xfId="7175"/>
    <cellStyle name="Normal 3 26 4" xfId="7176"/>
    <cellStyle name="Normal 3 26 4 2" xfId="7177"/>
    <cellStyle name="Normal 3 26 4 2 2" xfId="7178"/>
    <cellStyle name="Normal 3 26 4 3" xfId="7179"/>
    <cellStyle name="Normal 3 26 5" xfId="7180"/>
    <cellStyle name="Normal 3 26 5 2" xfId="7181"/>
    <cellStyle name="Normal 3 26 5 2 2" xfId="7182"/>
    <cellStyle name="Normal 3 26 5 3" xfId="7183"/>
    <cellStyle name="Normal 3 26 6" xfId="7184"/>
    <cellStyle name="Normal 3 26 6 2" xfId="7185"/>
    <cellStyle name="Normal 3 26 6 2 2" xfId="7186"/>
    <cellStyle name="Normal 3 26 6 3" xfId="7187"/>
    <cellStyle name="Normal 3 26 7" xfId="7188"/>
    <cellStyle name="Normal 3 26 7 2" xfId="7189"/>
    <cellStyle name="Normal 3 26 7 2 2" xfId="7190"/>
    <cellStyle name="Normal 3 26 7 3" xfId="7191"/>
    <cellStyle name="Normal 3 26 8" xfId="7192"/>
    <cellStyle name="Normal 3 26 8 2" xfId="7193"/>
    <cellStyle name="Normal 3 26 8 2 2" xfId="7194"/>
    <cellStyle name="Normal 3 26 8 3" xfId="7195"/>
    <cellStyle name="Normal 3 26 9" xfId="7196"/>
    <cellStyle name="Normal 3 26 9 2" xfId="7197"/>
    <cellStyle name="Normal 3 26 9 2 2" xfId="7198"/>
    <cellStyle name="Normal 3 26 9 3" xfId="7199"/>
    <cellStyle name="Normal 3 27" xfId="7200"/>
    <cellStyle name="Normal 3 27 10" xfId="7201"/>
    <cellStyle name="Normal 3 27 10 2" xfId="7202"/>
    <cellStyle name="Normal 3 27 10 2 2" xfId="7203"/>
    <cellStyle name="Normal 3 27 10 3" xfId="7204"/>
    <cellStyle name="Normal 3 27 11" xfId="7205"/>
    <cellStyle name="Normal 3 27 11 2" xfId="7206"/>
    <cellStyle name="Normal 3 27 11 2 2" xfId="7207"/>
    <cellStyle name="Normal 3 27 11 3" xfId="7208"/>
    <cellStyle name="Normal 3 27 12" xfId="7209"/>
    <cellStyle name="Normal 3 27 12 2" xfId="7210"/>
    <cellStyle name="Normal 3 27 12 2 2" xfId="7211"/>
    <cellStyle name="Normal 3 27 12 3" xfId="7212"/>
    <cellStyle name="Normal 3 27 13" xfId="7213"/>
    <cellStyle name="Normal 3 27 13 2" xfId="7214"/>
    <cellStyle name="Normal 3 27 13 2 2" xfId="7215"/>
    <cellStyle name="Normal 3 27 13 3" xfId="7216"/>
    <cellStyle name="Normal 3 27 14" xfId="7217"/>
    <cellStyle name="Normal 3 27 14 2" xfId="7218"/>
    <cellStyle name="Normal 3 27 14 2 2" xfId="7219"/>
    <cellStyle name="Normal 3 27 14 3" xfId="7220"/>
    <cellStyle name="Normal 3 27 15" xfId="7221"/>
    <cellStyle name="Normal 3 27 15 2" xfId="7222"/>
    <cellStyle name="Normal 3 27 15 2 2" xfId="7223"/>
    <cellStyle name="Normal 3 27 15 3" xfId="7224"/>
    <cellStyle name="Normal 3 27 16" xfId="7225"/>
    <cellStyle name="Normal 3 27 16 2" xfId="7226"/>
    <cellStyle name="Normal 3 27 16 2 2" xfId="7227"/>
    <cellStyle name="Normal 3 27 16 3" xfId="7228"/>
    <cellStyle name="Normal 3 27 17" xfId="7229"/>
    <cellStyle name="Normal 3 27 17 2" xfId="7230"/>
    <cellStyle name="Normal 3 27 17 2 2" xfId="7231"/>
    <cellStyle name="Normal 3 27 17 3" xfId="7232"/>
    <cellStyle name="Normal 3 27 18" xfId="7233"/>
    <cellStyle name="Normal 3 27 18 2" xfId="7234"/>
    <cellStyle name="Normal 3 27 18 2 2" xfId="7235"/>
    <cellStyle name="Normal 3 27 18 3" xfId="7236"/>
    <cellStyle name="Normal 3 27 19" xfId="7237"/>
    <cellStyle name="Normal 3 27 19 2" xfId="7238"/>
    <cellStyle name="Normal 3 27 19 2 2" xfId="7239"/>
    <cellStyle name="Normal 3 27 19 3" xfId="7240"/>
    <cellStyle name="Normal 3 27 2" xfId="7241"/>
    <cellStyle name="Normal 3 27 2 2" xfId="7242"/>
    <cellStyle name="Normal 3 27 2 2 2" xfId="7243"/>
    <cellStyle name="Normal 3 27 2 3" xfId="7244"/>
    <cellStyle name="Normal 3 27 20" xfId="7245"/>
    <cellStyle name="Normal 3 27 20 2" xfId="7246"/>
    <cellStyle name="Normal 3 27 20 2 2" xfId="7247"/>
    <cellStyle name="Normal 3 27 20 3" xfId="7248"/>
    <cellStyle name="Normal 3 27 21" xfId="7249"/>
    <cellStyle name="Normal 3 27 21 2" xfId="7250"/>
    <cellStyle name="Normal 3 27 21 2 2" xfId="7251"/>
    <cellStyle name="Normal 3 27 21 3" xfId="7252"/>
    <cellStyle name="Normal 3 27 22" xfId="7253"/>
    <cellStyle name="Normal 3 27 22 2" xfId="7254"/>
    <cellStyle name="Normal 3 27 22 2 2" xfId="7255"/>
    <cellStyle name="Normal 3 27 22 3" xfId="7256"/>
    <cellStyle name="Normal 3 27 23" xfId="7257"/>
    <cellStyle name="Normal 3 27 23 2" xfId="7258"/>
    <cellStyle name="Normal 3 27 23 2 2" xfId="7259"/>
    <cellStyle name="Normal 3 27 23 3" xfId="7260"/>
    <cellStyle name="Normal 3 27 24" xfId="7261"/>
    <cellStyle name="Normal 3 27 24 2" xfId="7262"/>
    <cellStyle name="Normal 3 27 25" xfId="7263"/>
    <cellStyle name="Normal 3 27 3" xfId="7264"/>
    <cellStyle name="Normal 3 27 3 2" xfId="7265"/>
    <cellStyle name="Normal 3 27 3 2 2" xfId="7266"/>
    <cellStyle name="Normal 3 27 3 3" xfId="7267"/>
    <cellStyle name="Normal 3 27 4" xfId="7268"/>
    <cellStyle name="Normal 3 27 4 2" xfId="7269"/>
    <cellStyle name="Normal 3 27 4 2 2" xfId="7270"/>
    <cellStyle name="Normal 3 27 4 3" xfId="7271"/>
    <cellStyle name="Normal 3 27 5" xfId="7272"/>
    <cellStyle name="Normal 3 27 5 2" xfId="7273"/>
    <cellStyle name="Normal 3 27 5 2 2" xfId="7274"/>
    <cellStyle name="Normal 3 27 5 3" xfId="7275"/>
    <cellStyle name="Normal 3 27 6" xfId="7276"/>
    <cellStyle name="Normal 3 27 6 2" xfId="7277"/>
    <cellStyle name="Normal 3 27 6 2 2" xfId="7278"/>
    <cellStyle name="Normal 3 27 6 3" xfId="7279"/>
    <cellStyle name="Normal 3 27 7" xfId="7280"/>
    <cellStyle name="Normal 3 27 7 2" xfId="7281"/>
    <cellStyle name="Normal 3 27 7 2 2" xfId="7282"/>
    <cellStyle name="Normal 3 27 7 3" xfId="7283"/>
    <cellStyle name="Normal 3 27 8" xfId="7284"/>
    <cellStyle name="Normal 3 27 8 2" xfId="7285"/>
    <cellStyle name="Normal 3 27 8 2 2" xfId="7286"/>
    <cellStyle name="Normal 3 27 8 3" xfId="7287"/>
    <cellStyle name="Normal 3 27 9" xfId="7288"/>
    <cellStyle name="Normal 3 27 9 2" xfId="7289"/>
    <cellStyle name="Normal 3 27 9 2 2" xfId="7290"/>
    <cellStyle name="Normal 3 27 9 3" xfId="7291"/>
    <cellStyle name="Normal 3 28" xfId="7292"/>
    <cellStyle name="Normal 3 28 10" xfId="7293"/>
    <cellStyle name="Normal 3 28 10 2" xfId="7294"/>
    <cellStyle name="Normal 3 28 10 2 2" xfId="7295"/>
    <cellStyle name="Normal 3 28 10 3" xfId="7296"/>
    <cellStyle name="Normal 3 28 11" xfId="7297"/>
    <cellStyle name="Normal 3 28 11 2" xfId="7298"/>
    <cellStyle name="Normal 3 28 11 2 2" xfId="7299"/>
    <cellStyle name="Normal 3 28 11 3" xfId="7300"/>
    <cellStyle name="Normal 3 28 12" xfId="7301"/>
    <cellStyle name="Normal 3 28 12 2" xfId="7302"/>
    <cellStyle name="Normal 3 28 12 2 2" xfId="7303"/>
    <cellStyle name="Normal 3 28 12 3" xfId="7304"/>
    <cellStyle name="Normal 3 28 13" xfId="7305"/>
    <cellStyle name="Normal 3 28 13 2" xfId="7306"/>
    <cellStyle name="Normal 3 28 13 2 2" xfId="7307"/>
    <cellStyle name="Normal 3 28 13 3" xfId="7308"/>
    <cellStyle name="Normal 3 28 14" xfId="7309"/>
    <cellStyle name="Normal 3 28 14 2" xfId="7310"/>
    <cellStyle name="Normal 3 28 14 2 2" xfId="7311"/>
    <cellStyle name="Normal 3 28 14 3" xfId="7312"/>
    <cellStyle name="Normal 3 28 15" xfId="7313"/>
    <cellStyle name="Normal 3 28 15 2" xfId="7314"/>
    <cellStyle name="Normal 3 28 15 2 2" xfId="7315"/>
    <cellStyle name="Normal 3 28 15 3" xfId="7316"/>
    <cellStyle name="Normal 3 28 16" xfId="7317"/>
    <cellStyle name="Normal 3 28 16 2" xfId="7318"/>
    <cellStyle name="Normal 3 28 16 2 2" xfId="7319"/>
    <cellStyle name="Normal 3 28 16 3" xfId="7320"/>
    <cellStyle name="Normal 3 28 17" xfId="7321"/>
    <cellStyle name="Normal 3 28 17 2" xfId="7322"/>
    <cellStyle name="Normal 3 28 17 2 2" xfId="7323"/>
    <cellStyle name="Normal 3 28 17 3" xfId="7324"/>
    <cellStyle name="Normal 3 28 18" xfId="7325"/>
    <cellStyle name="Normal 3 28 18 2" xfId="7326"/>
    <cellStyle name="Normal 3 28 18 2 2" xfId="7327"/>
    <cellStyle name="Normal 3 28 18 3" xfId="7328"/>
    <cellStyle name="Normal 3 28 19" xfId="7329"/>
    <cellStyle name="Normal 3 28 19 2" xfId="7330"/>
    <cellStyle name="Normal 3 28 19 2 2" xfId="7331"/>
    <cellStyle name="Normal 3 28 19 3" xfId="7332"/>
    <cellStyle name="Normal 3 28 2" xfId="7333"/>
    <cellStyle name="Normal 3 28 2 2" xfId="7334"/>
    <cellStyle name="Normal 3 28 2 2 2" xfId="7335"/>
    <cellStyle name="Normal 3 28 2 3" xfId="7336"/>
    <cellStyle name="Normal 3 28 20" xfId="7337"/>
    <cellStyle name="Normal 3 28 20 2" xfId="7338"/>
    <cellStyle name="Normal 3 28 20 2 2" xfId="7339"/>
    <cellStyle name="Normal 3 28 20 3" xfId="7340"/>
    <cellStyle name="Normal 3 28 21" xfId="7341"/>
    <cellStyle name="Normal 3 28 21 2" xfId="7342"/>
    <cellStyle name="Normal 3 28 21 2 2" xfId="7343"/>
    <cellStyle name="Normal 3 28 21 3" xfId="7344"/>
    <cellStyle name="Normal 3 28 22" xfId="7345"/>
    <cellStyle name="Normal 3 28 22 2" xfId="7346"/>
    <cellStyle name="Normal 3 28 22 2 2" xfId="7347"/>
    <cellStyle name="Normal 3 28 22 3" xfId="7348"/>
    <cellStyle name="Normal 3 28 23" xfId="7349"/>
    <cellStyle name="Normal 3 28 23 2" xfId="7350"/>
    <cellStyle name="Normal 3 28 23 2 2" xfId="7351"/>
    <cellStyle name="Normal 3 28 23 3" xfId="7352"/>
    <cellStyle name="Normal 3 28 24" xfId="7353"/>
    <cellStyle name="Normal 3 28 24 2" xfId="7354"/>
    <cellStyle name="Normal 3 28 25" xfId="7355"/>
    <cellStyle name="Normal 3 28 3" xfId="7356"/>
    <cellStyle name="Normal 3 28 3 2" xfId="7357"/>
    <cellStyle name="Normal 3 28 3 2 2" xfId="7358"/>
    <cellStyle name="Normal 3 28 3 3" xfId="7359"/>
    <cellStyle name="Normal 3 28 4" xfId="7360"/>
    <cellStyle name="Normal 3 28 4 2" xfId="7361"/>
    <cellStyle name="Normal 3 28 4 2 2" xfId="7362"/>
    <cellStyle name="Normal 3 28 4 3" xfId="7363"/>
    <cellStyle name="Normal 3 28 5" xfId="7364"/>
    <cellStyle name="Normal 3 28 5 2" xfId="7365"/>
    <cellStyle name="Normal 3 28 5 2 2" xfId="7366"/>
    <cellStyle name="Normal 3 28 5 3" xfId="7367"/>
    <cellStyle name="Normal 3 28 6" xfId="7368"/>
    <cellStyle name="Normal 3 28 6 2" xfId="7369"/>
    <cellStyle name="Normal 3 28 6 2 2" xfId="7370"/>
    <cellStyle name="Normal 3 28 6 3" xfId="7371"/>
    <cellStyle name="Normal 3 28 7" xfId="7372"/>
    <cellStyle name="Normal 3 28 7 2" xfId="7373"/>
    <cellStyle name="Normal 3 28 7 2 2" xfId="7374"/>
    <cellStyle name="Normal 3 28 7 3" xfId="7375"/>
    <cellStyle name="Normal 3 28 8" xfId="7376"/>
    <cellStyle name="Normal 3 28 8 2" xfId="7377"/>
    <cellStyle name="Normal 3 28 8 2 2" xfId="7378"/>
    <cellStyle name="Normal 3 28 8 3" xfId="7379"/>
    <cellStyle name="Normal 3 28 9" xfId="7380"/>
    <cellStyle name="Normal 3 28 9 2" xfId="7381"/>
    <cellStyle name="Normal 3 28 9 2 2" xfId="7382"/>
    <cellStyle name="Normal 3 28 9 3" xfId="7383"/>
    <cellStyle name="Normal 3 29" xfId="7384"/>
    <cellStyle name="Normal 3 29 10" xfId="7385"/>
    <cellStyle name="Normal 3 29 10 2" xfId="7386"/>
    <cellStyle name="Normal 3 29 10 2 2" xfId="7387"/>
    <cellStyle name="Normal 3 29 10 3" xfId="7388"/>
    <cellStyle name="Normal 3 29 11" xfId="7389"/>
    <cellStyle name="Normal 3 29 11 2" xfId="7390"/>
    <cellStyle name="Normal 3 29 11 2 2" xfId="7391"/>
    <cellStyle name="Normal 3 29 11 3" xfId="7392"/>
    <cellStyle name="Normal 3 29 12" xfId="7393"/>
    <cellStyle name="Normal 3 29 12 2" xfId="7394"/>
    <cellStyle name="Normal 3 29 12 2 2" xfId="7395"/>
    <cellStyle name="Normal 3 29 12 3" xfId="7396"/>
    <cellStyle name="Normal 3 29 13" xfId="7397"/>
    <cellStyle name="Normal 3 29 13 2" xfId="7398"/>
    <cellStyle name="Normal 3 29 13 2 2" xfId="7399"/>
    <cellStyle name="Normal 3 29 13 3" xfId="7400"/>
    <cellStyle name="Normal 3 29 14" xfId="7401"/>
    <cellStyle name="Normal 3 29 14 2" xfId="7402"/>
    <cellStyle name="Normal 3 29 14 2 2" xfId="7403"/>
    <cellStyle name="Normal 3 29 14 3" xfId="7404"/>
    <cellStyle name="Normal 3 29 15" xfId="7405"/>
    <cellStyle name="Normal 3 29 15 2" xfId="7406"/>
    <cellStyle name="Normal 3 29 15 2 2" xfId="7407"/>
    <cellStyle name="Normal 3 29 15 3" xfId="7408"/>
    <cellStyle name="Normal 3 29 16" xfId="7409"/>
    <cellStyle name="Normal 3 29 16 2" xfId="7410"/>
    <cellStyle name="Normal 3 29 16 2 2" xfId="7411"/>
    <cellStyle name="Normal 3 29 16 3" xfId="7412"/>
    <cellStyle name="Normal 3 29 17" xfId="7413"/>
    <cellStyle name="Normal 3 29 17 2" xfId="7414"/>
    <cellStyle name="Normal 3 29 17 2 2" xfId="7415"/>
    <cellStyle name="Normal 3 29 17 3" xfId="7416"/>
    <cellStyle name="Normal 3 29 18" xfId="7417"/>
    <cellStyle name="Normal 3 29 18 2" xfId="7418"/>
    <cellStyle name="Normal 3 29 18 2 2" xfId="7419"/>
    <cellStyle name="Normal 3 29 18 3" xfId="7420"/>
    <cellStyle name="Normal 3 29 19" xfId="7421"/>
    <cellStyle name="Normal 3 29 19 2" xfId="7422"/>
    <cellStyle name="Normal 3 29 19 2 2" xfId="7423"/>
    <cellStyle name="Normal 3 29 19 3" xfId="7424"/>
    <cellStyle name="Normal 3 29 2" xfId="7425"/>
    <cellStyle name="Normal 3 29 2 2" xfId="7426"/>
    <cellStyle name="Normal 3 29 2 2 2" xfId="7427"/>
    <cellStyle name="Normal 3 29 2 3" xfId="7428"/>
    <cellStyle name="Normal 3 29 20" xfId="7429"/>
    <cellStyle name="Normal 3 29 20 2" xfId="7430"/>
    <cellStyle name="Normal 3 29 20 2 2" xfId="7431"/>
    <cellStyle name="Normal 3 29 20 3" xfId="7432"/>
    <cellStyle name="Normal 3 29 21" xfId="7433"/>
    <cellStyle name="Normal 3 29 21 2" xfId="7434"/>
    <cellStyle name="Normal 3 29 21 2 2" xfId="7435"/>
    <cellStyle name="Normal 3 29 21 3" xfId="7436"/>
    <cellStyle name="Normal 3 29 22" xfId="7437"/>
    <cellStyle name="Normal 3 29 22 2" xfId="7438"/>
    <cellStyle name="Normal 3 29 22 2 2" xfId="7439"/>
    <cellStyle name="Normal 3 29 22 3" xfId="7440"/>
    <cellStyle name="Normal 3 29 23" xfId="7441"/>
    <cellStyle name="Normal 3 29 23 2" xfId="7442"/>
    <cellStyle name="Normal 3 29 23 2 2" xfId="7443"/>
    <cellStyle name="Normal 3 29 23 3" xfId="7444"/>
    <cellStyle name="Normal 3 29 24" xfId="7445"/>
    <cellStyle name="Normal 3 29 24 2" xfId="7446"/>
    <cellStyle name="Normal 3 29 25" xfId="7447"/>
    <cellStyle name="Normal 3 29 3" xfId="7448"/>
    <cellStyle name="Normal 3 29 3 2" xfId="7449"/>
    <cellStyle name="Normal 3 29 3 2 2" xfId="7450"/>
    <cellStyle name="Normal 3 29 3 3" xfId="7451"/>
    <cellStyle name="Normal 3 29 4" xfId="7452"/>
    <cellStyle name="Normal 3 29 4 2" xfId="7453"/>
    <cellStyle name="Normal 3 29 4 2 2" xfId="7454"/>
    <cellStyle name="Normal 3 29 4 3" xfId="7455"/>
    <cellStyle name="Normal 3 29 5" xfId="7456"/>
    <cellStyle name="Normal 3 29 5 2" xfId="7457"/>
    <cellStyle name="Normal 3 29 5 2 2" xfId="7458"/>
    <cellStyle name="Normal 3 29 5 3" xfId="7459"/>
    <cellStyle name="Normal 3 29 6" xfId="7460"/>
    <cellStyle name="Normal 3 29 6 2" xfId="7461"/>
    <cellStyle name="Normal 3 29 6 2 2" xfId="7462"/>
    <cellStyle name="Normal 3 29 6 3" xfId="7463"/>
    <cellStyle name="Normal 3 29 7" xfId="7464"/>
    <cellStyle name="Normal 3 29 7 2" xfId="7465"/>
    <cellStyle name="Normal 3 29 7 2 2" xfId="7466"/>
    <cellStyle name="Normal 3 29 7 3" xfId="7467"/>
    <cellStyle name="Normal 3 29 8" xfId="7468"/>
    <cellStyle name="Normal 3 29 8 2" xfId="7469"/>
    <cellStyle name="Normal 3 29 8 2 2" xfId="7470"/>
    <cellStyle name="Normal 3 29 8 3" xfId="7471"/>
    <cellStyle name="Normal 3 29 9" xfId="7472"/>
    <cellStyle name="Normal 3 29 9 2" xfId="7473"/>
    <cellStyle name="Normal 3 29 9 2 2" xfId="7474"/>
    <cellStyle name="Normal 3 29 9 3" xfId="7475"/>
    <cellStyle name="Normal 3 3" xfId="6"/>
    <cellStyle name="Normal 3 3 10" xfId="7476"/>
    <cellStyle name="Normal 3 3 10 2" xfId="7477"/>
    <cellStyle name="Normal 3 3 10 2 2" xfId="7478"/>
    <cellStyle name="Normal 3 3 10 3" xfId="7479"/>
    <cellStyle name="Normal 3 3 11" xfId="7480"/>
    <cellStyle name="Normal 3 3 11 2" xfId="7481"/>
    <cellStyle name="Normal 3 3 11 2 2" xfId="7482"/>
    <cellStyle name="Normal 3 3 11 3" xfId="7483"/>
    <cellStyle name="Normal 3 3 12" xfId="7484"/>
    <cellStyle name="Normal 3 3 12 2" xfId="7485"/>
    <cellStyle name="Normal 3 3 12 2 2" xfId="7486"/>
    <cellStyle name="Normal 3 3 12 3" xfId="7487"/>
    <cellStyle name="Normal 3 3 13" xfId="7488"/>
    <cellStyle name="Normal 3 3 13 2" xfId="7489"/>
    <cellStyle name="Normal 3 3 13 2 2" xfId="7490"/>
    <cellStyle name="Normal 3 3 13 3" xfId="7491"/>
    <cellStyle name="Normal 3 3 14" xfId="7492"/>
    <cellStyle name="Normal 3 3 14 2" xfId="7493"/>
    <cellStyle name="Normal 3 3 14 2 2" xfId="7494"/>
    <cellStyle name="Normal 3 3 14 3" xfId="7495"/>
    <cellStyle name="Normal 3 3 15" xfId="7496"/>
    <cellStyle name="Normal 3 3 15 2" xfId="7497"/>
    <cellStyle name="Normal 3 3 15 2 2" xfId="7498"/>
    <cellStyle name="Normal 3 3 15 3" xfId="7499"/>
    <cellStyle name="Normal 3 3 16" xfId="7500"/>
    <cellStyle name="Normal 3 3 16 2" xfId="7501"/>
    <cellStyle name="Normal 3 3 16 2 2" xfId="7502"/>
    <cellStyle name="Normal 3 3 16 3" xfId="7503"/>
    <cellStyle name="Normal 3 3 17" xfId="7504"/>
    <cellStyle name="Normal 3 3 17 2" xfId="7505"/>
    <cellStyle name="Normal 3 3 17 2 2" xfId="7506"/>
    <cellStyle name="Normal 3 3 17 3" xfId="7507"/>
    <cellStyle name="Normal 3 3 18" xfId="7508"/>
    <cellStyle name="Normal 3 3 18 2" xfId="7509"/>
    <cellStyle name="Normal 3 3 18 2 2" xfId="7510"/>
    <cellStyle name="Normal 3 3 18 3" xfId="7511"/>
    <cellStyle name="Normal 3 3 19" xfId="7512"/>
    <cellStyle name="Normal 3 3 19 2" xfId="7513"/>
    <cellStyle name="Normal 3 3 19 2 2" xfId="7514"/>
    <cellStyle name="Normal 3 3 19 3" xfId="7515"/>
    <cellStyle name="Normal 3 3 2" xfId="213"/>
    <cellStyle name="Normal 3 3 2 2" xfId="406"/>
    <cellStyle name="Normal 3 3 2 2 2" xfId="7516"/>
    <cellStyle name="Normal 3 3 2 3" xfId="7517"/>
    <cellStyle name="Normal 3 3 20" xfId="7518"/>
    <cellStyle name="Normal 3 3 20 2" xfId="7519"/>
    <cellStyle name="Normal 3 3 20 2 2" xfId="7520"/>
    <cellStyle name="Normal 3 3 20 3" xfId="7521"/>
    <cellStyle name="Normal 3 3 21" xfId="7522"/>
    <cellStyle name="Normal 3 3 21 2" xfId="7523"/>
    <cellStyle name="Normal 3 3 21 2 2" xfId="7524"/>
    <cellStyle name="Normal 3 3 21 3" xfId="7525"/>
    <cellStyle name="Normal 3 3 22" xfId="7526"/>
    <cellStyle name="Normal 3 3 22 2" xfId="7527"/>
    <cellStyle name="Normal 3 3 22 2 2" xfId="7528"/>
    <cellStyle name="Normal 3 3 22 3" xfId="7529"/>
    <cellStyle name="Normal 3 3 23" xfId="7530"/>
    <cellStyle name="Normal 3 3 23 2" xfId="7531"/>
    <cellStyle name="Normal 3 3 23 2 2" xfId="7532"/>
    <cellStyle name="Normal 3 3 23 3" xfId="7533"/>
    <cellStyle name="Normal 3 3 24" xfId="7534"/>
    <cellStyle name="Normal 3 3 24 2" xfId="7535"/>
    <cellStyle name="Normal 3 3 25" xfId="7536"/>
    <cellStyle name="Normal 3 3 3" xfId="7537"/>
    <cellStyle name="Normal 3 3 3 2" xfId="7538"/>
    <cellStyle name="Normal 3 3 3 2 2" xfId="7539"/>
    <cellStyle name="Normal 3 3 3 3" xfId="7540"/>
    <cellStyle name="Normal 3 3 4" xfId="7541"/>
    <cellStyle name="Normal 3 3 4 2" xfId="7542"/>
    <cellStyle name="Normal 3 3 4 2 2" xfId="7543"/>
    <cellStyle name="Normal 3 3 4 3" xfId="7544"/>
    <cellStyle name="Normal 3 3 5" xfId="7545"/>
    <cellStyle name="Normal 3 3 5 2" xfId="7546"/>
    <cellStyle name="Normal 3 3 5 2 2" xfId="7547"/>
    <cellStyle name="Normal 3 3 5 3" xfId="7548"/>
    <cellStyle name="Normal 3 3 6" xfId="7549"/>
    <cellStyle name="Normal 3 3 6 2" xfId="7550"/>
    <cellStyle name="Normal 3 3 6 2 2" xfId="7551"/>
    <cellStyle name="Normal 3 3 6 3" xfId="7552"/>
    <cellStyle name="Normal 3 3 7" xfId="7553"/>
    <cellStyle name="Normal 3 3 7 2" xfId="7554"/>
    <cellStyle name="Normal 3 3 7 2 2" xfId="7555"/>
    <cellStyle name="Normal 3 3 7 3" xfId="7556"/>
    <cellStyle name="Normal 3 3 8" xfId="7557"/>
    <cellStyle name="Normal 3 3 8 2" xfId="7558"/>
    <cellStyle name="Normal 3 3 8 2 2" xfId="7559"/>
    <cellStyle name="Normal 3 3 8 3" xfId="7560"/>
    <cellStyle name="Normal 3 3 9" xfId="7561"/>
    <cellStyle name="Normal 3 3 9 2" xfId="7562"/>
    <cellStyle name="Normal 3 3 9 2 2" xfId="7563"/>
    <cellStyle name="Normal 3 3 9 3" xfId="7564"/>
    <cellStyle name="Normal 3 30" xfId="7565"/>
    <cellStyle name="Normal 3 30 10" xfId="7566"/>
    <cellStyle name="Normal 3 30 10 2" xfId="7567"/>
    <cellStyle name="Normal 3 30 10 2 2" xfId="7568"/>
    <cellStyle name="Normal 3 30 10 3" xfId="7569"/>
    <cellStyle name="Normal 3 30 11" xfId="7570"/>
    <cellStyle name="Normal 3 30 11 2" xfId="7571"/>
    <cellStyle name="Normal 3 30 11 2 2" xfId="7572"/>
    <cellStyle name="Normal 3 30 11 3" xfId="7573"/>
    <cellStyle name="Normal 3 30 12" xfId="7574"/>
    <cellStyle name="Normal 3 30 12 2" xfId="7575"/>
    <cellStyle name="Normal 3 30 12 2 2" xfId="7576"/>
    <cellStyle name="Normal 3 30 12 3" xfId="7577"/>
    <cellStyle name="Normal 3 30 13" xfId="7578"/>
    <cellStyle name="Normal 3 30 13 2" xfId="7579"/>
    <cellStyle name="Normal 3 30 13 2 2" xfId="7580"/>
    <cellStyle name="Normal 3 30 13 3" xfId="7581"/>
    <cellStyle name="Normal 3 30 14" xfId="7582"/>
    <cellStyle name="Normal 3 30 14 2" xfId="7583"/>
    <cellStyle name="Normal 3 30 14 2 2" xfId="7584"/>
    <cellStyle name="Normal 3 30 14 3" xfId="7585"/>
    <cellStyle name="Normal 3 30 15" xfId="7586"/>
    <cellStyle name="Normal 3 30 15 2" xfId="7587"/>
    <cellStyle name="Normal 3 30 15 2 2" xfId="7588"/>
    <cellStyle name="Normal 3 30 15 3" xfId="7589"/>
    <cellStyle name="Normal 3 30 16" xfId="7590"/>
    <cellStyle name="Normal 3 30 16 2" xfId="7591"/>
    <cellStyle name="Normal 3 30 16 2 2" xfId="7592"/>
    <cellStyle name="Normal 3 30 16 3" xfId="7593"/>
    <cellStyle name="Normal 3 30 17" xfId="7594"/>
    <cellStyle name="Normal 3 30 17 2" xfId="7595"/>
    <cellStyle name="Normal 3 30 17 2 2" xfId="7596"/>
    <cellStyle name="Normal 3 30 17 3" xfId="7597"/>
    <cellStyle name="Normal 3 30 18" xfId="7598"/>
    <cellStyle name="Normal 3 30 18 2" xfId="7599"/>
    <cellStyle name="Normal 3 30 18 2 2" xfId="7600"/>
    <cellStyle name="Normal 3 30 18 3" xfId="7601"/>
    <cellStyle name="Normal 3 30 19" xfId="7602"/>
    <cellStyle name="Normal 3 30 19 2" xfId="7603"/>
    <cellStyle name="Normal 3 30 19 2 2" xfId="7604"/>
    <cellStyle name="Normal 3 30 19 3" xfId="7605"/>
    <cellStyle name="Normal 3 30 2" xfId="7606"/>
    <cellStyle name="Normal 3 30 2 2" xfId="7607"/>
    <cellStyle name="Normal 3 30 2 2 2" xfId="7608"/>
    <cellStyle name="Normal 3 30 2 3" xfId="7609"/>
    <cellStyle name="Normal 3 30 20" xfId="7610"/>
    <cellStyle name="Normal 3 30 20 2" xfId="7611"/>
    <cellStyle name="Normal 3 30 20 2 2" xfId="7612"/>
    <cellStyle name="Normal 3 30 20 3" xfId="7613"/>
    <cellStyle name="Normal 3 30 21" xfId="7614"/>
    <cellStyle name="Normal 3 30 21 2" xfId="7615"/>
    <cellStyle name="Normal 3 30 21 2 2" xfId="7616"/>
    <cellStyle name="Normal 3 30 21 3" xfId="7617"/>
    <cellStyle name="Normal 3 30 22" xfId="7618"/>
    <cellStyle name="Normal 3 30 22 2" xfId="7619"/>
    <cellStyle name="Normal 3 30 22 2 2" xfId="7620"/>
    <cellStyle name="Normal 3 30 22 3" xfId="7621"/>
    <cellStyle name="Normal 3 30 23" xfId="7622"/>
    <cellStyle name="Normal 3 30 23 2" xfId="7623"/>
    <cellStyle name="Normal 3 30 23 2 2" xfId="7624"/>
    <cellStyle name="Normal 3 30 23 3" xfId="7625"/>
    <cellStyle name="Normal 3 30 24" xfId="7626"/>
    <cellStyle name="Normal 3 30 24 2" xfId="7627"/>
    <cellStyle name="Normal 3 30 25" xfId="7628"/>
    <cellStyle name="Normal 3 30 3" xfId="7629"/>
    <cellStyle name="Normal 3 30 3 2" xfId="7630"/>
    <cellStyle name="Normal 3 30 3 2 2" xfId="7631"/>
    <cellStyle name="Normal 3 30 3 3" xfId="7632"/>
    <cellStyle name="Normal 3 30 4" xfId="7633"/>
    <cellStyle name="Normal 3 30 4 2" xfId="7634"/>
    <cellStyle name="Normal 3 30 4 2 2" xfId="7635"/>
    <cellStyle name="Normal 3 30 4 3" xfId="7636"/>
    <cellStyle name="Normal 3 30 5" xfId="7637"/>
    <cellStyle name="Normal 3 30 5 2" xfId="7638"/>
    <cellStyle name="Normal 3 30 5 2 2" xfId="7639"/>
    <cellStyle name="Normal 3 30 5 3" xfId="7640"/>
    <cellStyle name="Normal 3 30 6" xfId="7641"/>
    <cellStyle name="Normal 3 30 6 2" xfId="7642"/>
    <cellStyle name="Normal 3 30 6 2 2" xfId="7643"/>
    <cellStyle name="Normal 3 30 6 3" xfId="7644"/>
    <cellStyle name="Normal 3 30 7" xfId="7645"/>
    <cellStyle name="Normal 3 30 7 2" xfId="7646"/>
    <cellStyle name="Normal 3 30 7 2 2" xfId="7647"/>
    <cellStyle name="Normal 3 30 7 3" xfId="7648"/>
    <cellStyle name="Normal 3 30 8" xfId="7649"/>
    <cellStyle name="Normal 3 30 8 2" xfId="7650"/>
    <cellStyle name="Normal 3 30 8 2 2" xfId="7651"/>
    <cellStyle name="Normal 3 30 8 3" xfId="7652"/>
    <cellStyle name="Normal 3 30 9" xfId="7653"/>
    <cellStyle name="Normal 3 30 9 2" xfId="7654"/>
    <cellStyle name="Normal 3 30 9 2 2" xfId="7655"/>
    <cellStyle name="Normal 3 30 9 3" xfId="7656"/>
    <cellStyle name="Normal 3 31" xfId="7657"/>
    <cellStyle name="Normal 3 31 10" xfId="7658"/>
    <cellStyle name="Normal 3 31 10 2" xfId="7659"/>
    <cellStyle name="Normal 3 31 10 2 2" xfId="7660"/>
    <cellStyle name="Normal 3 31 10 3" xfId="7661"/>
    <cellStyle name="Normal 3 31 11" xfId="7662"/>
    <cellStyle name="Normal 3 31 11 2" xfId="7663"/>
    <cellStyle name="Normal 3 31 11 2 2" xfId="7664"/>
    <cellStyle name="Normal 3 31 11 3" xfId="7665"/>
    <cellStyle name="Normal 3 31 12" xfId="7666"/>
    <cellStyle name="Normal 3 31 12 2" xfId="7667"/>
    <cellStyle name="Normal 3 31 12 2 2" xfId="7668"/>
    <cellStyle name="Normal 3 31 12 3" xfId="7669"/>
    <cellStyle name="Normal 3 31 13" xfId="7670"/>
    <cellStyle name="Normal 3 31 13 2" xfId="7671"/>
    <cellStyle name="Normal 3 31 13 2 2" xfId="7672"/>
    <cellStyle name="Normal 3 31 13 3" xfId="7673"/>
    <cellStyle name="Normal 3 31 14" xfId="7674"/>
    <cellStyle name="Normal 3 31 14 2" xfId="7675"/>
    <cellStyle name="Normal 3 31 14 2 2" xfId="7676"/>
    <cellStyle name="Normal 3 31 14 3" xfId="7677"/>
    <cellStyle name="Normal 3 31 15" xfId="7678"/>
    <cellStyle name="Normal 3 31 15 2" xfId="7679"/>
    <cellStyle name="Normal 3 31 15 2 2" xfId="7680"/>
    <cellStyle name="Normal 3 31 15 3" xfId="7681"/>
    <cellStyle name="Normal 3 31 16" xfId="7682"/>
    <cellStyle name="Normal 3 31 16 2" xfId="7683"/>
    <cellStyle name="Normal 3 31 16 2 2" xfId="7684"/>
    <cellStyle name="Normal 3 31 16 3" xfId="7685"/>
    <cellStyle name="Normal 3 31 17" xfId="7686"/>
    <cellStyle name="Normal 3 31 17 2" xfId="7687"/>
    <cellStyle name="Normal 3 31 17 2 2" xfId="7688"/>
    <cellStyle name="Normal 3 31 17 3" xfId="7689"/>
    <cellStyle name="Normal 3 31 18" xfId="7690"/>
    <cellStyle name="Normal 3 31 18 2" xfId="7691"/>
    <cellStyle name="Normal 3 31 18 2 2" xfId="7692"/>
    <cellStyle name="Normal 3 31 18 3" xfId="7693"/>
    <cellStyle name="Normal 3 31 19" xfId="7694"/>
    <cellStyle name="Normal 3 31 19 2" xfId="7695"/>
    <cellStyle name="Normal 3 31 19 2 2" xfId="7696"/>
    <cellStyle name="Normal 3 31 19 3" xfId="7697"/>
    <cellStyle name="Normal 3 31 2" xfId="7698"/>
    <cellStyle name="Normal 3 31 2 2" xfId="7699"/>
    <cellStyle name="Normal 3 31 2 2 2" xfId="7700"/>
    <cellStyle name="Normal 3 31 2 3" xfId="7701"/>
    <cellStyle name="Normal 3 31 20" xfId="7702"/>
    <cellStyle name="Normal 3 31 20 2" xfId="7703"/>
    <cellStyle name="Normal 3 31 20 2 2" xfId="7704"/>
    <cellStyle name="Normal 3 31 20 3" xfId="7705"/>
    <cellStyle name="Normal 3 31 21" xfId="7706"/>
    <cellStyle name="Normal 3 31 21 2" xfId="7707"/>
    <cellStyle name="Normal 3 31 21 2 2" xfId="7708"/>
    <cellStyle name="Normal 3 31 21 3" xfId="7709"/>
    <cellStyle name="Normal 3 31 22" xfId="7710"/>
    <cellStyle name="Normal 3 31 22 2" xfId="7711"/>
    <cellStyle name="Normal 3 31 22 2 2" xfId="7712"/>
    <cellStyle name="Normal 3 31 22 3" xfId="7713"/>
    <cellStyle name="Normal 3 31 23" xfId="7714"/>
    <cellStyle name="Normal 3 31 23 2" xfId="7715"/>
    <cellStyle name="Normal 3 31 23 2 2" xfId="7716"/>
    <cellStyle name="Normal 3 31 23 3" xfId="7717"/>
    <cellStyle name="Normal 3 31 24" xfId="7718"/>
    <cellStyle name="Normal 3 31 24 2" xfId="7719"/>
    <cellStyle name="Normal 3 31 25" xfId="7720"/>
    <cellStyle name="Normal 3 31 3" xfId="7721"/>
    <cellStyle name="Normal 3 31 3 2" xfId="7722"/>
    <cellStyle name="Normal 3 31 3 2 2" xfId="7723"/>
    <cellStyle name="Normal 3 31 3 3" xfId="7724"/>
    <cellStyle name="Normal 3 31 4" xfId="7725"/>
    <cellStyle name="Normal 3 31 4 2" xfId="7726"/>
    <cellStyle name="Normal 3 31 4 2 2" xfId="7727"/>
    <cellStyle name="Normal 3 31 4 3" xfId="7728"/>
    <cellStyle name="Normal 3 31 5" xfId="7729"/>
    <cellStyle name="Normal 3 31 5 2" xfId="7730"/>
    <cellStyle name="Normal 3 31 5 2 2" xfId="7731"/>
    <cellStyle name="Normal 3 31 5 3" xfId="7732"/>
    <cellStyle name="Normal 3 31 6" xfId="7733"/>
    <cellStyle name="Normal 3 31 6 2" xfId="7734"/>
    <cellStyle name="Normal 3 31 6 2 2" xfId="7735"/>
    <cellStyle name="Normal 3 31 6 3" xfId="7736"/>
    <cellStyle name="Normal 3 31 7" xfId="7737"/>
    <cellStyle name="Normal 3 31 7 2" xfId="7738"/>
    <cellStyle name="Normal 3 31 7 2 2" xfId="7739"/>
    <cellStyle name="Normal 3 31 7 3" xfId="7740"/>
    <cellStyle name="Normal 3 31 8" xfId="7741"/>
    <cellStyle name="Normal 3 31 8 2" xfId="7742"/>
    <cellStyle name="Normal 3 31 8 2 2" xfId="7743"/>
    <cellStyle name="Normal 3 31 8 3" xfId="7744"/>
    <cellStyle name="Normal 3 31 9" xfId="7745"/>
    <cellStyle name="Normal 3 31 9 2" xfId="7746"/>
    <cellStyle name="Normal 3 31 9 2 2" xfId="7747"/>
    <cellStyle name="Normal 3 31 9 3" xfId="7748"/>
    <cellStyle name="Normal 3 32" xfId="7749"/>
    <cellStyle name="Normal 3 32 10" xfId="7750"/>
    <cellStyle name="Normal 3 32 10 2" xfId="7751"/>
    <cellStyle name="Normal 3 32 10 2 2" xfId="7752"/>
    <cellStyle name="Normal 3 32 10 3" xfId="7753"/>
    <cellStyle name="Normal 3 32 11" xfId="7754"/>
    <cellStyle name="Normal 3 32 11 2" xfId="7755"/>
    <cellStyle name="Normal 3 32 11 2 2" xfId="7756"/>
    <cellStyle name="Normal 3 32 11 3" xfId="7757"/>
    <cellStyle name="Normal 3 32 12" xfId="7758"/>
    <cellStyle name="Normal 3 32 12 2" xfId="7759"/>
    <cellStyle name="Normal 3 32 12 2 2" xfId="7760"/>
    <cellStyle name="Normal 3 32 12 3" xfId="7761"/>
    <cellStyle name="Normal 3 32 13" xfId="7762"/>
    <cellStyle name="Normal 3 32 13 2" xfId="7763"/>
    <cellStyle name="Normal 3 32 13 2 2" xfId="7764"/>
    <cellStyle name="Normal 3 32 13 3" xfId="7765"/>
    <cellStyle name="Normal 3 32 14" xfId="7766"/>
    <cellStyle name="Normal 3 32 14 2" xfId="7767"/>
    <cellStyle name="Normal 3 32 14 2 2" xfId="7768"/>
    <cellStyle name="Normal 3 32 14 3" xfId="7769"/>
    <cellStyle name="Normal 3 32 15" xfId="7770"/>
    <cellStyle name="Normal 3 32 15 2" xfId="7771"/>
    <cellStyle name="Normal 3 32 15 2 2" xfId="7772"/>
    <cellStyle name="Normal 3 32 15 3" xfId="7773"/>
    <cellStyle name="Normal 3 32 16" xfId="7774"/>
    <cellStyle name="Normal 3 32 16 2" xfId="7775"/>
    <cellStyle name="Normal 3 32 16 2 2" xfId="7776"/>
    <cellStyle name="Normal 3 32 16 3" xfId="7777"/>
    <cellStyle name="Normal 3 32 17" xfId="7778"/>
    <cellStyle name="Normal 3 32 17 2" xfId="7779"/>
    <cellStyle name="Normal 3 32 17 2 2" xfId="7780"/>
    <cellStyle name="Normal 3 32 17 3" xfId="7781"/>
    <cellStyle name="Normal 3 32 18" xfId="7782"/>
    <cellStyle name="Normal 3 32 18 2" xfId="7783"/>
    <cellStyle name="Normal 3 32 18 2 2" xfId="7784"/>
    <cellStyle name="Normal 3 32 18 3" xfId="7785"/>
    <cellStyle name="Normal 3 32 19" xfId="7786"/>
    <cellStyle name="Normal 3 32 19 2" xfId="7787"/>
    <cellStyle name="Normal 3 32 19 2 2" xfId="7788"/>
    <cellStyle name="Normal 3 32 19 3" xfId="7789"/>
    <cellStyle name="Normal 3 32 2" xfId="7790"/>
    <cellStyle name="Normal 3 32 2 2" xfId="7791"/>
    <cellStyle name="Normal 3 32 2 2 2" xfId="7792"/>
    <cellStyle name="Normal 3 32 2 3" xfId="7793"/>
    <cellStyle name="Normal 3 32 20" xfId="7794"/>
    <cellStyle name="Normal 3 32 20 2" xfId="7795"/>
    <cellStyle name="Normal 3 32 20 2 2" xfId="7796"/>
    <cellStyle name="Normal 3 32 20 3" xfId="7797"/>
    <cellStyle name="Normal 3 32 21" xfId="7798"/>
    <cellStyle name="Normal 3 32 21 2" xfId="7799"/>
    <cellStyle name="Normal 3 32 21 2 2" xfId="7800"/>
    <cellStyle name="Normal 3 32 21 3" xfId="7801"/>
    <cellStyle name="Normal 3 32 22" xfId="7802"/>
    <cellStyle name="Normal 3 32 22 2" xfId="7803"/>
    <cellStyle name="Normal 3 32 22 2 2" xfId="7804"/>
    <cellStyle name="Normal 3 32 22 3" xfId="7805"/>
    <cellStyle name="Normal 3 32 23" xfId="7806"/>
    <cellStyle name="Normal 3 32 23 2" xfId="7807"/>
    <cellStyle name="Normal 3 32 23 2 2" xfId="7808"/>
    <cellStyle name="Normal 3 32 23 3" xfId="7809"/>
    <cellStyle name="Normal 3 32 24" xfId="7810"/>
    <cellStyle name="Normal 3 32 24 2" xfId="7811"/>
    <cellStyle name="Normal 3 32 25" xfId="7812"/>
    <cellStyle name="Normal 3 32 3" xfId="7813"/>
    <cellStyle name="Normal 3 32 3 2" xfId="7814"/>
    <cellStyle name="Normal 3 32 3 2 2" xfId="7815"/>
    <cellStyle name="Normal 3 32 3 3" xfId="7816"/>
    <cellStyle name="Normal 3 32 4" xfId="7817"/>
    <cellStyle name="Normal 3 32 4 2" xfId="7818"/>
    <cellStyle name="Normal 3 32 4 2 2" xfId="7819"/>
    <cellStyle name="Normal 3 32 4 3" xfId="7820"/>
    <cellStyle name="Normal 3 32 5" xfId="7821"/>
    <cellStyle name="Normal 3 32 5 2" xfId="7822"/>
    <cellStyle name="Normal 3 32 5 2 2" xfId="7823"/>
    <cellStyle name="Normal 3 32 5 3" xfId="7824"/>
    <cellStyle name="Normal 3 32 6" xfId="7825"/>
    <cellStyle name="Normal 3 32 6 2" xfId="7826"/>
    <cellStyle name="Normal 3 32 6 2 2" xfId="7827"/>
    <cellStyle name="Normal 3 32 6 3" xfId="7828"/>
    <cellStyle name="Normal 3 32 7" xfId="7829"/>
    <cellStyle name="Normal 3 32 7 2" xfId="7830"/>
    <cellStyle name="Normal 3 32 7 2 2" xfId="7831"/>
    <cellStyle name="Normal 3 32 7 3" xfId="7832"/>
    <cellStyle name="Normal 3 32 8" xfId="7833"/>
    <cellStyle name="Normal 3 32 8 2" xfId="7834"/>
    <cellStyle name="Normal 3 32 8 2 2" xfId="7835"/>
    <cellStyle name="Normal 3 32 8 3" xfId="7836"/>
    <cellStyle name="Normal 3 32 9" xfId="7837"/>
    <cellStyle name="Normal 3 32 9 2" xfId="7838"/>
    <cellStyle name="Normal 3 32 9 2 2" xfId="7839"/>
    <cellStyle name="Normal 3 32 9 3" xfId="7840"/>
    <cellStyle name="Normal 3 33" xfId="7841"/>
    <cellStyle name="Normal 3 33 10" xfId="7842"/>
    <cellStyle name="Normal 3 33 10 2" xfId="7843"/>
    <cellStyle name="Normal 3 33 10 2 2" xfId="7844"/>
    <cellStyle name="Normal 3 33 10 3" xfId="7845"/>
    <cellStyle name="Normal 3 33 11" xfId="7846"/>
    <cellStyle name="Normal 3 33 11 2" xfId="7847"/>
    <cellStyle name="Normal 3 33 11 2 2" xfId="7848"/>
    <cellStyle name="Normal 3 33 11 3" xfId="7849"/>
    <cellStyle name="Normal 3 33 12" xfId="7850"/>
    <cellStyle name="Normal 3 33 12 2" xfId="7851"/>
    <cellStyle name="Normal 3 33 12 2 2" xfId="7852"/>
    <cellStyle name="Normal 3 33 12 3" xfId="7853"/>
    <cellStyle name="Normal 3 33 13" xfId="7854"/>
    <cellStyle name="Normal 3 33 13 2" xfId="7855"/>
    <cellStyle name="Normal 3 33 13 2 2" xfId="7856"/>
    <cellStyle name="Normal 3 33 13 3" xfId="7857"/>
    <cellStyle name="Normal 3 33 14" xfId="7858"/>
    <cellStyle name="Normal 3 33 14 2" xfId="7859"/>
    <cellStyle name="Normal 3 33 14 2 2" xfId="7860"/>
    <cellStyle name="Normal 3 33 14 3" xfId="7861"/>
    <cellStyle name="Normal 3 33 15" xfId="7862"/>
    <cellStyle name="Normal 3 33 15 2" xfId="7863"/>
    <cellStyle name="Normal 3 33 15 2 2" xfId="7864"/>
    <cellStyle name="Normal 3 33 15 3" xfId="7865"/>
    <cellStyle name="Normal 3 33 16" xfId="7866"/>
    <cellStyle name="Normal 3 33 16 2" xfId="7867"/>
    <cellStyle name="Normal 3 33 16 2 2" xfId="7868"/>
    <cellStyle name="Normal 3 33 16 3" xfId="7869"/>
    <cellStyle name="Normal 3 33 17" xfId="7870"/>
    <cellStyle name="Normal 3 33 17 2" xfId="7871"/>
    <cellStyle name="Normal 3 33 17 2 2" xfId="7872"/>
    <cellStyle name="Normal 3 33 17 3" xfId="7873"/>
    <cellStyle name="Normal 3 33 18" xfId="7874"/>
    <cellStyle name="Normal 3 33 18 2" xfId="7875"/>
    <cellStyle name="Normal 3 33 18 2 2" xfId="7876"/>
    <cellStyle name="Normal 3 33 18 3" xfId="7877"/>
    <cellStyle name="Normal 3 33 19" xfId="7878"/>
    <cellStyle name="Normal 3 33 19 2" xfId="7879"/>
    <cellStyle name="Normal 3 33 19 2 2" xfId="7880"/>
    <cellStyle name="Normal 3 33 19 3" xfId="7881"/>
    <cellStyle name="Normal 3 33 2" xfId="7882"/>
    <cellStyle name="Normal 3 33 2 2" xfId="7883"/>
    <cellStyle name="Normal 3 33 2 2 2" xfId="7884"/>
    <cellStyle name="Normal 3 33 2 3" xfId="7885"/>
    <cellStyle name="Normal 3 33 20" xfId="7886"/>
    <cellStyle name="Normal 3 33 20 2" xfId="7887"/>
    <cellStyle name="Normal 3 33 20 2 2" xfId="7888"/>
    <cellStyle name="Normal 3 33 20 3" xfId="7889"/>
    <cellStyle name="Normal 3 33 21" xfId="7890"/>
    <cellStyle name="Normal 3 33 21 2" xfId="7891"/>
    <cellStyle name="Normal 3 33 21 2 2" xfId="7892"/>
    <cellStyle name="Normal 3 33 21 3" xfId="7893"/>
    <cellStyle name="Normal 3 33 22" xfId="7894"/>
    <cellStyle name="Normal 3 33 22 2" xfId="7895"/>
    <cellStyle name="Normal 3 33 22 2 2" xfId="7896"/>
    <cellStyle name="Normal 3 33 22 3" xfId="7897"/>
    <cellStyle name="Normal 3 33 23" xfId="7898"/>
    <cellStyle name="Normal 3 33 23 2" xfId="7899"/>
    <cellStyle name="Normal 3 33 23 2 2" xfId="7900"/>
    <cellStyle name="Normal 3 33 23 3" xfId="7901"/>
    <cellStyle name="Normal 3 33 24" xfId="7902"/>
    <cellStyle name="Normal 3 33 24 2" xfId="7903"/>
    <cellStyle name="Normal 3 33 25" xfId="7904"/>
    <cellStyle name="Normal 3 33 3" xfId="7905"/>
    <cellStyle name="Normal 3 33 3 2" xfId="7906"/>
    <cellStyle name="Normal 3 33 3 2 2" xfId="7907"/>
    <cellStyle name="Normal 3 33 3 3" xfId="7908"/>
    <cellStyle name="Normal 3 33 4" xfId="7909"/>
    <cellStyle name="Normal 3 33 4 2" xfId="7910"/>
    <cellStyle name="Normal 3 33 4 2 2" xfId="7911"/>
    <cellStyle name="Normal 3 33 4 3" xfId="7912"/>
    <cellStyle name="Normal 3 33 5" xfId="7913"/>
    <cellStyle name="Normal 3 33 5 2" xfId="7914"/>
    <cellStyle name="Normal 3 33 5 2 2" xfId="7915"/>
    <cellStyle name="Normal 3 33 5 3" xfId="7916"/>
    <cellStyle name="Normal 3 33 6" xfId="7917"/>
    <cellStyle name="Normal 3 33 6 2" xfId="7918"/>
    <cellStyle name="Normal 3 33 6 2 2" xfId="7919"/>
    <cellStyle name="Normal 3 33 6 3" xfId="7920"/>
    <cellStyle name="Normal 3 33 7" xfId="7921"/>
    <cellStyle name="Normal 3 33 7 2" xfId="7922"/>
    <cellStyle name="Normal 3 33 7 2 2" xfId="7923"/>
    <cellStyle name="Normal 3 33 7 3" xfId="7924"/>
    <cellStyle name="Normal 3 33 8" xfId="7925"/>
    <cellStyle name="Normal 3 33 8 2" xfId="7926"/>
    <cellStyle name="Normal 3 33 8 2 2" xfId="7927"/>
    <cellStyle name="Normal 3 33 8 3" xfId="7928"/>
    <cellStyle name="Normal 3 33 9" xfId="7929"/>
    <cellStyle name="Normal 3 33 9 2" xfId="7930"/>
    <cellStyle name="Normal 3 33 9 2 2" xfId="7931"/>
    <cellStyle name="Normal 3 33 9 3" xfId="7932"/>
    <cellStyle name="Normal 3 34" xfId="7933"/>
    <cellStyle name="Normal 3 34 2" xfId="7934"/>
    <cellStyle name="Normal 3 34 2 2" xfId="7935"/>
    <cellStyle name="Normal 3 34 3" xfId="7936"/>
    <cellStyle name="Normal 3 35" xfId="7937"/>
    <cellStyle name="Normal 3 35 2" xfId="7938"/>
    <cellStyle name="Normal 3 35 2 2" xfId="7939"/>
    <cellStyle name="Normal 3 35 3" xfId="7940"/>
    <cellStyle name="Normal 3 36" xfId="7941"/>
    <cellStyle name="Normal 3 36 2" xfId="7942"/>
    <cellStyle name="Normal 3 36 2 2" xfId="7943"/>
    <cellStyle name="Normal 3 36 3" xfId="7944"/>
    <cellStyle name="Normal 3 37" xfId="7945"/>
    <cellStyle name="Normal 3 37 2" xfId="7946"/>
    <cellStyle name="Normal 3 37 2 2" xfId="7947"/>
    <cellStyle name="Normal 3 37 3" xfId="7948"/>
    <cellStyle name="Normal 3 38" xfId="7949"/>
    <cellStyle name="Normal 3 38 2" xfId="7950"/>
    <cellStyle name="Normal 3 38 2 2" xfId="7951"/>
    <cellStyle name="Normal 3 38 3" xfId="7952"/>
    <cellStyle name="Normal 3 39" xfId="7953"/>
    <cellStyle name="Normal 3 39 2" xfId="7954"/>
    <cellStyle name="Normal 3 39 2 2" xfId="7955"/>
    <cellStyle name="Normal 3 39 3" xfId="7956"/>
    <cellStyle name="Normal 3 4" xfId="214"/>
    <cellStyle name="Normal 3 4 10" xfId="7957"/>
    <cellStyle name="Normal 3 4 10 2" xfId="7958"/>
    <cellStyle name="Normal 3 4 10 2 2" xfId="7959"/>
    <cellStyle name="Normal 3 4 10 3" xfId="7960"/>
    <cellStyle name="Normal 3 4 11" xfId="7961"/>
    <cellStyle name="Normal 3 4 11 2" xfId="7962"/>
    <cellStyle name="Normal 3 4 11 2 2" xfId="7963"/>
    <cellStyle name="Normal 3 4 11 3" xfId="7964"/>
    <cellStyle name="Normal 3 4 12" xfId="7965"/>
    <cellStyle name="Normal 3 4 12 2" xfId="7966"/>
    <cellStyle name="Normal 3 4 12 2 2" xfId="7967"/>
    <cellStyle name="Normal 3 4 12 3" xfId="7968"/>
    <cellStyle name="Normal 3 4 13" xfId="7969"/>
    <cellStyle name="Normal 3 4 13 2" xfId="7970"/>
    <cellStyle name="Normal 3 4 13 2 2" xfId="7971"/>
    <cellStyle name="Normal 3 4 13 3" xfId="7972"/>
    <cellStyle name="Normal 3 4 14" xfId="7973"/>
    <cellStyle name="Normal 3 4 14 2" xfId="7974"/>
    <cellStyle name="Normal 3 4 14 2 2" xfId="7975"/>
    <cellStyle name="Normal 3 4 14 3" xfId="7976"/>
    <cellStyle name="Normal 3 4 15" xfId="7977"/>
    <cellStyle name="Normal 3 4 15 2" xfId="7978"/>
    <cellStyle name="Normal 3 4 15 2 2" xfId="7979"/>
    <cellStyle name="Normal 3 4 15 3" xfId="7980"/>
    <cellStyle name="Normal 3 4 16" xfId="7981"/>
    <cellStyle name="Normal 3 4 16 2" xfId="7982"/>
    <cellStyle name="Normal 3 4 16 2 2" xfId="7983"/>
    <cellStyle name="Normal 3 4 16 3" xfId="7984"/>
    <cellStyle name="Normal 3 4 17" xfId="7985"/>
    <cellStyle name="Normal 3 4 17 2" xfId="7986"/>
    <cellStyle name="Normal 3 4 17 2 2" xfId="7987"/>
    <cellStyle name="Normal 3 4 17 3" xfId="7988"/>
    <cellStyle name="Normal 3 4 18" xfId="7989"/>
    <cellStyle name="Normal 3 4 18 2" xfId="7990"/>
    <cellStyle name="Normal 3 4 18 2 2" xfId="7991"/>
    <cellStyle name="Normal 3 4 18 3" xfId="7992"/>
    <cellStyle name="Normal 3 4 19" xfId="7993"/>
    <cellStyle name="Normal 3 4 19 2" xfId="7994"/>
    <cellStyle name="Normal 3 4 19 2 2" xfId="7995"/>
    <cellStyle name="Normal 3 4 19 3" xfId="7996"/>
    <cellStyle name="Normal 3 4 2" xfId="215"/>
    <cellStyle name="Normal 3 4 2 2" xfId="7997"/>
    <cellStyle name="Normal 3 4 2 2 2" xfId="7998"/>
    <cellStyle name="Normal 3 4 2 3" xfId="7999"/>
    <cellStyle name="Normal 3 4 20" xfId="8000"/>
    <cellStyle name="Normal 3 4 20 2" xfId="8001"/>
    <cellStyle name="Normal 3 4 20 2 2" xfId="8002"/>
    <cellStyle name="Normal 3 4 20 3" xfId="8003"/>
    <cellStyle name="Normal 3 4 21" xfId="8004"/>
    <cellStyle name="Normal 3 4 21 2" xfId="8005"/>
    <cellStyle name="Normal 3 4 21 2 2" xfId="8006"/>
    <cellStyle name="Normal 3 4 21 3" xfId="8007"/>
    <cellStyle name="Normal 3 4 22" xfId="8008"/>
    <cellStyle name="Normal 3 4 22 2" xfId="8009"/>
    <cellStyle name="Normal 3 4 22 2 2" xfId="8010"/>
    <cellStyle name="Normal 3 4 22 3" xfId="8011"/>
    <cellStyle name="Normal 3 4 23" xfId="8012"/>
    <cellStyle name="Normal 3 4 23 2" xfId="8013"/>
    <cellStyle name="Normal 3 4 23 2 2" xfId="8014"/>
    <cellStyle name="Normal 3 4 23 3" xfId="8015"/>
    <cellStyle name="Normal 3 4 24" xfId="8016"/>
    <cellStyle name="Normal 3 4 24 2" xfId="8017"/>
    <cellStyle name="Normal 3 4 25" xfId="8018"/>
    <cellStyle name="Normal 3 4 3" xfId="8019"/>
    <cellStyle name="Normal 3 4 3 2" xfId="8020"/>
    <cellStyle name="Normal 3 4 3 2 2" xfId="8021"/>
    <cellStyle name="Normal 3 4 3 3" xfId="8022"/>
    <cellStyle name="Normal 3 4 4" xfId="8023"/>
    <cellStyle name="Normal 3 4 4 2" xfId="8024"/>
    <cellStyle name="Normal 3 4 4 2 2" xfId="8025"/>
    <cellStyle name="Normal 3 4 4 3" xfId="8026"/>
    <cellStyle name="Normal 3 4 5" xfId="8027"/>
    <cellStyle name="Normal 3 4 5 2" xfId="8028"/>
    <cellStyle name="Normal 3 4 5 2 2" xfId="8029"/>
    <cellStyle name="Normal 3 4 5 3" xfId="8030"/>
    <cellStyle name="Normal 3 4 6" xfId="8031"/>
    <cellStyle name="Normal 3 4 6 2" xfId="8032"/>
    <cellStyle name="Normal 3 4 6 2 2" xfId="8033"/>
    <cellStyle name="Normal 3 4 6 3" xfId="8034"/>
    <cellStyle name="Normal 3 4 7" xfId="8035"/>
    <cellStyle name="Normal 3 4 7 2" xfId="8036"/>
    <cellStyle name="Normal 3 4 7 2 2" xfId="8037"/>
    <cellStyle name="Normal 3 4 7 3" xfId="8038"/>
    <cellStyle name="Normal 3 4 8" xfId="8039"/>
    <cellStyle name="Normal 3 4 8 2" xfId="8040"/>
    <cellStyle name="Normal 3 4 8 2 2" xfId="8041"/>
    <cellStyle name="Normal 3 4 8 3" xfId="8042"/>
    <cellStyle name="Normal 3 4 9" xfId="8043"/>
    <cellStyle name="Normal 3 4 9 2" xfId="8044"/>
    <cellStyle name="Normal 3 4 9 2 2" xfId="8045"/>
    <cellStyle name="Normal 3 4 9 3" xfId="8046"/>
    <cellStyle name="Normal 3 40" xfId="8047"/>
    <cellStyle name="Normal 3 40 2" xfId="8048"/>
    <cellStyle name="Normal 3 40 2 2" xfId="8049"/>
    <cellStyle name="Normal 3 40 3" xfId="8050"/>
    <cellStyle name="Normal 3 41" xfId="8051"/>
    <cellStyle name="Normal 3 41 2" xfId="8052"/>
    <cellStyle name="Normal 3 41 2 2" xfId="8053"/>
    <cellStyle name="Normal 3 41 3" xfId="8054"/>
    <cellStyle name="Normal 3 42" xfId="8055"/>
    <cellStyle name="Normal 3 42 2" xfId="8056"/>
    <cellStyle name="Normal 3 42 2 2" xfId="8057"/>
    <cellStyle name="Normal 3 42 3" xfId="8058"/>
    <cellStyle name="Normal 3 43" xfId="8059"/>
    <cellStyle name="Normal 3 43 2" xfId="8060"/>
    <cellStyle name="Normal 3 43 2 2" xfId="8061"/>
    <cellStyle name="Normal 3 43 3" xfId="8062"/>
    <cellStyle name="Normal 3 44" xfId="8063"/>
    <cellStyle name="Normal 3 44 2" xfId="8064"/>
    <cellStyle name="Normal 3 44 2 2" xfId="8065"/>
    <cellStyle name="Normal 3 44 3" xfId="8066"/>
    <cellStyle name="Normal 3 45" xfId="8067"/>
    <cellStyle name="Normal 3 45 2" xfId="8068"/>
    <cellStyle name="Normal 3 45 2 2" xfId="8069"/>
    <cellStyle name="Normal 3 45 3" xfId="8070"/>
    <cellStyle name="Normal 3 46" xfId="8071"/>
    <cellStyle name="Normal 3 46 2" xfId="8072"/>
    <cellStyle name="Normal 3 46 2 2" xfId="8073"/>
    <cellStyle name="Normal 3 46 3" xfId="8074"/>
    <cellStyle name="Normal 3 47" xfId="8075"/>
    <cellStyle name="Normal 3 47 2" xfId="8076"/>
    <cellStyle name="Normal 3 47 2 2" xfId="8077"/>
    <cellStyle name="Normal 3 47 3" xfId="8078"/>
    <cellStyle name="Normal 3 48" xfId="8079"/>
    <cellStyle name="Normal 3 48 2" xfId="8080"/>
    <cellStyle name="Normal 3 48 2 2" xfId="8081"/>
    <cellStyle name="Normal 3 48 3" xfId="8082"/>
    <cellStyle name="Normal 3 49" xfId="8083"/>
    <cellStyle name="Normal 3 49 2" xfId="8084"/>
    <cellStyle name="Normal 3 49 2 2" xfId="8085"/>
    <cellStyle name="Normal 3 49 3" xfId="8086"/>
    <cellStyle name="Normal 3 5" xfId="216"/>
    <cellStyle name="Normal 3 5 10" xfId="8087"/>
    <cellStyle name="Normal 3 5 10 2" xfId="8088"/>
    <cellStyle name="Normal 3 5 10 2 2" xfId="8089"/>
    <cellStyle name="Normal 3 5 10 3" xfId="8090"/>
    <cellStyle name="Normal 3 5 11" xfId="8091"/>
    <cellStyle name="Normal 3 5 11 2" xfId="8092"/>
    <cellStyle name="Normal 3 5 11 2 2" xfId="8093"/>
    <cellStyle name="Normal 3 5 11 3" xfId="8094"/>
    <cellStyle name="Normal 3 5 12" xfId="8095"/>
    <cellStyle name="Normal 3 5 12 2" xfId="8096"/>
    <cellStyle name="Normal 3 5 12 2 2" xfId="8097"/>
    <cellStyle name="Normal 3 5 12 3" xfId="8098"/>
    <cellStyle name="Normal 3 5 13" xfId="8099"/>
    <cellStyle name="Normal 3 5 13 2" xfId="8100"/>
    <cellStyle name="Normal 3 5 13 2 2" xfId="8101"/>
    <cellStyle name="Normal 3 5 13 3" xfId="8102"/>
    <cellStyle name="Normal 3 5 14" xfId="8103"/>
    <cellStyle name="Normal 3 5 14 2" xfId="8104"/>
    <cellStyle name="Normal 3 5 14 2 2" xfId="8105"/>
    <cellStyle name="Normal 3 5 14 3" xfId="8106"/>
    <cellStyle name="Normal 3 5 15" xfId="8107"/>
    <cellStyle name="Normal 3 5 15 2" xfId="8108"/>
    <cellStyle name="Normal 3 5 15 2 2" xfId="8109"/>
    <cellStyle name="Normal 3 5 15 3" xfId="8110"/>
    <cellStyle name="Normal 3 5 16" xfId="8111"/>
    <cellStyle name="Normal 3 5 16 2" xfId="8112"/>
    <cellStyle name="Normal 3 5 16 2 2" xfId="8113"/>
    <cellStyle name="Normal 3 5 16 3" xfId="8114"/>
    <cellStyle name="Normal 3 5 17" xfId="8115"/>
    <cellStyle name="Normal 3 5 17 2" xfId="8116"/>
    <cellStyle name="Normal 3 5 17 2 2" xfId="8117"/>
    <cellStyle name="Normal 3 5 17 3" xfId="8118"/>
    <cellStyle name="Normal 3 5 18" xfId="8119"/>
    <cellStyle name="Normal 3 5 18 2" xfId="8120"/>
    <cellStyle name="Normal 3 5 18 2 2" xfId="8121"/>
    <cellStyle name="Normal 3 5 18 3" xfId="8122"/>
    <cellStyle name="Normal 3 5 19" xfId="8123"/>
    <cellStyle name="Normal 3 5 19 2" xfId="8124"/>
    <cellStyle name="Normal 3 5 19 2 2" xfId="8125"/>
    <cellStyle name="Normal 3 5 19 3" xfId="8126"/>
    <cellStyle name="Normal 3 5 2" xfId="8127"/>
    <cellStyle name="Normal 3 5 2 2" xfId="8128"/>
    <cellStyle name="Normal 3 5 2 2 2" xfId="8129"/>
    <cellStyle name="Normal 3 5 2 3" xfId="8130"/>
    <cellStyle name="Normal 3 5 20" xfId="8131"/>
    <cellStyle name="Normal 3 5 20 2" xfId="8132"/>
    <cellStyle name="Normal 3 5 20 2 2" xfId="8133"/>
    <cellStyle name="Normal 3 5 20 3" xfId="8134"/>
    <cellStyle name="Normal 3 5 21" xfId="8135"/>
    <cellStyle name="Normal 3 5 21 2" xfId="8136"/>
    <cellStyle name="Normal 3 5 21 2 2" xfId="8137"/>
    <cellStyle name="Normal 3 5 21 3" xfId="8138"/>
    <cellStyle name="Normal 3 5 22" xfId="8139"/>
    <cellStyle name="Normal 3 5 22 2" xfId="8140"/>
    <cellStyle name="Normal 3 5 22 2 2" xfId="8141"/>
    <cellStyle name="Normal 3 5 22 3" xfId="8142"/>
    <cellStyle name="Normal 3 5 23" xfId="8143"/>
    <cellStyle name="Normal 3 5 23 2" xfId="8144"/>
    <cellStyle name="Normal 3 5 23 2 2" xfId="8145"/>
    <cellStyle name="Normal 3 5 23 3" xfId="8146"/>
    <cellStyle name="Normal 3 5 24" xfId="8147"/>
    <cellStyle name="Normal 3 5 24 2" xfId="8148"/>
    <cellStyle name="Normal 3 5 25" xfId="8149"/>
    <cellStyle name="Normal 3 5 3" xfId="8150"/>
    <cellStyle name="Normal 3 5 3 2" xfId="8151"/>
    <cellStyle name="Normal 3 5 3 2 2" xfId="8152"/>
    <cellStyle name="Normal 3 5 3 3" xfId="8153"/>
    <cellStyle name="Normal 3 5 4" xfId="8154"/>
    <cellStyle name="Normal 3 5 4 2" xfId="8155"/>
    <cellStyle name="Normal 3 5 4 2 2" xfId="8156"/>
    <cellStyle name="Normal 3 5 4 3" xfId="8157"/>
    <cellStyle name="Normal 3 5 5" xfId="8158"/>
    <cellStyle name="Normal 3 5 5 2" xfId="8159"/>
    <cellStyle name="Normal 3 5 5 2 2" xfId="8160"/>
    <cellStyle name="Normal 3 5 5 3" xfId="8161"/>
    <cellStyle name="Normal 3 5 6" xfId="8162"/>
    <cellStyle name="Normal 3 5 6 2" xfId="8163"/>
    <cellStyle name="Normal 3 5 6 2 2" xfId="8164"/>
    <cellStyle name="Normal 3 5 6 3" xfId="8165"/>
    <cellStyle name="Normal 3 5 7" xfId="8166"/>
    <cellStyle name="Normal 3 5 7 2" xfId="8167"/>
    <cellStyle name="Normal 3 5 7 2 2" xfId="8168"/>
    <cellStyle name="Normal 3 5 7 3" xfId="8169"/>
    <cellStyle name="Normal 3 5 8" xfId="8170"/>
    <cellStyle name="Normal 3 5 8 2" xfId="8171"/>
    <cellStyle name="Normal 3 5 8 2 2" xfId="8172"/>
    <cellStyle name="Normal 3 5 8 3" xfId="8173"/>
    <cellStyle name="Normal 3 5 9" xfId="8174"/>
    <cellStyle name="Normal 3 5 9 2" xfId="8175"/>
    <cellStyle name="Normal 3 5 9 2 2" xfId="8176"/>
    <cellStyle name="Normal 3 5 9 3" xfId="8177"/>
    <cellStyle name="Normal 3 50" xfId="8178"/>
    <cellStyle name="Normal 3 50 2" xfId="8179"/>
    <cellStyle name="Normal 3 50 2 2" xfId="8180"/>
    <cellStyle name="Normal 3 50 3" xfId="8181"/>
    <cellStyle name="Normal 3 51" xfId="8182"/>
    <cellStyle name="Normal 3 51 2" xfId="8183"/>
    <cellStyle name="Normal 3 51 2 2" xfId="8184"/>
    <cellStyle name="Normal 3 51 3" xfId="8185"/>
    <cellStyle name="Normal 3 52" xfId="8186"/>
    <cellStyle name="Normal 3 52 2" xfId="8187"/>
    <cellStyle name="Normal 3 52 2 2" xfId="8188"/>
    <cellStyle name="Normal 3 52 3" xfId="8189"/>
    <cellStyle name="Normal 3 53" xfId="8190"/>
    <cellStyle name="Normal 3 53 2" xfId="8191"/>
    <cellStyle name="Normal 3 53 2 2" xfId="8192"/>
    <cellStyle name="Normal 3 53 3" xfId="8193"/>
    <cellStyle name="Normal 3 54" xfId="8194"/>
    <cellStyle name="Normal 3 54 2" xfId="8195"/>
    <cellStyle name="Normal 3 54 2 2" xfId="8196"/>
    <cellStyle name="Normal 3 54 3" xfId="8197"/>
    <cellStyle name="Normal 3 55" xfId="8198"/>
    <cellStyle name="Normal 3 55 2" xfId="8199"/>
    <cellStyle name="Normal 3 55 2 2" xfId="8200"/>
    <cellStyle name="Normal 3 55 3" xfId="8201"/>
    <cellStyle name="Normal 3 56" xfId="8202"/>
    <cellStyle name="Normal 3 56 2" xfId="8203"/>
    <cellStyle name="Normal 3 56 2 2" xfId="8204"/>
    <cellStyle name="Normal 3 56 3" xfId="8205"/>
    <cellStyle name="Normal 3 57" xfId="8206"/>
    <cellStyle name="Normal 3 57 2" xfId="8207"/>
    <cellStyle name="Normal 3 57 2 2" xfId="8208"/>
    <cellStyle name="Normal 3 57 3" xfId="8209"/>
    <cellStyle name="Normal 3 58" xfId="8210"/>
    <cellStyle name="Normal 3 58 2" xfId="8211"/>
    <cellStyle name="Normal 3 58 2 2" xfId="8212"/>
    <cellStyle name="Normal 3 58 3" xfId="8213"/>
    <cellStyle name="Normal 3 59" xfId="8214"/>
    <cellStyle name="Normal 3 59 2" xfId="8215"/>
    <cellStyle name="Normal 3 59 2 2" xfId="8216"/>
    <cellStyle name="Normal 3 59 3" xfId="8217"/>
    <cellStyle name="Normal 3 6" xfId="1159"/>
    <cellStyle name="Normal 3 6 10" xfId="8218"/>
    <cellStyle name="Normal 3 6 10 2" xfId="8219"/>
    <cellStyle name="Normal 3 6 10 2 2" xfId="8220"/>
    <cellStyle name="Normal 3 6 10 3" xfId="8221"/>
    <cellStyle name="Normal 3 6 11" xfId="8222"/>
    <cellStyle name="Normal 3 6 11 2" xfId="8223"/>
    <cellStyle name="Normal 3 6 11 2 2" xfId="8224"/>
    <cellStyle name="Normal 3 6 11 3" xfId="8225"/>
    <cellStyle name="Normal 3 6 12" xfId="8226"/>
    <cellStyle name="Normal 3 6 12 2" xfId="8227"/>
    <cellStyle name="Normal 3 6 12 2 2" xfId="8228"/>
    <cellStyle name="Normal 3 6 12 3" xfId="8229"/>
    <cellStyle name="Normal 3 6 13" xfId="8230"/>
    <cellStyle name="Normal 3 6 13 2" xfId="8231"/>
    <cellStyle name="Normal 3 6 13 2 2" xfId="8232"/>
    <cellStyle name="Normal 3 6 13 3" xfId="8233"/>
    <cellStyle name="Normal 3 6 14" xfId="8234"/>
    <cellStyle name="Normal 3 6 14 2" xfId="8235"/>
    <cellStyle name="Normal 3 6 14 2 2" xfId="8236"/>
    <cellStyle name="Normal 3 6 14 3" xfId="8237"/>
    <cellStyle name="Normal 3 6 15" xfId="8238"/>
    <cellStyle name="Normal 3 6 15 2" xfId="8239"/>
    <cellStyle name="Normal 3 6 15 2 2" xfId="8240"/>
    <cellStyle name="Normal 3 6 15 3" xfId="8241"/>
    <cellStyle name="Normal 3 6 16" xfId="8242"/>
    <cellStyle name="Normal 3 6 16 2" xfId="8243"/>
    <cellStyle name="Normal 3 6 16 2 2" xfId="8244"/>
    <cellStyle name="Normal 3 6 16 3" xfId="8245"/>
    <cellStyle name="Normal 3 6 17" xfId="8246"/>
    <cellStyle name="Normal 3 6 17 2" xfId="8247"/>
    <cellStyle name="Normal 3 6 17 2 2" xfId="8248"/>
    <cellStyle name="Normal 3 6 17 3" xfId="8249"/>
    <cellStyle name="Normal 3 6 18" xfId="8250"/>
    <cellStyle name="Normal 3 6 18 2" xfId="8251"/>
    <cellStyle name="Normal 3 6 18 2 2" xfId="8252"/>
    <cellStyle name="Normal 3 6 18 3" xfId="8253"/>
    <cellStyle name="Normal 3 6 19" xfId="8254"/>
    <cellStyle name="Normal 3 6 19 2" xfId="8255"/>
    <cellStyle name="Normal 3 6 19 2 2" xfId="8256"/>
    <cellStyle name="Normal 3 6 19 3" xfId="8257"/>
    <cellStyle name="Normal 3 6 2" xfId="8258"/>
    <cellStyle name="Normal 3 6 2 2" xfId="8259"/>
    <cellStyle name="Normal 3 6 2 2 2" xfId="8260"/>
    <cellStyle name="Normal 3 6 2 3" xfId="8261"/>
    <cellStyle name="Normal 3 6 20" xfId="8262"/>
    <cellStyle name="Normal 3 6 20 2" xfId="8263"/>
    <cellStyle name="Normal 3 6 20 2 2" xfId="8264"/>
    <cellStyle name="Normal 3 6 20 3" xfId="8265"/>
    <cellStyle name="Normal 3 6 21" xfId="8266"/>
    <cellStyle name="Normal 3 6 21 2" xfId="8267"/>
    <cellStyle name="Normal 3 6 21 2 2" xfId="8268"/>
    <cellStyle name="Normal 3 6 21 3" xfId="8269"/>
    <cellStyle name="Normal 3 6 22" xfId="8270"/>
    <cellStyle name="Normal 3 6 22 2" xfId="8271"/>
    <cellStyle name="Normal 3 6 22 2 2" xfId="8272"/>
    <cellStyle name="Normal 3 6 22 3" xfId="8273"/>
    <cellStyle name="Normal 3 6 23" xfId="8274"/>
    <cellStyle name="Normal 3 6 23 2" xfId="8275"/>
    <cellStyle name="Normal 3 6 23 2 2" xfId="8276"/>
    <cellStyle name="Normal 3 6 23 3" xfId="8277"/>
    <cellStyle name="Normal 3 6 24" xfId="8278"/>
    <cellStyle name="Normal 3 6 24 2" xfId="8279"/>
    <cellStyle name="Normal 3 6 25" xfId="8280"/>
    <cellStyle name="Normal 3 6 3" xfId="8281"/>
    <cellStyle name="Normal 3 6 3 2" xfId="8282"/>
    <cellStyle name="Normal 3 6 3 2 2" xfId="8283"/>
    <cellStyle name="Normal 3 6 3 3" xfId="8284"/>
    <cellStyle name="Normal 3 6 4" xfId="8285"/>
    <cellStyle name="Normal 3 6 4 2" xfId="8286"/>
    <cellStyle name="Normal 3 6 4 2 2" xfId="8287"/>
    <cellStyle name="Normal 3 6 4 3" xfId="8288"/>
    <cellStyle name="Normal 3 6 5" xfId="8289"/>
    <cellStyle name="Normal 3 6 5 2" xfId="8290"/>
    <cellStyle name="Normal 3 6 5 2 2" xfId="8291"/>
    <cellStyle name="Normal 3 6 5 3" xfId="8292"/>
    <cellStyle name="Normal 3 6 6" xfId="8293"/>
    <cellStyle name="Normal 3 6 6 2" xfId="8294"/>
    <cellStyle name="Normal 3 6 6 2 2" xfId="8295"/>
    <cellStyle name="Normal 3 6 6 3" xfId="8296"/>
    <cellStyle name="Normal 3 6 7" xfId="8297"/>
    <cellStyle name="Normal 3 6 7 2" xfId="8298"/>
    <cellStyle name="Normal 3 6 7 2 2" xfId="8299"/>
    <cellStyle name="Normal 3 6 7 3" xfId="8300"/>
    <cellStyle name="Normal 3 6 8" xfId="8301"/>
    <cellStyle name="Normal 3 6 8 2" xfId="8302"/>
    <cellStyle name="Normal 3 6 8 2 2" xfId="8303"/>
    <cellStyle name="Normal 3 6 8 3" xfId="8304"/>
    <cellStyle name="Normal 3 6 9" xfId="8305"/>
    <cellStyle name="Normal 3 6 9 2" xfId="8306"/>
    <cellStyle name="Normal 3 6 9 2 2" xfId="8307"/>
    <cellStyle name="Normal 3 6 9 3" xfId="8308"/>
    <cellStyle name="Normal 3 60" xfId="8309"/>
    <cellStyle name="Normal 3 60 2" xfId="8310"/>
    <cellStyle name="Normal 3 60 2 2" xfId="8311"/>
    <cellStyle name="Normal 3 60 3" xfId="8312"/>
    <cellStyle name="Normal 3 61" xfId="8313"/>
    <cellStyle name="Normal 3 61 2" xfId="8314"/>
    <cellStyle name="Normal 3 61 2 2" xfId="8315"/>
    <cellStyle name="Normal 3 61 3" xfId="8316"/>
    <cellStyle name="Normal 3 62" xfId="8317"/>
    <cellStyle name="Normal 3 62 2" xfId="8318"/>
    <cellStyle name="Normal 3 62 2 2" xfId="8319"/>
    <cellStyle name="Normal 3 62 3" xfId="8320"/>
    <cellStyle name="Normal 3 63" xfId="8321"/>
    <cellStyle name="Normal 3 63 2" xfId="8322"/>
    <cellStyle name="Normal 3 63 2 2" xfId="8323"/>
    <cellStyle name="Normal 3 63 3" xfId="8324"/>
    <cellStyle name="Normal 3 64" xfId="8325"/>
    <cellStyle name="Normal 3 64 2" xfId="8326"/>
    <cellStyle name="Normal 3 64 2 2" xfId="8327"/>
    <cellStyle name="Normal 3 64 3" xfId="8328"/>
    <cellStyle name="Normal 3 65" xfId="8329"/>
    <cellStyle name="Normal 3 65 2" xfId="8330"/>
    <cellStyle name="Normal 3 65 2 2" xfId="8331"/>
    <cellStyle name="Normal 3 65 3" xfId="8332"/>
    <cellStyle name="Normal 3 66" xfId="407"/>
    <cellStyle name="Normal 3 67" xfId="8333"/>
    <cellStyle name="Normal 3 68" xfId="8334"/>
    <cellStyle name="Normal 3 7" xfId="8335"/>
    <cellStyle name="Normal 3 7 10" xfId="8336"/>
    <cellStyle name="Normal 3 7 10 2" xfId="8337"/>
    <cellStyle name="Normal 3 7 10 2 2" xfId="8338"/>
    <cellStyle name="Normal 3 7 10 3" xfId="8339"/>
    <cellStyle name="Normal 3 7 11" xfId="8340"/>
    <cellStyle name="Normal 3 7 11 2" xfId="8341"/>
    <cellStyle name="Normal 3 7 11 2 2" xfId="8342"/>
    <cellStyle name="Normal 3 7 11 3" xfId="8343"/>
    <cellStyle name="Normal 3 7 12" xfId="8344"/>
    <cellStyle name="Normal 3 7 12 2" xfId="8345"/>
    <cellStyle name="Normal 3 7 12 2 2" xfId="8346"/>
    <cellStyle name="Normal 3 7 12 3" xfId="8347"/>
    <cellStyle name="Normal 3 7 13" xfId="8348"/>
    <cellStyle name="Normal 3 7 13 2" xfId="8349"/>
    <cellStyle name="Normal 3 7 13 2 2" xfId="8350"/>
    <cellStyle name="Normal 3 7 13 3" xfId="8351"/>
    <cellStyle name="Normal 3 7 14" xfId="8352"/>
    <cellStyle name="Normal 3 7 14 2" xfId="8353"/>
    <cellStyle name="Normal 3 7 14 2 2" xfId="8354"/>
    <cellStyle name="Normal 3 7 14 3" xfId="8355"/>
    <cellStyle name="Normal 3 7 15" xfId="8356"/>
    <cellStyle name="Normal 3 7 15 2" xfId="8357"/>
    <cellStyle name="Normal 3 7 15 2 2" xfId="8358"/>
    <cellStyle name="Normal 3 7 15 3" xfId="8359"/>
    <cellStyle name="Normal 3 7 16" xfId="8360"/>
    <cellStyle name="Normal 3 7 16 2" xfId="8361"/>
    <cellStyle name="Normal 3 7 16 2 2" xfId="8362"/>
    <cellStyle name="Normal 3 7 16 3" xfId="8363"/>
    <cellStyle name="Normal 3 7 17" xfId="8364"/>
    <cellStyle name="Normal 3 7 17 2" xfId="8365"/>
    <cellStyle name="Normal 3 7 17 2 2" xfId="8366"/>
    <cellStyle name="Normal 3 7 17 3" xfId="8367"/>
    <cellStyle name="Normal 3 7 18" xfId="8368"/>
    <cellStyle name="Normal 3 7 18 2" xfId="8369"/>
    <cellStyle name="Normal 3 7 18 2 2" xfId="8370"/>
    <cellStyle name="Normal 3 7 18 3" xfId="8371"/>
    <cellStyle name="Normal 3 7 19" xfId="8372"/>
    <cellStyle name="Normal 3 7 19 2" xfId="8373"/>
    <cellStyle name="Normal 3 7 19 2 2" xfId="8374"/>
    <cellStyle name="Normal 3 7 19 3" xfId="8375"/>
    <cellStyle name="Normal 3 7 2" xfId="8376"/>
    <cellStyle name="Normal 3 7 2 2" xfId="8377"/>
    <cellStyle name="Normal 3 7 2 2 2" xfId="8378"/>
    <cellStyle name="Normal 3 7 2 3" xfId="8379"/>
    <cellStyle name="Normal 3 7 20" xfId="8380"/>
    <cellStyle name="Normal 3 7 20 2" xfId="8381"/>
    <cellStyle name="Normal 3 7 20 2 2" xfId="8382"/>
    <cellStyle name="Normal 3 7 20 3" xfId="8383"/>
    <cellStyle name="Normal 3 7 21" xfId="8384"/>
    <cellStyle name="Normal 3 7 21 2" xfId="8385"/>
    <cellStyle name="Normal 3 7 21 2 2" xfId="8386"/>
    <cellStyle name="Normal 3 7 21 3" xfId="8387"/>
    <cellStyle name="Normal 3 7 22" xfId="8388"/>
    <cellStyle name="Normal 3 7 22 2" xfId="8389"/>
    <cellStyle name="Normal 3 7 22 2 2" xfId="8390"/>
    <cellStyle name="Normal 3 7 22 3" xfId="8391"/>
    <cellStyle name="Normal 3 7 23" xfId="8392"/>
    <cellStyle name="Normal 3 7 23 2" xfId="8393"/>
    <cellStyle name="Normal 3 7 23 2 2" xfId="8394"/>
    <cellStyle name="Normal 3 7 23 3" xfId="8395"/>
    <cellStyle name="Normal 3 7 24" xfId="8396"/>
    <cellStyle name="Normal 3 7 24 2" xfId="8397"/>
    <cellStyle name="Normal 3 7 25" xfId="8398"/>
    <cellStyle name="Normal 3 7 3" xfId="8399"/>
    <cellStyle name="Normal 3 7 3 2" xfId="8400"/>
    <cellStyle name="Normal 3 7 3 2 2" xfId="8401"/>
    <cellStyle name="Normal 3 7 3 3" xfId="8402"/>
    <cellStyle name="Normal 3 7 4" xfId="8403"/>
    <cellStyle name="Normal 3 7 4 2" xfId="8404"/>
    <cellStyle name="Normal 3 7 4 2 2" xfId="8405"/>
    <cellStyle name="Normal 3 7 4 3" xfId="8406"/>
    <cellStyle name="Normal 3 7 5" xfId="8407"/>
    <cellStyle name="Normal 3 7 5 2" xfId="8408"/>
    <cellStyle name="Normal 3 7 5 2 2" xfId="8409"/>
    <cellStyle name="Normal 3 7 5 3" xfId="8410"/>
    <cellStyle name="Normal 3 7 6" xfId="8411"/>
    <cellStyle name="Normal 3 7 6 2" xfId="8412"/>
    <cellStyle name="Normal 3 7 6 2 2" xfId="8413"/>
    <cellStyle name="Normal 3 7 6 3" xfId="8414"/>
    <cellStyle name="Normal 3 7 7" xfId="8415"/>
    <cellStyle name="Normal 3 7 7 2" xfId="8416"/>
    <cellStyle name="Normal 3 7 7 2 2" xfId="8417"/>
    <cellStyle name="Normal 3 7 7 3" xfId="8418"/>
    <cellStyle name="Normal 3 7 8" xfId="8419"/>
    <cellStyle name="Normal 3 7 8 2" xfId="8420"/>
    <cellStyle name="Normal 3 7 8 2 2" xfId="8421"/>
    <cellStyle name="Normal 3 7 8 3" xfId="8422"/>
    <cellStyle name="Normal 3 7 9" xfId="8423"/>
    <cellStyle name="Normal 3 7 9 2" xfId="8424"/>
    <cellStyle name="Normal 3 7 9 2 2" xfId="8425"/>
    <cellStyle name="Normal 3 7 9 3" xfId="8426"/>
    <cellStyle name="Normal 3 8" xfId="8427"/>
    <cellStyle name="Normal 3 8 10" xfId="8428"/>
    <cellStyle name="Normal 3 8 10 2" xfId="8429"/>
    <cellStyle name="Normal 3 8 10 2 2" xfId="8430"/>
    <cellStyle name="Normal 3 8 10 3" xfId="8431"/>
    <cellStyle name="Normal 3 8 11" xfId="8432"/>
    <cellStyle name="Normal 3 8 11 2" xfId="8433"/>
    <cellStyle name="Normal 3 8 11 2 2" xfId="8434"/>
    <cellStyle name="Normal 3 8 11 3" xfId="8435"/>
    <cellStyle name="Normal 3 8 12" xfId="8436"/>
    <cellStyle name="Normal 3 8 12 2" xfId="8437"/>
    <cellStyle name="Normal 3 8 12 2 2" xfId="8438"/>
    <cellStyle name="Normal 3 8 12 3" xfId="8439"/>
    <cellStyle name="Normal 3 8 13" xfId="8440"/>
    <cellStyle name="Normal 3 8 13 2" xfId="8441"/>
    <cellStyle name="Normal 3 8 13 2 2" xfId="8442"/>
    <cellStyle name="Normal 3 8 13 3" xfId="8443"/>
    <cellStyle name="Normal 3 8 14" xfId="8444"/>
    <cellStyle name="Normal 3 8 14 2" xfId="8445"/>
    <cellStyle name="Normal 3 8 14 2 2" xfId="8446"/>
    <cellStyle name="Normal 3 8 14 3" xfId="8447"/>
    <cellStyle name="Normal 3 8 15" xfId="8448"/>
    <cellStyle name="Normal 3 8 15 2" xfId="8449"/>
    <cellStyle name="Normal 3 8 15 2 2" xfId="8450"/>
    <cellStyle name="Normal 3 8 15 3" xfId="8451"/>
    <cellStyle name="Normal 3 8 16" xfId="8452"/>
    <cellStyle name="Normal 3 8 16 2" xfId="8453"/>
    <cellStyle name="Normal 3 8 16 2 2" xfId="8454"/>
    <cellStyle name="Normal 3 8 16 3" xfId="8455"/>
    <cellStyle name="Normal 3 8 17" xfId="8456"/>
    <cellStyle name="Normal 3 8 17 2" xfId="8457"/>
    <cellStyle name="Normal 3 8 17 2 2" xfId="8458"/>
    <cellStyle name="Normal 3 8 17 3" xfId="8459"/>
    <cellStyle name="Normal 3 8 18" xfId="8460"/>
    <cellStyle name="Normal 3 8 18 2" xfId="8461"/>
    <cellStyle name="Normal 3 8 18 2 2" xfId="8462"/>
    <cellStyle name="Normal 3 8 18 3" xfId="8463"/>
    <cellStyle name="Normal 3 8 19" xfId="8464"/>
    <cellStyle name="Normal 3 8 19 2" xfId="8465"/>
    <cellStyle name="Normal 3 8 19 2 2" xfId="8466"/>
    <cellStyle name="Normal 3 8 19 3" xfId="8467"/>
    <cellStyle name="Normal 3 8 2" xfId="8468"/>
    <cellStyle name="Normal 3 8 2 2" xfId="8469"/>
    <cellStyle name="Normal 3 8 2 2 2" xfId="8470"/>
    <cellStyle name="Normal 3 8 2 3" xfId="8471"/>
    <cellStyle name="Normal 3 8 20" xfId="8472"/>
    <cellStyle name="Normal 3 8 20 2" xfId="8473"/>
    <cellStyle name="Normal 3 8 20 2 2" xfId="8474"/>
    <cellStyle name="Normal 3 8 20 3" xfId="8475"/>
    <cellStyle name="Normal 3 8 21" xfId="8476"/>
    <cellStyle name="Normal 3 8 21 2" xfId="8477"/>
    <cellStyle name="Normal 3 8 21 2 2" xfId="8478"/>
    <cellStyle name="Normal 3 8 21 3" xfId="8479"/>
    <cellStyle name="Normal 3 8 22" xfId="8480"/>
    <cellStyle name="Normal 3 8 22 2" xfId="8481"/>
    <cellStyle name="Normal 3 8 22 2 2" xfId="8482"/>
    <cellStyle name="Normal 3 8 22 3" xfId="8483"/>
    <cellStyle name="Normal 3 8 23" xfId="8484"/>
    <cellStyle name="Normal 3 8 23 2" xfId="8485"/>
    <cellStyle name="Normal 3 8 23 2 2" xfId="8486"/>
    <cellStyle name="Normal 3 8 23 3" xfId="8487"/>
    <cellStyle name="Normal 3 8 24" xfId="8488"/>
    <cellStyle name="Normal 3 8 24 2" xfId="8489"/>
    <cellStyle name="Normal 3 8 25" xfId="8490"/>
    <cellStyle name="Normal 3 8 3" xfId="8491"/>
    <cellStyle name="Normal 3 8 3 2" xfId="8492"/>
    <cellStyle name="Normal 3 8 3 2 2" xfId="8493"/>
    <cellStyle name="Normal 3 8 3 3" xfId="8494"/>
    <cellStyle name="Normal 3 8 4" xfId="8495"/>
    <cellStyle name="Normal 3 8 4 2" xfId="8496"/>
    <cellStyle name="Normal 3 8 4 2 2" xfId="8497"/>
    <cellStyle name="Normal 3 8 4 3" xfId="8498"/>
    <cellStyle name="Normal 3 8 5" xfId="8499"/>
    <cellStyle name="Normal 3 8 5 2" xfId="8500"/>
    <cellStyle name="Normal 3 8 5 2 2" xfId="8501"/>
    <cellStyle name="Normal 3 8 5 3" xfId="8502"/>
    <cellStyle name="Normal 3 8 6" xfId="8503"/>
    <cellStyle name="Normal 3 8 6 2" xfId="8504"/>
    <cellStyle name="Normal 3 8 6 2 2" xfId="8505"/>
    <cellStyle name="Normal 3 8 6 3" xfId="8506"/>
    <cellStyle name="Normal 3 8 7" xfId="8507"/>
    <cellStyle name="Normal 3 8 7 2" xfId="8508"/>
    <cellStyle name="Normal 3 8 7 2 2" xfId="8509"/>
    <cellStyle name="Normal 3 8 7 3" xfId="8510"/>
    <cellStyle name="Normal 3 8 8" xfId="8511"/>
    <cellStyle name="Normal 3 8 8 2" xfId="8512"/>
    <cellStyle name="Normal 3 8 8 2 2" xfId="8513"/>
    <cellStyle name="Normal 3 8 8 3" xfId="8514"/>
    <cellStyle name="Normal 3 8 9" xfId="8515"/>
    <cellStyle name="Normal 3 8 9 2" xfId="8516"/>
    <cellStyle name="Normal 3 8 9 2 2" xfId="8517"/>
    <cellStyle name="Normal 3 8 9 3" xfId="8518"/>
    <cellStyle name="Normal 3 9" xfId="8519"/>
    <cellStyle name="Normal 3 9 10" xfId="8520"/>
    <cellStyle name="Normal 3 9 10 2" xfId="8521"/>
    <cellStyle name="Normal 3 9 10 2 2" xfId="8522"/>
    <cellStyle name="Normal 3 9 10 3" xfId="8523"/>
    <cellStyle name="Normal 3 9 11" xfId="8524"/>
    <cellStyle name="Normal 3 9 11 2" xfId="8525"/>
    <cellStyle name="Normal 3 9 11 2 2" xfId="8526"/>
    <cellStyle name="Normal 3 9 11 3" xfId="8527"/>
    <cellStyle name="Normal 3 9 12" xfId="8528"/>
    <cellStyle name="Normal 3 9 12 2" xfId="8529"/>
    <cellStyle name="Normal 3 9 12 2 2" xfId="8530"/>
    <cellStyle name="Normal 3 9 12 3" xfId="8531"/>
    <cellStyle name="Normal 3 9 13" xfId="8532"/>
    <cellStyle name="Normal 3 9 13 2" xfId="8533"/>
    <cellStyle name="Normal 3 9 13 2 2" xfId="8534"/>
    <cellStyle name="Normal 3 9 13 3" xfId="8535"/>
    <cellStyle name="Normal 3 9 14" xfId="8536"/>
    <cellStyle name="Normal 3 9 14 2" xfId="8537"/>
    <cellStyle name="Normal 3 9 14 2 2" xfId="8538"/>
    <cellStyle name="Normal 3 9 14 3" xfId="8539"/>
    <cellStyle name="Normal 3 9 15" xfId="8540"/>
    <cellStyle name="Normal 3 9 15 2" xfId="8541"/>
    <cellStyle name="Normal 3 9 15 2 2" xfId="8542"/>
    <cellStyle name="Normal 3 9 15 3" xfId="8543"/>
    <cellStyle name="Normal 3 9 16" xfId="8544"/>
    <cellStyle name="Normal 3 9 16 2" xfId="8545"/>
    <cellStyle name="Normal 3 9 16 2 2" xfId="8546"/>
    <cellStyle name="Normal 3 9 16 3" xfId="8547"/>
    <cellStyle name="Normal 3 9 17" xfId="8548"/>
    <cellStyle name="Normal 3 9 17 2" xfId="8549"/>
    <cellStyle name="Normal 3 9 17 2 2" xfId="8550"/>
    <cellStyle name="Normal 3 9 17 3" xfId="8551"/>
    <cellStyle name="Normal 3 9 18" xfId="8552"/>
    <cellStyle name="Normal 3 9 18 2" xfId="8553"/>
    <cellStyle name="Normal 3 9 18 2 2" xfId="8554"/>
    <cellStyle name="Normal 3 9 18 3" xfId="8555"/>
    <cellStyle name="Normal 3 9 19" xfId="8556"/>
    <cellStyle name="Normal 3 9 19 2" xfId="8557"/>
    <cellStyle name="Normal 3 9 19 2 2" xfId="8558"/>
    <cellStyle name="Normal 3 9 19 3" xfId="8559"/>
    <cellStyle name="Normal 3 9 2" xfId="8560"/>
    <cellStyle name="Normal 3 9 2 2" xfId="8561"/>
    <cellStyle name="Normal 3 9 2 2 2" xfId="8562"/>
    <cellStyle name="Normal 3 9 2 3" xfId="8563"/>
    <cellStyle name="Normal 3 9 20" xfId="8564"/>
    <cellStyle name="Normal 3 9 20 2" xfId="8565"/>
    <cellStyle name="Normal 3 9 20 2 2" xfId="8566"/>
    <cellStyle name="Normal 3 9 20 3" xfId="8567"/>
    <cellStyle name="Normal 3 9 21" xfId="8568"/>
    <cellStyle name="Normal 3 9 21 2" xfId="8569"/>
    <cellStyle name="Normal 3 9 21 2 2" xfId="8570"/>
    <cellStyle name="Normal 3 9 21 3" xfId="8571"/>
    <cellStyle name="Normal 3 9 22" xfId="8572"/>
    <cellStyle name="Normal 3 9 22 2" xfId="8573"/>
    <cellStyle name="Normal 3 9 22 2 2" xfId="8574"/>
    <cellStyle name="Normal 3 9 22 3" xfId="8575"/>
    <cellStyle name="Normal 3 9 23" xfId="8576"/>
    <cellStyle name="Normal 3 9 23 2" xfId="8577"/>
    <cellStyle name="Normal 3 9 23 2 2" xfId="8578"/>
    <cellStyle name="Normal 3 9 23 3" xfId="8579"/>
    <cellStyle name="Normal 3 9 24" xfId="8580"/>
    <cellStyle name="Normal 3 9 24 2" xfId="8581"/>
    <cellStyle name="Normal 3 9 25" xfId="8582"/>
    <cellStyle name="Normal 3 9 3" xfId="8583"/>
    <cellStyle name="Normal 3 9 3 2" xfId="8584"/>
    <cellStyle name="Normal 3 9 3 2 2" xfId="8585"/>
    <cellStyle name="Normal 3 9 3 3" xfId="8586"/>
    <cellStyle name="Normal 3 9 4" xfId="8587"/>
    <cellStyle name="Normal 3 9 4 2" xfId="8588"/>
    <cellStyle name="Normal 3 9 4 2 2" xfId="8589"/>
    <cellStyle name="Normal 3 9 4 3" xfId="8590"/>
    <cellStyle name="Normal 3 9 5" xfId="8591"/>
    <cellStyle name="Normal 3 9 5 2" xfId="8592"/>
    <cellStyle name="Normal 3 9 5 2 2" xfId="8593"/>
    <cellStyle name="Normal 3 9 5 3" xfId="8594"/>
    <cellStyle name="Normal 3 9 6" xfId="8595"/>
    <cellStyle name="Normal 3 9 6 2" xfId="8596"/>
    <cellStyle name="Normal 3 9 6 2 2" xfId="8597"/>
    <cellStyle name="Normal 3 9 6 3" xfId="8598"/>
    <cellStyle name="Normal 3 9 7" xfId="8599"/>
    <cellStyle name="Normal 3 9 7 2" xfId="8600"/>
    <cellStyle name="Normal 3 9 7 2 2" xfId="8601"/>
    <cellStyle name="Normal 3 9 7 3" xfId="8602"/>
    <cellStyle name="Normal 3 9 8" xfId="8603"/>
    <cellStyle name="Normal 3 9 8 2" xfId="8604"/>
    <cellStyle name="Normal 3 9 8 2 2" xfId="8605"/>
    <cellStyle name="Normal 3 9 8 3" xfId="8606"/>
    <cellStyle name="Normal 3 9 9" xfId="8607"/>
    <cellStyle name="Normal 3 9 9 2" xfId="8608"/>
    <cellStyle name="Normal 3 9 9 2 2" xfId="8609"/>
    <cellStyle name="Normal 3 9 9 3" xfId="8610"/>
    <cellStyle name="Normal 30" xfId="473"/>
    <cellStyle name="Normal 31" xfId="474"/>
    <cellStyle name="Normal 32" xfId="475"/>
    <cellStyle name="Normal 33" xfId="476"/>
    <cellStyle name="Normal 34" xfId="477"/>
    <cellStyle name="Normal 35" xfId="478"/>
    <cellStyle name="Normal 36" xfId="479"/>
    <cellStyle name="Normal 37" xfId="480"/>
    <cellStyle name="Normal 38" xfId="481"/>
    <cellStyle name="Normal 39" xfId="482"/>
    <cellStyle name="Normal 4" xfId="217"/>
    <cellStyle name="Normal 4 2" xfId="218"/>
    <cellStyle name="Normal 4 2 2" xfId="219"/>
    <cellStyle name="Normal 4 2 3" xfId="8611"/>
    <cellStyle name="Normal 4 2 3 2" xfId="8612"/>
    <cellStyle name="Normal 4 2 4" xfId="8613"/>
    <cellStyle name="Normal 4 3" xfId="220"/>
    <cellStyle name="Normal 4 3 2" xfId="408"/>
    <cellStyle name="Normal 4 3 2 2" xfId="409"/>
    <cellStyle name="Normal 4 3 2 2 2" xfId="1160"/>
    <cellStyle name="Normal 4 3 2 3" xfId="410"/>
    <cellStyle name="Normal 4 3 2 3 2" xfId="1161"/>
    <cellStyle name="Normal 4 3 2 4" xfId="1162"/>
    <cellStyle name="Normal 4 3 2 5" xfId="1163"/>
    <cellStyle name="Normal 4 3 3" xfId="411"/>
    <cellStyle name="Normal 4 3 3 2" xfId="1164"/>
    <cellStyle name="Normal 4 3 4" xfId="1165"/>
    <cellStyle name="Normal 4 3 4 2" xfId="1166"/>
    <cellStyle name="Normal 4 3 5" xfId="1167"/>
    <cellStyle name="Normal 4 3 5 2" xfId="1168"/>
    <cellStyle name="Normal 4 3 6" xfId="1169"/>
    <cellStyle name="Normal 4 3 7" xfId="1170"/>
    <cellStyle name="Normal 4 4" xfId="221"/>
    <cellStyle name="Normal 4 4 2" xfId="412"/>
    <cellStyle name="Normal 4 4 2 2" xfId="1171"/>
    <cellStyle name="Normal 4 4 2 3" xfId="1172"/>
    <cellStyle name="Normal 4 4 3" xfId="413"/>
    <cellStyle name="Normal 4 4 3 2" xfId="1173"/>
    <cellStyle name="Normal 4 4 4" xfId="1174"/>
    <cellStyle name="Normal 4 4 5" xfId="1175"/>
    <cellStyle name="Normal 4 5" xfId="414"/>
    <cellStyle name="Normal 4 5 2" xfId="415"/>
    <cellStyle name="Normal 4 5 2 2" xfId="1176"/>
    <cellStyle name="Normal 4 5 3" xfId="483"/>
    <cellStyle name="Normal 4 5 3 2" xfId="1177"/>
    <cellStyle name="Normal 4 5 4" xfId="1178"/>
    <cellStyle name="Normal 4 5 5" xfId="1179"/>
    <cellStyle name="Normal 4 6" xfId="484"/>
    <cellStyle name="Normal 4 6 2" xfId="1180"/>
    <cellStyle name="Normal 4 7" xfId="485"/>
    <cellStyle name="Normal 4 7 2" xfId="1181"/>
    <cellStyle name="Normal 4 8" xfId="1182"/>
    <cellStyle name="Normal 4 8 2" xfId="1183"/>
    <cellStyle name="Normal 4 9" xfId="1184"/>
    <cellStyle name="Normal 40" xfId="486"/>
    <cellStyle name="Normal 41" xfId="487"/>
    <cellStyle name="Normal 42" xfId="488"/>
    <cellStyle name="Normal 43" xfId="489"/>
    <cellStyle name="Normal 44" xfId="490"/>
    <cellStyle name="Normal 45" xfId="491"/>
    <cellStyle name="Normal 46" xfId="492"/>
    <cellStyle name="Normal 47" xfId="493"/>
    <cellStyle name="Normal 48" xfId="494"/>
    <cellStyle name="Normal 48 2" xfId="495"/>
    <cellStyle name="Normal 49" xfId="496"/>
    <cellStyle name="Normal 5" xfId="222"/>
    <cellStyle name="Normal 5 10" xfId="8614"/>
    <cellStyle name="Normal 5 10 2" xfId="8615"/>
    <cellStyle name="Normal 5 10 2 2" xfId="8616"/>
    <cellStyle name="Normal 5 10 3" xfId="8617"/>
    <cellStyle name="Normal 5 11" xfId="8618"/>
    <cellStyle name="Normal 5 11 2" xfId="8619"/>
    <cellStyle name="Normal 5 11 2 2" xfId="8620"/>
    <cellStyle name="Normal 5 11 3" xfId="8621"/>
    <cellStyle name="Normal 5 12" xfId="8622"/>
    <cellStyle name="Normal 5 12 2" xfId="8623"/>
    <cellStyle name="Normal 5 12 2 2" xfId="8624"/>
    <cellStyle name="Normal 5 12 3" xfId="8625"/>
    <cellStyle name="Normal 5 13" xfId="8626"/>
    <cellStyle name="Normal 5 13 2" xfId="8627"/>
    <cellStyle name="Normal 5 13 2 2" xfId="8628"/>
    <cellStyle name="Normal 5 13 3" xfId="8629"/>
    <cellStyle name="Normal 5 14" xfId="8630"/>
    <cellStyle name="Normal 5 14 2" xfId="8631"/>
    <cellStyle name="Normal 5 14 2 2" xfId="8632"/>
    <cellStyle name="Normal 5 14 3" xfId="8633"/>
    <cellStyle name="Normal 5 15" xfId="8634"/>
    <cellStyle name="Normal 5 15 2" xfId="8635"/>
    <cellStyle name="Normal 5 15 2 2" xfId="8636"/>
    <cellStyle name="Normal 5 15 3" xfId="8637"/>
    <cellStyle name="Normal 5 16" xfId="8638"/>
    <cellStyle name="Normal 5 16 2" xfId="8639"/>
    <cellStyle name="Normal 5 16 2 2" xfId="8640"/>
    <cellStyle name="Normal 5 16 3" xfId="8641"/>
    <cellStyle name="Normal 5 17" xfId="8642"/>
    <cellStyle name="Normal 5 17 2" xfId="8643"/>
    <cellStyle name="Normal 5 17 2 2" xfId="8644"/>
    <cellStyle name="Normal 5 17 3" xfId="8645"/>
    <cellStyle name="Normal 5 18" xfId="8646"/>
    <cellStyle name="Normal 5 18 2" xfId="8647"/>
    <cellStyle name="Normal 5 18 2 2" xfId="8648"/>
    <cellStyle name="Normal 5 18 3" xfId="8649"/>
    <cellStyle name="Normal 5 19" xfId="8650"/>
    <cellStyle name="Normal 5 19 2" xfId="8651"/>
    <cellStyle name="Normal 5 19 2 2" xfId="8652"/>
    <cellStyle name="Normal 5 19 3" xfId="8653"/>
    <cellStyle name="Normal 5 2" xfId="223"/>
    <cellStyle name="Normal 5 2 10" xfId="8654"/>
    <cellStyle name="Normal 5 2 10 2" xfId="8655"/>
    <cellStyle name="Normal 5 2 10 2 2" xfId="8656"/>
    <cellStyle name="Normal 5 2 10 3" xfId="8657"/>
    <cellStyle name="Normal 5 2 11" xfId="8658"/>
    <cellStyle name="Normal 5 2 11 2" xfId="8659"/>
    <cellStyle name="Normal 5 2 11 2 2" xfId="8660"/>
    <cellStyle name="Normal 5 2 11 3" xfId="8661"/>
    <cellStyle name="Normal 5 2 12" xfId="8662"/>
    <cellStyle name="Normal 5 2 12 2" xfId="8663"/>
    <cellStyle name="Normal 5 2 12 2 2" xfId="8664"/>
    <cellStyle name="Normal 5 2 12 3" xfId="8665"/>
    <cellStyle name="Normal 5 2 13" xfId="8666"/>
    <cellStyle name="Normal 5 2 13 2" xfId="8667"/>
    <cellStyle name="Normal 5 2 13 2 2" xfId="8668"/>
    <cellStyle name="Normal 5 2 13 3" xfId="8669"/>
    <cellStyle name="Normal 5 2 14" xfId="8670"/>
    <cellStyle name="Normal 5 2 14 2" xfId="8671"/>
    <cellStyle name="Normal 5 2 14 2 2" xfId="8672"/>
    <cellStyle name="Normal 5 2 14 3" xfId="8673"/>
    <cellStyle name="Normal 5 2 15" xfId="8674"/>
    <cellStyle name="Normal 5 2 15 2" xfId="8675"/>
    <cellStyle name="Normal 5 2 15 2 2" xfId="8676"/>
    <cellStyle name="Normal 5 2 15 3" xfId="8677"/>
    <cellStyle name="Normal 5 2 16" xfId="8678"/>
    <cellStyle name="Normal 5 2 16 2" xfId="8679"/>
    <cellStyle name="Normal 5 2 16 2 2" xfId="8680"/>
    <cellStyle name="Normal 5 2 16 3" xfId="8681"/>
    <cellStyle name="Normal 5 2 17" xfId="8682"/>
    <cellStyle name="Normal 5 2 17 2" xfId="8683"/>
    <cellStyle name="Normal 5 2 17 2 2" xfId="8684"/>
    <cellStyle name="Normal 5 2 17 3" xfId="8685"/>
    <cellStyle name="Normal 5 2 18" xfId="8686"/>
    <cellStyle name="Normal 5 2 18 2" xfId="8687"/>
    <cellStyle name="Normal 5 2 18 2 2" xfId="8688"/>
    <cellStyle name="Normal 5 2 18 3" xfId="8689"/>
    <cellStyle name="Normal 5 2 19" xfId="8690"/>
    <cellStyle name="Normal 5 2 19 2" xfId="8691"/>
    <cellStyle name="Normal 5 2 19 2 2" xfId="8692"/>
    <cellStyle name="Normal 5 2 19 3" xfId="8693"/>
    <cellStyle name="Normal 5 2 2" xfId="224"/>
    <cellStyle name="Normal 5 2 2 2" xfId="8694"/>
    <cellStyle name="Normal 5 2 2 2 2" xfId="8695"/>
    <cellStyle name="Normal 5 2 2 3" xfId="8696"/>
    <cellStyle name="Normal 5 2 20" xfId="8697"/>
    <cellStyle name="Normal 5 2 20 2" xfId="8698"/>
    <cellStyle name="Normal 5 2 20 2 2" xfId="8699"/>
    <cellStyle name="Normal 5 2 20 3" xfId="8700"/>
    <cellStyle name="Normal 5 2 21" xfId="8701"/>
    <cellStyle name="Normal 5 2 21 2" xfId="8702"/>
    <cellStyle name="Normal 5 2 21 2 2" xfId="8703"/>
    <cellStyle name="Normal 5 2 21 3" xfId="8704"/>
    <cellStyle name="Normal 5 2 22" xfId="8705"/>
    <cellStyle name="Normal 5 2 22 2" xfId="8706"/>
    <cellStyle name="Normal 5 2 22 2 2" xfId="8707"/>
    <cellStyle name="Normal 5 2 22 3" xfId="8708"/>
    <cellStyle name="Normal 5 2 23" xfId="8709"/>
    <cellStyle name="Normal 5 2 23 2" xfId="8710"/>
    <cellStyle name="Normal 5 2 23 2 2" xfId="8711"/>
    <cellStyle name="Normal 5 2 23 3" xfId="8712"/>
    <cellStyle name="Normal 5 2 24" xfId="8713"/>
    <cellStyle name="Normal 5 2 25" xfId="8714"/>
    <cellStyle name="Normal 5 2 25 2" xfId="8715"/>
    <cellStyle name="Normal 5 2 26" xfId="8716"/>
    <cellStyle name="Normal 5 2 3" xfId="8717"/>
    <cellStyle name="Normal 5 2 3 2" xfId="8718"/>
    <cellStyle name="Normal 5 2 3 2 2" xfId="8719"/>
    <cellStyle name="Normal 5 2 3 3" xfId="8720"/>
    <cellStyle name="Normal 5 2 4" xfId="8721"/>
    <cellStyle name="Normal 5 2 4 2" xfId="8722"/>
    <cellStyle name="Normal 5 2 4 2 2" xfId="8723"/>
    <cellStyle name="Normal 5 2 4 3" xfId="8724"/>
    <cellStyle name="Normal 5 2 5" xfId="8725"/>
    <cellStyle name="Normal 5 2 5 2" xfId="8726"/>
    <cellStyle name="Normal 5 2 5 2 2" xfId="8727"/>
    <cellStyle name="Normal 5 2 5 3" xfId="8728"/>
    <cellStyle name="Normal 5 2 6" xfId="8729"/>
    <cellStyle name="Normal 5 2 6 2" xfId="8730"/>
    <cellStyle name="Normal 5 2 6 2 2" xfId="8731"/>
    <cellStyle name="Normal 5 2 6 3" xfId="8732"/>
    <cellStyle name="Normal 5 2 7" xfId="8733"/>
    <cellStyle name="Normal 5 2 7 2" xfId="8734"/>
    <cellStyle name="Normal 5 2 7 2 2" xfId="8735"/>
    <cellStyle name="Normal 5 2 7 3" xfId="8736"/>
    <cellStyle name="Normal 5 2 8" xfId="8737"/>
    <cellStyle name="Normal 5 2 8 2" xfId="8738"/>
    <cellStyle name="Normal 5 2 8 2 2" xfId="8739"/>
    <cellStyle name="Normal 5 2 8 3" xfId="8740"/>
    <cellStyle name="Normal 5 2 9" xfId="8741"/>
    <cellStyle name="Normal 5 2 9 2" xfId="8742"/>
    <cellStyle name="Normal 5 2 9 2 2" xfId="8743"/>
    <cellStyle name="Normal 5 2 9 3" xfId="8744"/>
    <cellStyle name="Normal 5 20" xfId="8745"/>
    <cellStyle name="Normal 5 20 2" xfId="8746"/>
    <cellStyle name="Normal 5 20 2 2" xfId="8747"/>
    <cellStyle name="Normal 5 20 3" xfId="8748"/>
    <cellStyle name="Normal 5 21" xfId="8749"/>
    <cellStyle name="Normal 5 21 2" xfId="8750"/>
    <cellStyle name="Normal 5 21 2 2" xfId="8751"/>
    <cellStyle name="Normal 5 21 3" xfId="8752"/>
    <cellStyle name="Normal 5 22" xfId="8753"/>
    <cellStyle name="Normal 5 22 2" xfId="8754"/>
    <cellStyle name="Normal 5 22 2 2" xfId="8755"/>
    <cellStyle name="Normal 5 22 3" xfId="8756"/>
    <cellStyle name="Normal 5 23" xfId="8757"/>
    <cellStyle name="Normal 5 23 2" xfId="8758"/>
    <cellStyle name="Normal 5 23 2 2" xfId="8759"/>
    <cellStyle name="Normal 5 23 3" xfId="8760"/>
    <cellStyle name="Normal 5 24" xfId="8761"/>
    <cellStyle name="Normal 5 24 2" xfId="8762"/>
    <cellStyle name="Normal 5 24 2 2" xfId="8763"/>
    <cellStyle name="Normal 5 24 3" xfId="8764"/>
    <cellStyle name="Normal 5 25" xfId="8765"/>
    <cellStyle name="Normal 5 26" xfId="8766"/>
    <cellStyle name="Normal 5 26 2" xfId="8767"/>
    <cellStyle name="Normal 5 27" xfId="8768"/>
    <cellStyle name="Normal 5 28" xfId="8769"/>
    <cellStyle name="Normal 5 3" xfId="225"/>
    <cellStyle name="Normal 5 3 2" xfId="226"/>
    <cellStyle name="Normal 5 3 2 2" xfId="1185"/>
    <cellStyle name="Normal 5 3 2 2 2" xfId="1186"/>
    <cellStyle name="Normal 5 3 2 3" xfId="1187"/>
    <cellStyle name="Normal 5 3 2 3 2" xfId="1188"/>
    <cellStyle name="Normal 5 3 2 4" xfId="1189"/>
    <cellStyle name="Normal 5 3 3" xfId="1190"/>
    <cellStyle name="Normal 5 3 3 2" xfId="1191"/>
    <cellStyle name="Normal 5 3 4" xfId="1192"/>
    <cellStyle name="Normal 5 3 4 2" xfId="1193"/>
    <cellStyle name="Normal 5 3 5" xfId="1194"/>
    <cellStyle name="Normal 5 4" xfId="227"/>
    <cellStyle name="Normal 5 4 2" xfId="228"/>
    <cellStyle name="Normal 5 4 2 2" xfId="1195"/>
    <cellStyle name="Normal 5 4 2 2 2" xfId="1196"/>
    <cellStyle name="Normal 5 4 2 3" xfId="1197"/>
    <cellStyle name="Normal 5 4 2 3 2" xfId="1198"/>
    <cellStyle name="Normal 5 4 2 4" xfId="1199"/>
    <cellStyle name="Normal 5 4 3" xfId="1200"/>
    <cellStyle name="Normal 5 4 3 2" xfId="1201"/>
    <cellStyle name="Normal 5 4 4" xfId="1202"/>
    <cellStyle name="Normal 5 4 4 2" xfId="1203"/>
    <cellStyle name="Normal 5 4 5" xfId="1204"/>
    <cellStyle name="Normal 5 5" xfId="229"/>
    <cellStyle name="Normal 5 5 2" xfId="230"/>
    <cellStyle name="Normal 5 5 2 2" xfId="1205"/>
    <cellStyle name="Normal 5 5 2 2 2" xfId="1206"/>
    <cellStyle name="Normal 5 5 2 3" xfId="1207"/>
    <cellStyle name="Normal 5 5 2 3 2" xfId="1208"/>
    <cellStyle name="Normal 5 5 2 4" xfId="1209"/>
    <cellStyle name="Normal 5 5 3" xfId="1210"/>
    <cellStyle name="Normal 5 5 3 2" xfId="1211"/>
    <cellStyle name="Normal 5 5 4" xfId="1212"/>
    <cellStyle name="Normal 5 5 4 2" xfId="1213"/>
    <cellStyle name="Normal 5 5 5" xfId="1214"/>
    <cellStyle name="Normal 5 6" xfId="231"/>
    <cellStyle name="Normal 5 6 2" xfId="232"/>
    <cellStyle name="Normal 5 6 2 2" xfId="1215"/>
    <cellStyle name="Normal 5 6 2 2 2" xfId="1216"/>
    <cellStyle name="Normal 5 6 2 3" xfId="1217"/>
    <cellStyle name="Normal 5 6 2 3 2" xfId="1218"/>
    <cellStyle name="Normal 5 6 2 4" xfId="1219"/>
    <cellStyle name="Normal 5 6 3" xfId="1220"/>
    <cellStyle name="Normal 5 6 3 2" xfId="1221"/>
    <cellStyle name="Normal 5 6 4" xfId="1222"/>
    <cellStyle name="Normal 5 6 4 2" xfId="1223"/>
    <cellStyle name="Normal 5 6 5" xfId="1224"/>
    <cellStyle name="Normal 5 7" xfId="233"/>
    <cellStyle name="Normal 5 7 2" xfId="8770"/>
    <cellStyle name="Normal 5 7 2 2" xfId="8771"/>
    <cellStyle name="Normal 5 7 3" xfId="8772"/>
    <cellStyle name="Normal 5 8" xfId="8773"/>
    <cellStyle name="Normal 5 8 2" xfId="8774"/>
    <cellStyle name="Normal 5 8 2 2" xfId="8775"/>
    <cellStyle name="Normal 5 8 3" xfId="8776"/>
    <cellStyle name="Normal 5 9" xfId="8777"/>
    <cellStyle name="Normal 5 9 2" xfId="8778"/>
    <cellStyle name="Normal 5 9 2 2" xfId="8779"/>
    <cellStyle name="Normal 5 9 3" xfId="8780"/>
    <cellStyle name="Normal 50" xfId="497"/>
    <cellStyle name="Normal 51" xfId="8781"/>
    <cellStyle name="Normal 6" xfId="234"/>
    <cellStyle name="Normal 6 2" xfId="8782"/>
    <cellStyle name="Normal 6 3" xfId="8783"/>
    <cellStyle name="Normal 6 3 2" xfId="8784"/>
    <cellStyle name="Normal 6 4" xfId="8785"/>
    <cellStyle name="Normal 6 5" xfId="8786"/>
    <cellStyle name="Normal 7" xfId="235"/>
    <cellStyle name="Normal 7 10" xfId="8787"/>
    <cellStyle name="Normal 7 10 2" xfId="8788"/>
    <cellStyle name="Normal 7 10 2 2" xfId="8789"/>
    <cellStyle name="Normal 7 10 3" xfId="8790"/>
    <cellStyle name="Normal 7 11" xfId="8791"/>
    <cellStyle name="Normal 7 11 2" xfId="8792"/>
    <cellStyle name="Normal 7 11 2 2" xfId="8793"/>
    <cellStyle name="Normal 7 11 3" xfId="8794"/>
    <cellStyle name="Normal 7 12" xfId="8795"/>
    <cellStyle name="Normal 7 12 2" xfId="8796"/>
    <cellStyle name="Normal 7 12 2 2" xfId="8797"/>
    <cellStyle name="Normal 7 12 3" xfId="8798"/>
    <cellStyle name="Normal 7 13" xfId="8799"/>
    <cellStyle name="Normal 7 13 2" xfId="8800"/>
    <cellStyle name="Normal 7 13 2 2" xfId="8801"/>
    <cellStyle name="Normal 7 13 3" xfId="8802"/>
    <cellStyle name="Normal 7 14" xfId="8803"/>
    <cellStyle name="Normal 7 14 2" xfId="8804"/>
    <cellStyle name="Normal 7 14 2 2" xfId="8805"/>
    <cellStyle name="Normal 7 14 3" xfId="8806"/>
    <cellStyle name="Normal 7 15" xfId="8807"/>
    <cellStyle name="Normal 7 15 2" xfId="8808"/>
    <cellStyle name="Normal 7 15 2 2" xfId="8809"/>
    <cellStyle name="Normal 7 15 3" xfId="8810"/>
    <cellStyle name="Normal 7 16" xfId="8811"/>
    <cellStyle name="Normal 7 16 2" xfId="8812"/>
    <cellStyle name="Normal 7 16 2 2" xfId="8813"/>
    <cellStyle name="Normal 7 16 3" xfId="8814"/>
    <cellStyle name="Normal 7 17" xfId="8815"/>
    <cellStyle name="Normal 7 17 2" xfId="8816"/>
    <cellStyle name="Normal 7 17 2 2" xfId="8817"/>
    <cellStyle name="Normal 7 17 3" xfId="8818"/>
    <cellStyle name="Normal 7 18" xfId="8819"/>
    <cellStyle name="Normal 7 18 2" xfId="8820"/>
    <cellStyle name="Normal 7 18 2 2" xfId="8821"/>
    <cellStyle name="Normal 7 18 3" xfId="8822"/>
    <cellStyle name="Normal 7 19" xfId="8823"/>
    <cellStyle name="Normal 7 19 2" xfId="8824"/>
    <cellStyle name="Normal 7 19 2 2" xfId="8825"/>
    <cellStyle name="Normal 7 19 3" xfId="8826"/>
    <cellStyle name="Normal 7 2" xfId="236"/>
    <cellStyle name="Normal 7 2 10" xfId="8827"/>
    <cellStyle name="Normal 7 2 10 2" xfId="8828"/>
    <cellStyle name="Normal 7 2 10 2 2" xfId="8829"/>
    <cellStyle name="Normal 7 2 10 3" xfId="8830"/>
    <cellStyle name="Normal 7 2 11" xfId="8831"/>
    <cellStyle name="Normal 7 2 11 2" xfId="8832"/>
    <cellStyle name="Normal 7 2 11 2 2" xfId="8833"/>
    <cellStyle name="Normal 7 2 11 3" xfId="8834"/>
    <cellStyle name="Normal 7 2 12" xfId="8835"/>
    <cellStyle name="Normal 7 2 12 2" xfId="8836"/>
    <cellStyle name="Normal 7 2 12 2 2" xfId="8837"/>
    <cellStyle name="Normal 7 2 12 3" xfId="8838"/>
    <cellStyle name="Normal 7 2 13" xfId="8839"/>
    <cellStyle name="Normal 7 2 13 2" xfId="8840"/>
    <cellStyle name="Normal 7 2 13 2 2" xfId="8841"/>
    <cellStyle name="Normal 7 2 13 3" xfId="8842"/>
    <cellStyle name="Normal 7 2 14" xfId="8843"/>
    <cellStyle name="Normal 7 2 14 2" xfId="8844"/>
    <cellStyle name="Normal 7 2 14 2 2" xfId="8845"/>
    <cellStyle name="Normal 7 2 14 3" xfId="8846"/>
    <cellStyle name="Normal 7 2 15" xfId="8847"/>
    <cellStyle name="Normal 7 2 15 2" xfId="8848"/>
    <cellStyle name="Normal 7 2 15 2 2" xfId="8849"/>
    <cellStyle name="Normal 7 2 15 3" xfId="8850"/>
    <cellStyle name="Normal 7 2 16" xfId="8851"/>
    <cellStyle name="Normal 7 2 16 2" xfId="8852"/>
    <cellStyle name="Normal 7 2 16 2 2" xfId="8853"/>
    <cellStyle name="Normal 7 2 16 3" xfId="8854"/>
    <cellStyle name="Normal 7 2 17" xfId="8855"/>
    <cellStyle name="Normal 7 2 17 2" xfId="8856"/>
    <cellStyle name="Normal 7 2 17 2 2" xfId="8857"/>
    <cellStyle name="Normal 7 2 17 3" xfId="8858"/>
    <cellStyle name="Normal 7 2 18" xfId="8859"/>
    <cellStyle name="Normal 7 2 18 2" xfId="8860"/>
    <cellStyle name="Normal 7 2 18 2 2" xfId="8861"/>
    <cellStyle name="Normal 7 2 18 3" xfId="8862"/>
    <cellStyle name="Normal 7 2 19" xfId="8863"/>
    <cellStyle name="Normal 7 2 19 2" xfId="8864"/>
    <cellStyle name="Normal 7 2 19 2 2" xfId="8865"/>
    <cellStyle name="Normal 7 2 19 3" xfId="8866"/>
    <cellStyle name="Normal 7 2 2" xfId="237"/>
    <cellStyle name="Normal 7 2 2 2" xfId="8867"/>
    <cellStyle name="Normal 7 2 2 2 2" xfId="8868"/>
    <cellStyle name="Normal 7 2 2 3" xfId="8869"/>
    <cellStyle name="Normal 7 2 20" xfId="8870"/>
    <cellStyle name="Normal 7 2 20 2" xfId="8871"/>
    <cellStyle name="Normal 7 2 20 2 2" xfId="8872"/>
    <cellStyle name="Normal 7 2 20 3" xfId="8873"/>
    <cellStyle name="Normal 7 2 21" xfId="8874"/>
    <cellStyle name="Normal 7 2 21 2" xfId="8875"/>
    <cellStyle name="Normal 7 2 21 2 2" xfId="8876"/>
    <cellStyle name="Normal 7 2 21 3" xfId="8877"/>
    <cellStyle name="Normal 7 2 22" xfId="8878"/>
    <cellStyle name="Normal 7 2 22 2" xfId="8879"/>
    <cellStyle name="Normal 7 2 22 2 2" xfId="8880"/>
    <cellStyle name="Normal 7 2 22 3" xfId="8881"/>
    <cellStyle name="Normal 7 2 23" xfId="8882"/>
    <cellStyle name="Normal 7 2 23 2" xfId="8883"/>
    <cellStyle name="Normal 7 2 23 2 2" xfId="8884"/>
    <cellStyle name="Normal 7 2 23 3" xfId="8885"/>
    <cellStyle name="Normal 7 2 24" xfId="8886"/>
    <cellStyle name="Normal 7 2 25" xfId="8887"/>
    <cellStyle name="Normal 7 2 25 2" xfId="8888"/>
    <cellStyle name="Normal 7 2 26" xfId="8889"/>
    <cellStyle name="Normal 7 2 3" xfId="8890"/>
    <cellStyle name="Normal 7 2 3 2" xfId="8891"/>
    <cellStyle name="Normal 7 2 3 2 2" xfId="8892"/>
    <cellStyle name="Normal 7 2 3 3" xfId="8893"/>
    <cellStyle name="Normal 7 2 4" xfId="8894"/>
    <cellStyle name="Normal 7 2 4 2" xfId="8895"/>
    <cellStyle name="Normal 7 2 4 2 2" xfId="8896"/>
    <cellStyle name="Normal 7 2 4 3" xfId="8897"/>
    <cellStyle name="Normal 7 2 5" xfId="8898"/>
    <cellStyle name="Normal 7 2 5 2" xfId="8899"/>
    <cellStyle name="Normal 7 2 5 2 2" xfId="8900"/>
    <cellStyle name="Normal 7 2 5 3" xfId="8901"/>
    <cellStyle name="Normal 7 2 6" xfId="8902"/>
    <cellStyle name="Normal 7 2 6 2" xfId="8903"/>
    <cellStyle name="Normal 7 2 6 2 2" xfId="8904"/>
    <cellStyle name="Normal 7 2 6 3" xfId="8905"/>
    <cellStyle name="Normal 7 2 7" xfId="8906"/>
    <cellStyle name="Normal 7 2 7 2" xfId="8907"/>
    <cellStyle name="Normal 7 2 7 2 2" xfId="8908"/>
    <cellStyle name="Normal 7 2 7 3" xfId="8909"/>
    <cellStyle name="Normal 7 2 8" xfId="8910"/>
    <cellStyle name="Normal 7 2 8 2" xfId="8911"/>
    <cellStyle name="Normal 7 2 8 2 2" xfId="8912"/>
    <cellStyle name="Normal 7 2 8 3" xfId="8913"/>
    <cellStyle name="Normal 7 2 9" xfId="8914"/>
    <cellStyle name="Normal 7 2 9 2" xfId="8915"/>
    <cellStyle name="Normal 7 2 9 2 2" xfId="8916"/>
    <cellStyle name="Normal 7 2 9 3" xfId="8917"/>
    <cellStyle name="Normal 7 20" xfId="8918"/>
    <cellStyle name="Normal 7 20 2" xfId="8919"/>
    <cellStyle name="Normal 7 20 2 2" xfId="8920"/>
    <cellStyle name="Normal 7 20 3" xfId="8921"/>
    <cellStyle name="Normal 7 21" xfId="8922"/>
    <cellStyle name="Normal 7 21 2" xfId="8923"/>
    <cellStyle name="Normal 7 21 2 2" xfId="8924"/>
    <cellStyle name="Normal 7 21 3" xfId="8925"/>
    <cellStyle name="Normal 7 22" xfId="8926"/>
    <cellStyle name="Normal 7 22 2" xfId="8927"/>
    <cellStyle name="Normal 7 22 2 2" xfId="8928"/>
    <cellStyle name="Normal 7 22 3" xfId="8929"/>
    <cellStyle name="Normal 7 23" xfId="8930"/>
    <cellStyle name="Normal 7 23 2" xfId="8931"/>
    <cellStyle name="Normal 7 23 2 2" xfId="8932"/>
    <cellStyle name="Normal 7 23 3" xfId="8933"/>
    <cellStyle name="Normal 7 24" xfId="8934"/>
    <cellStyle name="Normal 7 24 2" xfId="8935"/>
    <cellStyle name="Normal 7 24 2 2" xfId="8936"/>
    <cellStyle name="Normal 7 24 3" xfId="8937"/>
    <cellStyle name="Normal 7 25" xfId="8938"/>
    <cellStyle name="Normal 7 26" xfId="8939"/>
    <cellStyle name="Normal 7 26 2" xfId="8940"/>
    <cellStyle name="Normal 7 27" xfId="8941"/>
    <cellStyle name="Normal 7 3" xfId="238"/>
    <cellStyle name="Normal 7 3 2" xfId="8942"/>
    <cellStyle name="Normal 7 3 2 2" xfId="8943"/>
    <cellStyle name="Normal 7 3 3" xfId="8944"/>
    <cellStyle name="Normal 7 4" xfId="8945"/>
    <cellStyle name="Normal 7 4 2" xfId="8946"/>
    <cellStyle name="Normal 7 4 2 2" xfId="8947"/>
    <cellStyle name="Normal 7 4 3" xfId="8948"/>
    <cellStyle name="Normal 7 5" xfId="8949"/>
    <cellStyle name="Normal 7 5 2" xfId="8950"/>
    <cellStyle name="Normal 7 5 2 2" xfId="8951"/>
    <cellStyle name="Normal 7 5 3" xfId="8952"/>
    <cellStyle name="Normal 7 6" xfId="8953"/>
    <cellStyle name="Normal 7 6 2" xfId="8954"/>
    <cellStyle name="Normal 7 6 2 2" xfId="8955"/>
    <cellStyle name="Normal 7 6 3" xfId="8956"/>
    <cellStyle name="Normal 7 7" xfId="8957"/>
    <cellStyle name="Normal 7 7 2" xfId="8958"/>
    <cellStyle name="Normal 7 7 2 2" xfId="8959"/>
    <cellStyle name="Normal 7 7 3" xfId="8960"/>
    <cellStyle name="Normal 7 8" xfId="8961"/>
    <cellStyle name="Normal 7 8 2" xfId="8962"/>
    <cellStyle name="Normal 7 8 2 2" xfId="8963"/>
    <cellStyle name="Normal 7 8 3" xfId="8964"/>
    <cellStyle name="Normal 7 9" xfId="8965"/>
    <cellStyle name="Normal 7 9 2" xfId="8966"/>
    <cellStyle name="Normal 7 9 2 2" xfId="8967"/>
    <cellStyle name="Normal 7 9 3" xfId="8968"/>
    <cellStyle name="Normal 8" xfId="239"/>
    <cellStyle name="Normal 8 2" xfId="240"/>
    <cellStyle name="Normal 8 2 2" xfId="241"/>
    <cellStyle name="Normal 8 3" xfId="242"/>
    <cellStyle name="Normal 8 3 2" xfId="8969"/>
    <cellStyle name="Normal 8 3 3" xfId="8970"/>
    <cellStyle name="Normal 8 4" xfId="8971"/>
    <cellStyle name="Normal 8 4 2" xfId="8972"/>
    <cellStyle name="Normal 8 4 3" xfId="8973"/>
    <cellStyle name="Normal 8 5" xfId="8974"/>
    <cellStyle name="Normal 8 6" xfId="8975"/>
    <cellStyle name="Normal 8 7" xfId="8976"/>
    <cellStyle name="Normal 8 8" xfId="8977"/>
    <cellStyle name="Normal 9" xfId="243"/>
    <cellStyle name="Normal 9 2" xfId="244"/>
    <cellStyle name="Normal 9 2 2" xfId="1225"/>
    <cellStyle name="Normal 9 3" xfId="245"/>
    <cellStyle name="Normal 9 4" xfId="1226"/>
    <cellStyle name="Normal 9 5" xfId="8978"/>
    <cellStyle name="Normal_EStarCFLBulbs&amp;Fixtures_NewFY08v1_0" xfId="1227"/>
    <cellStyle name="Normal_EStarCFLBulbs&amp;FixturesFY07v1_4" xfId="1228"/>
    <cellStyle name="Normal_EStarWASHERResTiersFY07v1_3_postJan07" xfId="246"/>
    <cellStyle name="Normal_MTDUCT" xfId="247"/>
    <cellStyle name="Normal_New Home LPD Inputs" xfId="1229"/>
    <cellStyle name="Normal_PC-LPDPackage-6P-D14" xfId="425"/>
    <cellStyle name="Normal_ProCostFinAssumptions_Sector" xfId="248"/>
    <cellStyle name="Note 2" xfId="249"/>
    <cellStyle name="Note 2 2" xfId="250"/>
    <cellStyle name="Note 2 2 2" xfId="251"/>
    <cellStyle name="Note 2 2 2 2" xfId="1230"/>
    <cellStyle name="Note 2 2 2 2 2" xfId="1231"/>
    <cellStyle name="Note 2 2 2 3" xfId="1232"/>
    <cellStyle name="Note 2 2 2 3 2" xfId="1233"/>
    <cellStyle name="Note 2 2 2 4" xfId="1234"/>
    <cellStyle name="Note 2 2 3" xfId="1235"/>
    <cellStyle name="Note 2 2 3 2" xfId="1236"/>
    <cellStyle name="Note 2 2 4" xfId="1237"/>
    <cellStyle name="Note 2 2 4 2" xfId="1238"/>
    <cellStyle name="Note 2 2 5" xfId="1239"/>
    <cellStyle name="Note 2 2 6" xfId="1240"/>
    <cellStyle name="Note 2 3" xfId="252"/>
    <cellStyle name="Note 2 3 2" xfId="253"/>
    <cellStyle name="Note 2 3 2 2" xfId="1241"/>
    <cellStyle name="Note 2 3 2 2 2" xfId="1242"/>
    <cellStyle name="Note 2 3 2 3" xfId="1243"/>
    <cellStyle name="Note 2 3 2 3 2" xfId="1244"/>
    <cellStyle name="Note 2 3 2 4" xfId="1245"/>
    <cellStyle name="Note 2 3 3" xfId="1246"/>
    <cellStyle name="Note 2 3 3 2" xfId="1247"/>
    <cellStyle name="Note 2 3 4" xfId="1248"/>
    <cellStyle name="Note 2 3 4 2" xfId="1249"/>
    <cellStyle name="Note 2 3 5" xfId="1250"/>
    <cellStyle name="Note 2 4" xfId="254"/>
    <cellStyle name="Note 2 4 2" xfId="255"/>
    <cellStyle name="Note 2 4 2 2" xfId="1251"/>
    <cellStyle name="Note 2 4 2 2 2" xfId="1252"/>
    <cellStyle name="Note 2 4 2 3" xfId="1253"/>
    <cellStyle name="Note 2 4 2 3 2" xfId="1254"/>
    <cellStyle name="Note 2 4 2 4" xfId="1255"/>
    <cellStyle name="Note 2 4 3" xfId="1256"/>
    <cellStyle name="Note 2 4 3 2" xfId="1257"/>
    <cellStyle name="Note 2 4 4" xfId="1258"/>
    <cellStyle name="Note 2 4 4 2" xfId="1259"/>
    <cellStyle name="Note 2 4 5" xfId="1260"/>
    <cellStyle name="Note 2 5" xfId="256"/>
    <cellStyle name="Note 2 5 2" xfId="1261"/>
    <cellStyle name="Note 2 5 2 2" xfId="1262"/>
    <cellStyle name="Note 2 5 3" xfId="1263"/>
    <cellStyle name="Note 2 5 3 2" xfId="1264"/>
    <cellStyle name="Note 2 5 4" xfId="1265"/>
    <cellStyle name="Note 2 6" xfId="1266"/>
    <cellStyle name="Note 2 6 2" xfId="1267"/>
    <cellStyle name="Note 2 7" xfId="1268"/>
    <cellStyle name="Note 2 7 2" xfId="1269"/>
    <cellStyle name="Note 2 8" xfId="1270"/>
    <cellStyle name="Note 2 8 2" xfId="1271"/>
    <cellStyle name="Note 3" xfId="416"/>
    <cellStyle name="Note 4" xfId="8979"/>
    <cellStyle name="Note 5" xfId="8980"/>
    <cellStyle name="Note 5 2" xfId="8981"/>
    <cellStyle name="Output 2" xfId="417"/>
    <cellStyle name="Output 2 2" xfId="498"/>
    <cellStyle name="Output 3" xfId="499"/>
    <cellStyle name="Percent" xfId="424" builtinId="5"/>
    <cellStyle name="Percent 2" xfId="257"/>
    <cellStyle name="Percent 2 10" xfId="258"/>
    <cellStyle name="Percent 2 2" xfId="259"/>
    <cellStyle name="Percent 2 2 2" xfId="260"/>
    <cellStyle name="Percent 2 2 2 2" xfId="261"/>
    <cellStyle name="Percent 2 2 2 2 2" xfId="1272"/>
    <cellStyle name="Percent 2 2 2 3" xfId="262"/>
    <cellStyle name="Percent 2 2 2 4" xfId="1273"/>
    <cellStyle name="Percent 2 2 3" xfId="263"/>
    <cellStyle name="Percent 2 2 3 2" xfId="1274"/>
    <cellStyle name="Percent 2 2 4" xfId="264"/>
    <cellStyle name="Percent 2 2 4 2" xfId="8982"/>
    <cellStyle name="Percent 2 2 5" xfId="8983"/>
    <cellStyle name="Percent 2 2 6" xfId="8984"/>
    <cellStyle name="Percent 2 2 7" xfId="8985"/>
    <cellStyle name="Percent 2 2 8" xfId="8986"/>
    <cellStyle name="Percent 2 3" xfId="4"/>
    <cellStyle name="Percent 2 3 2" xfId="265"/>
    <cellStyle name="Percent 2 3 2 10" xfId="1275"/>
    <cellStyle name="Percent 2 3 2 2" xfId="266"/>
    <cellStyle name="Percent 2 3 2 2 2" xfId="267"/>
    <cellStyle name="Percent 2 3 2 2 2 2" xfId="1276"/>
    <cellStyle name="Percent 2 3 2 2 2 2 2" xfId="1277"/>
    <cellStyle name="Percent 2 3 2 2 2 3" xfId="1278"/>
    <cellStyle name="Percent 2 3 2 2 2 3 2" xfId="1279"/>
    <cellStyle name="Percent 2 3 2 2 2 4" xfId="1280"/>
    <cellStyle name="Percent 2 3 2 2 3" xfId="1281"/>
    <cellStyle name="Percent 2 3 2 2 3 2" xfId="1282"/>
    <cellStyle name="Percent 2 3 2 2 4" xfId="1283"/>
    <cellStyle name="Percent 2 3 2 2 4 2" xfId="1284"/>
    <cellStyle name="Percent 2 3 2 2 5" xfId="1285"/>
    <cellStyle name="Percent 2 3 2 3" xfId="268"/>
    <cellStyle name="Percent 2 3 2 3 2" xfId="269"/>
    <cellStyle name="Percent 2 3 2 3 2 2" xfId="1286"/>
    <cellStyle name="Percent 2 3 2 3 2 2 2" xfId="1287"/>
    <cellStyle name="Percent 2 3 2 3 2 3" xfId="1288"/>
    <cellStyle name="Percent 2 3 2 3 2 3 2" xfId="1289"/>
    <cellStyle name="Percent 2 3 2 3 2 4" xfId="1290"/>
    <cellStyle name="Percent 2 3 2 3 3" xfId="1291"/>
    <cellStyle name="Percent 2 3 2 3 3 2" xfId="1292"/>
    <cellStyle name="Percent 2 3 2 3 4" xfId="1293"/>
    <cellStyle name="Percent 2 3 2 3 4 2" xfId="1294"/>
    <cellStyle name="Percent 2 3 2 3 5" xfId="1295"/>
    <cellStyle name="Percent 2 3 2 4" xfId="270"/>
    <cellStyle name="Percent 2 3 2 4 2" xfId="271"/>
    <cellStyle name="Percent 2 3 2 4 2 2" xfId="1296"/>
    <cellStyle name="Percent 2 3 2 4 2 2 2" xfId="1297"/>
    <cellStyle name="Percent 2 3 2 4 2 3" xfId="1298"/>
    <cellStyle name="Percent 2 3 2 4 2 3 2" xfId="1299"/>
    <cellStyle name="Percent 2 3 2 4 2 4" xfId="1300"/>
    <cellStyle name="Percent 2 3 2 4 3" xfId="1301"/>
    <cellStyle name="Percent 2 3 2 4 3 2" xfId="1302"/>
    <cellStyle name="Percent 2 3 2 4 4" xfId="1303"/>
    <cellStyle name="Percent 2 3 2 4 4 2" xfId="1304"/>
    <cellStyle name="Percent 2 3 2 4 5" xfId="1305"/>
    <cellStyle name="Percent 2 3 2 5" xfId="272"/>
    <cellStyle name="Percent 2 3 2 5 2" xfId="1306"/>
    <cellStyle name="Percent 2 3 2 5 2 2" xfId="1307"/>
    <cellStyle name="Percent 2 3 2 5 3" xfId="1308"/>
    <cellStyle name="Percent 2 3 2 5 3 2" xfId="1309"/>
    <cellStyle name="Percent 2 3 2 5 4" xfId="1310"/>
    <cellStyle name="Percent 2 3 2 6" xfId="273"/>
    <cellStyle name="Percent 2 3 2 6 2" xfId="1311"/>
    <cellStyle name="Percent 2 3 2 6 2 2" xfId="1312"/>
    <cellStyle name="Percent 2 3 2 6 3" xfId="1313"/>
    <cellStyle name="Percent 2 3 2 6 3 2" xfId="1314"/>
    <cellStyle name="Percent 2 3 2 6 4" xfId="1315"/>
    <cellStyle name="Percent 2 3 2 7" xfId="1316"/>
    <cellStyle name="Percent 2 3 2 7 2" xfId="1317"/>
    <cellStyle name="Percent 2 3 2 8" xfId="1318"/>
    <cellStyle name="Percent 2 3 2 8 2" xfId="1319"/>
    <cellStyle name="Percent 2 3 2 9" xfId="1320"/>
    <cellStyle name="Percent 2 3 3" xfId="500"/>
    <cellStyle name="Percent 2 4" xfId="274"/>
    <cellStyle name="Percent 2 4 2" xfId="275"/>
    <cellStyle name="Percent 2 4 2 2" xfId="1321"/>
    <cellStyle name="Percent 2 4 2 2 2" xfId="1322"/>
    <cellStyle name="Percent 2 4 2 3" xfId="1323"/>
    <cellStyle name="Percent 2 4 2 3 2" xfId="1324"/>
    <cellStyle name="Percent 2 4 2 4" xfId="1325"/>
    <cellStyle name="Percent 2 4 3" xfId="276"/>
    <cellStyle name="Percent 2 4 3 2" xfId="1326"/>
    <cellStyle name="Percent 2 4 3 2 2" xfId="1327"/>
    <cellStyle name="Percent 2 4 3 3" xfId="1328"/>
    <cellStyle name="Percent 2 4 3 3 2" xfId="1329"/>
    <cellStyle name="Percent 2 4 3 4" xfId="1330"/>
    <cellStyle name="Percent 2 5" xfId="277"/>
    <cellStyle name="Percent 2 5 2" xfId="278"/>
    <cellStyle name="Percent 2 5 2 2" xfId="1331"/>
    <cellStyle name="Percent 2 5 2 2 2" xfId="1332"/>
    <cellStyle name="Percent 2 5 2 3" xfId="1333"/>
    <cellStyle name="Percent 2 5 2 3 2" xfId="1334"/>
    <cellStyle name="Percent 2 5 2 4" xfId="1335"/>
    <cellStyle name="Percent 2 5 3" xfId="1336"/>
    <cellStyle name="Percent 2 5 3 2" xfId="1337"/>
    <cellStyle name="Percent 2 5 4" xfId="1338"/>
    <cellStyle name="Percent 2 5 4 2" xfId="1339"/>
    <cellStyle name="Percent 2 5 5" xfId="1340"/>
    <cellStyle name="Percent 2 6" xfId="279"/>
    <cellStyle name="Percent 2 6 2" xfId="280"/>
    <cellStyle name="Percent 2 6 2 2" xfId="1341"/>
    <cellStyle name="Percent 2 6 2 2 2" xfId="1342"/>
    <cellStyle name="Percent 2 6 2 3" xfId="1343"/>
    <cellStyle name="Percent 2 6 2 3 2" xfId="1344"/>
    <cellStyle name="Percent 2 6 2 4" xfId="1345"/>
    <cellStyle name="Percent 2 6 3" xfId="1346"/>
    <cellStyle name="Percent 2 6 3 2" xfId="1347"/>
    <cellStyle name="Percent 2 6 4" xfId="1348"/>
    <cellStyle name="Percent 2 6 4 2" xfId="1349"/>
    <cellStyle name="Percent 2 6 5" xfId="1350"/>
    <cellStyle name="Percent 2 7" xfId="281"/>
    <cellStyle name="Percent 2 7 2" xfId="282"/>
    <cellStyle name="Percent 2 7 2 2" xfId="1351"/>
    <cellStyle name="Percent 2 7 2 2 2" xfId="1352"/>
    <cellStyle name="Percent 2 7 2 3" xfId="1353"/>
    <cellStyle name="Percent 2 7 2 3 2" xfId="1354"/>
    <cellStyle name="Percent 2 7 2 4" xfId="1355"/>
    <cellStyle name="Percent 2 7 3" xfId="1356"/>
    <cellStyle name="Percent 2 7 3 2" xfId="1357"/>
    <cellStyle name="Percent 2 7 4" xfId="1358"/>
    <cellStyle name="Percent 2 7 4 2" xfId="1359"/>
    <cellStyle name="Percent 2 7 5" xfId="1360"/>
    <cellStyle name="Percent 2 8" xfId="283"/>
    <cellStyle name="Percent 2 8 2" xfId="1361"/>
    <cellStyle name="Percent 2 8 2 2" xfId="1362"/>
    <cellStyle name="Percent 2 8 3" xfId="1363"/>
    <cellStyle name="Percent 2 8 3 2" xfId="1364"/>
    <cellStyle name="Percent 2 8 4" xfId="1365"/>
    <cellStyle name="Percent 2 9" xfId="284"/>
    <cellStyle name="Percent 3" xfId="285"/>
    <cellStyle name="Percent 3 2" xfId="286"/>
    <cellStyle name="Percent 3 2 2" xfId="287"/>
    <cellStyle name="Percent 3 2 2 2" xfId="288"/>
    <cellStyle name="Percent 3 2 2 2 2" xfId="1366"/>
    <cellStyle name="Percent 3 2 2 2 2 2" xfId="1367"/>
    <cellStyle name="Percent 3 2 2 2 3" xfId="1368"/>
    <cellStyle name="Percent 3 2 2 2 3 2" xfId="1369"/>
    <cellStyle name="Percent 3 2 2 2 4" xfId="1370"/>
    <cellStyle name="Percent 3 2 2 2 5" xfId="1371"/>
    <cellStyle name="Percent 3 2 3" xfId="289"/>
    <cellStyle name="Percent 3 2 3 2" xfId="290"/>
    <cellStyle name="Percent 3 2 3 2 2" xfId="1372"/>
    <cellStyle name="Percent 3 2 3 2 2 2" xfId="1373"/>
    <cellStyle name="Percent 3 2 3 2 3" xfId="1374"/>
    <cellStyle name="Percent 3 2 3 2 3 2" xfId="1375"/>
    <cellStyle name="Percent 3 2 3 2 4" xfId="1376"/>
    <cellStyle name="Percent 3 2 3 3" xfId="1377"/>
    <cellStyle name="Percent 3 2 3 3 2" xfId="1378"/>
    <cellStyle name="Percent 3 2 3 4" xfId="1379"/>
    <cellStyle name="Percent 3 2 3 4 2" xfId="1380"/>
    <cellStyle name="Percent 3 2 3 5" xfId="1381"/>
    <cellStyle name="Percent 3 2 3 6" xfId="1382"/>
    <cellStyle name="Percent 3 2 4" xfId="291"/>
    <cellStyle name="Percent 3 2 4 2" xfId="292"/>
    <cellStyle name="Percent 3 2 4 2 2" xfId="1383"/>
    <cellStyle name="Percent 3 2 4 2 2 2" xfId="1384"/>
    <cellStyle name="Percent 3 2 4 2 3" xfId="1385"/>
    <cellStyle name="Percent 3 2 4 2 3 2" xfId="1386"/>
    <cellStyle name="Percent 3 2 4 2 4" xfId="1387"/>
    <cellStyle name="Percent 3 2 4 3" xfId="1388"/>
    <cellStyle name="Percent 3 2 4 3 2" xfId="1389"/>
    <cellStyle name="Percent 3 2 4 4" xfId="1390"/>
    <cellStyle name="Percent 3 2 4 4 2" xfId="1391"/>
    <cellStyle name="Percent 3 2 4 5" xfId="1392"/>
    <cellStyle name="Percent 3 2 5" xfId="293"/>
    <cellStyle name="Percent 3 2 5 2" xfId="294"/>
    <cellStyle name="Percent 3 2 5 2 2" xfId="1393"/>
    <cellStyle name="Percent 3 2 5 2 2 2" xfId="1394"/>
    <cellStyle name="Percent 3 2 5 2 3" xfId="1395"/>
    <cellStyle name="Percent 3 2 5 2 3 2" xfId="1396"/>
    <cellStyle name="Percent 3 2 5 2 4" xfId="1397"/>
    <cellStyle name="Percent 3 2 5 3" xfId="1398"/>
    <cellStyle name="Percent 3 2 5 3 2" xfId="1399"/>
    <cellStyle name="Percent 3 2 5 4" xfId="1400"/>
    <cellStyle name="Percent 3 2 5 4 2" xfId="1401"/>
    <cellStyle name="Percent 3 2 5 5" xfId="1402"/>
    <cellStyle name="Percent 3 2 6" xfId="295"/>
    <cellStyle name="Percent 3 2 7" xfId="296"/>
    <cellStyle name="Percent 3 2 7 2" xfId="1403"/>
    <cellStyle name="Percent 3 2 7 2 2" xfId="1404"/>
    <cellStyle name="Percent 3 2 7 3" xfId="1405"/>
    <cellStyle name="Percent 3 2 7 3 2" xfId="1406"/>
    <cellStyle name="Percent 3 2 7 4" xfId="1407"/>
    <cellStyle name="Percent 3 2 8" xfId="297"/>
    <cellStyle name="Percent 3 2 9" xfId="1408"/>
    <cellStyle name="Percent 3 3" xfId="298"/>
    <cellStyle name="Percent 3 3 2" xfId="1409"/>
    <cellStyle name="Percent 3 4" xfId="299"/>
    <cellStyle name="Percent 3 4 2" xfId="8987"/>
    <cellStyle name="Percent 3 5" xfId="300"/>
    <cellStyle name="Percent 3 6" xfId="1410"/>
    <cellStyle name="Percent 4" xfId="301"/>
    <cellStyle name="Percent 4 2" xfId="302"/>
    <cellStyle name="Percent 4 2 2" xfId="303"/>
    <cellStyle name="Percent 4 3" xfId="304"/>
    <cellStyle name="Percent 4 4" xfId="8988"/>
    <cellStyle name="Percent 4 4 2" xfId="8989"/>
    <cellStyle name="Percent 4 5" xfId="8990"/>
    <cellStyle name="Percent 5" xfId="305"/>
    <cellStyle name="Percent 5 2" xfId="306"/>
    <cellStyle name="Percent 5 3" xfId="8991"/>
    <cellStyle name="Percent 6" xfId="307"/>
    <cellStyle name="Percent 6 2" xfId="418"/>
    <cellStyle name="Percent 6 3" xfId="8992"/>
    <cellStyle name="Percent 7" xfId="308"/>
    <cellStyle name="Percent 8" xfId="309"/>
    <cellStyle name="Percent 9" xfId="1411"/>
    <cellStyle name="Sheet Title" xfId="419"/>
    <cellStyle name="Style 1" xfId="310"/>
    <cellStyle name="Style 1 2" xfId="420"/>
    <cellStyle name="Style 28" xfId="501"/>
    <cellStyle name="Title 2" xfId="421"/>
    <cellStyle name="Title 2 2" xfId="502"/>
    <cellStyle name="Title 3" xfId="503"/>
    <cellStyle name="Total 2" xfId="422"/>
    <cellStyle name="Total 2 2" xfId="504"/>
    <cellStyle name="Total 3" xfId="505"/>
    <cellStyle name="Warning Text 2" xfId="423"/>
    <cellStyle name="Warning Text 3" xfId="506"/>
    <cellStyle name="표준 2_WP-1 보고자료 (2009.06.03)" xfId="507"/>
    <cellStyle name="표준_ENERGY CONSUMP" xfId="311"/>
    <cellStyle name="常规_海外市场服务网站资料操作BOM" xfId="312"/>
  </cellStyles>
  <dxfs count="2">
    <dxf>
      <fill>
        <patternFill>
          <bgColor rgb="FFFFFF00"/>
        </patternFill>
      </fill>
    </dxf>
    <dxf>
      <fill>
        <patternFill>
          <bgColor rgb="FFFFC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strRef>
          <c:f>'SC-New'!$A$21</c:f>
          <c:strCache>
            <c:ptCount val="1"/>
            <c:pt idx="0">
              <c:v># HOMES APPLICABLE BY YEAR FOR MEASURE - Lighting - New</c:v>
            </c:pt>
          </c:strCache>
        </c:strRef>
      </c:tx>
      <c:layout>
        <c:manualLayout>
          <c:xMode val="edge"/>
          <c:yMode val="edge"/>
          <c:x val="0.27677829502253981"/>
          <c:y val="3.2608695652174696E-2"/>
        </c:manualLayout>
      </c:layout>
      <c:spPr>
        <a:noFill/>
        <a:ln w="25400">
          <a:noFill/>
        </a:ln>
      </c:spPr>
      <c:txPr>
        <a:bodyPr/>
        <a:lstStyle/>
        <a:p>
          <a:pPr>
            <a:defRPr sz="1125" b="1" i="0" u="none" strike="noStrike" baseline="0">
              <a:solidFill>
                <a:srgbClr val="000000"/>
              </a:solidFill>
              <a:latin typeface="Arial"/>
              <a:ea typeface="Arial"/>
              <a:cs typeface="Arial"/>
            </a:defRPr>
          </a:pPr>
          <a:endParaRPr lang="en-US"/>
        </a:p>
      </c:txPr>
    </c:title>
    <c:plotArea>
      <c:layout>
        <c:manualLayout>
          <c:layoutTarget val="inner"/>
          <c:xMode val="edge"/>
          <c:yMode val="edge"/>
          <c:x val="0.11996582446797541"/>
          <c:y val="0.14402173913043767"/>
          <c:w val="0.79605893521962634"/>
          <c:h val="0.67391304347826164"/>
        </c:manualLayout>
      </c:layout>
      <c:barChart>
        <c:barDir val="col"/>
        <c:grouping val="stacked"/>
        <c:ser>
          <c:idx val="0"/>
          <c:order val="0"/>
          <c:tx>
            <c:strRef>
              <c:f>'SC-New'!$C$23</c:f>
              <c:strCache>
                <c:ptCount val="1"/>
                <c:pt idx="0">
                  <c:v>Single Family</c:v>
                </c:pt>
              </c:strCache>
            </c:strRef>
          </c:tx>
          <c:spPr>
            <a:solidFill>
              <a:srgbClr val="9999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'SC-New'!$E$23:$Y$23</c:f>
              <c:numCache>
                <c:formatCode>0</c:formatCode>
                <c:ptCount val="21"/>
                <c:pt idx="0">
                  <c:v>4826803.443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'SC-New'!#REF!</c:f>
              <c:strCache>
                <c:ptCount val="1"/>
                <c:pt idx="0">
                  <c:v>#REF!</c:v>
                </c:pt>
              </c:strCache>
            </c:strRef>
          </c:tx>
          <c:spPr>
            <a:solidFill>
              <a:srgbClr val="993366"/>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2"/>
          <c:order val="2"/>
          <c:tx>
            <c:strRef>
              <c:f>'SC-New'!$C$24</c:f>
              <c:strCache>
                <c:ptCount val="1"/>
                <c:pt idx="0">
                  <c:v>Multifamily - Low Rise</c:v>
                </c:pt>
              </c:strCache>
            </c:strRef>
          </c:tx>
          <c:spPr>
            <a:solidFill>
              <a:srgbClr val="FFFFCC"/>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'SC-New'!$E$24:$Y$24</c:f>
              <c:numCache>
                <c:formatCode>0</c:formatCode>
                <c:ptCount val="21"/>
                <c:pt idx="0">
                  <c:v>535447.98332080501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'SC-New'!$C$26</c:f>
              <c:strCache>
                <c:ptCount val="1"/>
                <c:pt idx="0">
                  <c:v>Manufactured</c:v>
                </c:pt>
              </c:strCache>
            </c:strRef>
          </c:tx>
          <c:spPr>
            <a:solidFill>
              <a:srgbClr val="CC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'SC-New'!$E$26:$Y$26</c:f>
              <c:numCache>
                <c:formatCode>0</c:formatCode>
                <c:ptCount val="21"/>
                <c:pt idx="0">
                  <c:v>64500.351475694442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'SC-New'!#REF!</c:f>
              <c:strCache>
                <c:ptCount val="1"/>
                <c:pt idx="0">
                  <c:v>#REF!</c:v>
                </c:pt>
              </c:strCache>
            </c:strRef>
          </c:tx>
          <c:spPr>
            <a:solidFill>
              <a:srgbClr val="660066"/>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5"/>
          <c:order val="5"/>
          <c:tx>
            <c:strRef>
              <c:f>'SC-New'!#REF!</c:f>
              <c:strCache>
                <c:ptCount val="1"/>
                <c:pt idx="0">
                  <c:v>#REF!</c:v>
                </c:pt>
              </c:strCache>
            </c:strRef>
          </c:tx>
          <c:spPr>
            <a:solidFill>
              <a:srgbClr val="FF8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6"/>
          <c:order val="6"/>
          <c:tx>
            <c:strRef>
              <c:f>'SC-New'!#REF!</c:f>
              <c:strCache>
                <c:ptCount val="1"/>
                <c:pt idx="0">
                  <c:v>#REF!</c:v>
                </c:pt>
              </c:strCache>
            </c:strRef>
          </c:tx>
          <c:spPr>
            <a:solidFill>
              <a:srgbClr val="0066CC"/>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7"/>
          <c:order val="7"/>
          <c:tx>
            <c:strRef>
              <c:f>'SC-New'!#REF!</c:f>
              <c:strCache>
                <c:ptCount val="1"/>
                <c:pt idx="0">
                  <c:v>#REF!</c:v>
                </c:pt>
              </c:strCache>
            </c:strRef>
          </c:tx>
          <c:spPr>
            <a:solidFill>
              <a:srgbClr val="CCCC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8"/>
          <c:order val="8"/>
          <c:tx>
            <c:strRef>
              <c:f>'SC-New'!#REF!</c:f>
              <c:strCache>
                <c:ptCount val="1"/>
                <c:pt idx="0">
                  <c:v>#REF!</c:v>
                </c:pt>
              </c:strCache>
            </c:strRef>
          </c:tx>
          <c:spPr>
            <a:solidFill>
              <a:srgbClr val="000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9"/>
          <c:order val="9"/>
          <c:tx>
            <c:strRef>
              <c:f>'SC-New'!#REF!</c:f>
              <c:strCache>
                <c:ptCount val="1"/>
                <c:pt idx="0">
                  <c:v>#REF!</c:v>
                </c:pt>
              </c:strCache>
            </c:strRef>
          </c:tx>
          <c:spPr>
            <a:solidFill>
              <a:srgbClr val="FF00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0"/>
          <c:order val="10"/>
          <c:tx>
            <c:strRef>
              <c:f>'SC-New'!#REF!</c:f>
              <c:strCache>
                <c:ptCount val="1"/>
                <c:pt idx="0">
                  <c:v>#REF!</c:v>
                </c:pt>
              </c:strCache>
            </c:strRef>
          </c:tx>
          <c:spPr>
            <a:solidFill>
              <a:srgbClr val="FFFF0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1"/>
          <c:order val="11"/>
          <c:tx>
            <c:strRef>
              <c:f>'SC-New'!#REF!</c:f>
              <c:strCache>
                <c:ptCount val="1"/>
                <c:pt idx="0">
                  <c:v>#REF!</c:v>
                </c:pt>
              </c:strCache>
            </c:strRef>
          </c:tx>
          <c:spPr>
            <a:solidFill>
              <a:srgbClr val="00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2"/>
          <c:order val="12"/>
          <c:tx>
            <c:strRef>
              <c:f>'SC-New'!#REF!</c:f>
              <c:strCache>
                <c:ptCount val="1"/>
                <c:pt idx="0">
                  <c:v>#REF!</c:v>
                </c:pt>
              </c:strCache>
            </c:strRef>
          </c:tx>
          <c:spPr>
            <a:solidFill>
              <a:srgbClr val="800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3"/>
          <c:order val="13"/>
          <c:tx>
            <c:strRef>
              <c:f>'SC-New'!#REF!</c:f>
              <c:strCache>
                <c:ptCount val="1"/>
                <c:pt idx="0">
                  <c:v>#REF!</c:v>
                </c:pt>
              </c:strCache>
            </c:strRef>
          </c:tx>
          <c:spPr>
            <a:solidFill>
              <a:srgbClr val="80000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4"/>
          <c:order val="14"/>
          <c:tx>
            <c:strRef>
              <c:f>'SC-New'!#REF!</c:f>
              <c:strCache>
                <c:ptCount val="1"/>
                <c:pt idx="0">
                  <c:v>#REF!</c:v>
                </c:pt>
              </c:strCache>
            </c:strRef>
          </c:tx>
          <c:spPr>
            <a:solidFill>
              <a:srgbClr val="008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5"/>
          <c:order val="15"/>
          <c:tx>
            <c:strRef>
              <c:f>'SC-New'!#REF!</c:f>
              <c:strCache>
                <c:ptCount val="1"/>
                <c:pt idx="0">
                  <c:v>#REF!</c:v>
                </c:pt>
              </c:strCache>
            </c:strRef>
          </c:tx>
          <c:spPr>
            <a:solidFill>
              <a:srgbClr val="0000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6"/>
          <c:order val="16"/>
          <c:tx>
            <c:strRef>
              <c:f>'SC-New'!#REF!</c:f>
              <c:strCache>
                <c:ptCount val="1"/>
                <c:pt idx="0">
                  <c:v>#REF!</c:v>
                </c:pt>
              </c:strCache>
            </c:strRef>
          </c:tx>
          <c:spPr>
            <a:solidFill>
              <a:srgbClr val="00CC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7"/>
          <c:order val="17"/>
          <c:tx>
            <c:strRef>
              <c:f>'SC-New'!#REF!</c:f>
              <c:strCache>
                <c:ptCount val="1"/>
                <c:pt idx="0">
                  <c:v>#REF!</c:v>
                </c:pt>
              </c:strCache>
            </c:strRef>
          </c:tx>
          <c:spPr>
            <a:solidFill>
              <a:srgbClr val="CC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overlap val="100"/>
        <c:axId val="125419520"/>
        <c:axId val="125421056"/>
      </c:barChart>
      <c:catAx>
        <c:axId val="125419520"/>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25421056"/>
        <c:crosses val="autoZero"/>
        <c:auto val="1"/>
        <c:lblAlgn val="ctr"/>
        <c:lblOffset val="100"/>
        <c:tickLblSkip val="1"/>
        <c:tickMarkSkip val="1"/>
      </c:catAx>
      <c:valAx>
        <c:axId val="125421056"/>
        <c:scaling>
          <c:orientation val="minMax"/>
        </c:scaling>
        <c:axPos val="l"/>
        <c:majorGridlines>
          <c:spPr>
            <a:ln w="3175">
              <a:solidFill>
                <a:srgbClr val="000000"/>
              </a:solidFill>
              <a:prstDash val="solid"/>
            </a:ln>
          </c:spPr>
        </c:majorGridlines>
        <c:title>
          <c:tx>
            <c:strRef>
              <c:f>'SC-New'!$C$11</c:f>
              <c:strCache>
                <c:ptCount val="1"/>
                <c:pt idx="0">
                  <c:v># homes</c:v>
                </c:pt>
              </c:strCache>
            </c:strRef>
          </c:tx>
          <c:layout>
            <c:manualLayout>
              <c:xMode val="edge"/>
              <c:yMode val="edge"/>
              <c:x val="7.0265697188384713E-2"/>
              <c:y val="0.40489130434782838"/>
            </c:manualLayout>
          </c:layout>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25419520"/>
        <c:crosses val="autoZero"/>
        <c:crossBetween val="between"/>
      </c:valAx>
      <c:spPr>
        <a:solidFill>
          <a:srgbClr val="C0C0C0"/>
        </a:solidFill>
        <a:ln w="12700">
          <a:solidFill>
            <a:srgbClr val="808080"/>
          </a:solidFill>
          <a:prstDash val="solid"/>
        </a:ln>
      </c:spPr>
    </c:plotArea>
    <c:legend>
      <c:legendPos val="r"/>
      <c:layout>
        <c:manualLayout>
          <c:xMode val="edge"/>
          <c:yMode val="edge"/>
          <c:x val="0.92545064589579806"/>
          <c:y val="5.9782608695652183E-2"/>
          <c:w val="6.7695000949785533E-2"/>
          <c:h val="0.93206521739130765"/>
        </c:manualLayout>
      </c:layout>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988" r="0.7500000000000098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strRef>
          <c:f>'SC-New (2)'!$A$21</c:f>
          <c:strCache>
            <c:ptCount val="1"/>
            <c:pt idx="0">
              <c:v># HOMES APPLICABLE BY YEAR FOR MEASURE - Lighting - New</c:v>
            </c:pt>
          </c:strCache>
        </c:strRef>
      </c:tx>
      <c:layout>
        <c:manualLayout>
          <c:xMode val="edge"/>
          <c:yMode val="edge"/>
          <c:x val="0.27677829502253981"/>
          <c:y val="3.2608695652174717E-2"/>
        </c:manualLayout>
      </c:layout>
      <c:spPr>
        <a:noFill/>
        <a:ln w="25400">
          <a:noFill/>
        </a:ln>
      </c:spPr>
      <c:txPr>
        <a:bodyPr/>
        <a:lstStyle/>
        <a:p>
          <a:pPr>
            <a:defRPr sz="1125" b="1" i="0" u="none" strike="noStrike" baseline="0">
              <a:solidFill>
                <a:srgbClr val="000000"/>
              </a:solidFill>
              <a:latin typeface="Arial"/>
              <a:ea typeface="Arial"/>
              <a:cs typeface="Arial"/>
            </a:defRPr>
          </a:pPr>
          <a:endParaRPr lang="en-US"/>
        </a:p>
      </c:txPr>
    </c:title>
    <c:plotArea>
      <c:layout>
        <c:manualLayout>
          <c:layoutTarget val="inner"/>
          <c:xMode val="edge"/>
          <c:yMode val="edge"/>
          <c:x val="0.11996582446797545"/>
          <c:y val="0.14402173913043775"/>
          <c:w val="0.79605893521962634"/>
          <c:h val="0.67391304347826164"/>
        </c:manualLayout>
      </c:layout>
      <c:barChart>
        <c:barDir val="col"/>
        <c:grouping val="stacked"/>
        <c:ser>
          <c:idx val="0"/>
          <c:order val="0"/>
          <c:tx>
            <c:strRef>
              <c:f>'SC-New (2)'!$C$23</c:f>
              <c:strCache>
                <c:ptCount val="1"/>
                <c:pt idx="0">
                  <c:v>Single Family</c:v>
                </c:pt>
              </c:strCache>
            </c:strRef>
          </c:tx>
          <c:spPr>
            <a:solidFill>
              <a:srgbClr val="9999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 (2)'!$E$23:$Y$23</c:f>
              <c:numCache>
                <c:formatCode>0</c:formatCode>
                <c:ptCount val="21"/>
                <c:pt idx="0">
                  <c:v>0</c:v>
                </c:pt>
                <c:pt idx="1">
                  <c:v>4617057.1370000001</c:v>
                </c:pt>
                <c:pt idx="2">
                  <c:v>4376218.9240000006</c:v>
                </c:pt>
                <c:pt idx="3">
                  <c:v>4233859.8609999996</c:v>
                </c:pt>
                <c:pt idx="4">
                  <c:v>4120075.4980000001</c:v>
                </c:pt>
                <c:pt idx="5">
                  <c:v>3925617.85</c:v>
                </c:pt>
                <c:pt idx="6">
                  <c:v>3816248.5130000003</c:v>
                </c:pt>
                <c:pt idx="7">
                  <c:v>3797987.8859999999</c:v>
                </c:pt>
                <c:pt idx="8">
                  <c:v>3758814.2899999996</c:v>
                </c:pt>
                <c:pt idx="9">
                  <c:v>3825610.4040000001</c:v>
                </c:pt>
                <c:pt idx="10">
                  <c:v>3852320.5490000001</c:v>
                </c:pt>
                <c:pt idx="11">
                  <c:v>3802857.7509999997</c:v>
                </c:pt>
                <c:pt idx="12">
                  <c:v>3702109.642</c:v>
                </c:pt>
                <c:pt idx="13">
                  <c:v>3705936.9270000001</c:v>
                </c:pt>
                <c:pt idx="14">
                  <c:v>3749173.8130000001</c:v>
                </c:pt>
                <c:pt idx="15">
                  <c:v>3733180.5279999999</c:v>
                </c:pt>
                <c:pt idx="16">
                  <c:v>3609683.0769999996</c:v>
                </c:pt>
                <c:pt idx="17">
                  <c:v>3603505.906</c:v>
                </c:pt>
                <c:pt idx="18">
                  <c:v>3612657.2790000001</c:v>
                </c:pt>
                <c:pt idx="19">
                  <c:v>3637183.1649999996</c:v>
                </c:pt>
              </c:numCache>
            </c:numRef>
          </c:val>
        </c:ser>
        <c:ser>
          <c:idx val="1"/>
          <c:order val="1"/>
          <c:tx>
            <c:strRef>
              <c:f>'SC-New'!#REF!</c:f>
              <c:strCache>
                <c:ptCount val="1"/>
                <c:pt idx="0">
                  <c:v>#REF!</c:v>
                </c:pt>
              </c:strCache>
            </c:strRef>
          </c:tx>
          <c:spPr>
            <a:solidFill>
              <a:srgbClr val="993366"/>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2"/>
          <c:order val="2"/>
          <c:tx>
            <c:strRef>
              <c:f>'SC-New (2)'!$C$24</c:f>
              <c:strCache>
                <c:ptCount val="1"/>
                <c:pt idx="0">
                  <c:v>Multifamily - Low Rise</c:v>
                </c:pt>
              </c:strCache>
            </c:strRef>
          </c:tx>
          <c:spPr>
            <a:solidFill>
              <a:srgbClr val="FFFFCC"/>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 (2)'!$E$24:$Y$24</c:f>
              <c:numCache>
                <c:formatCode>0</c:formatCode>
                <c:ptCount val="21"/>
                <c:pt idx="0">
                  <c:v>0</c:v>
                </c:pt>
                <c:pt idx="1">
                  <c:v>529400.61643888894</c:v>
                </c:pt>
                <c:pt idx="2">
                  <c:v>524666.99613648618</c:v>
                </c:pt>
                <c:pt idx="3">
                  <c:v>507976.07669865963</c:v>
                </c:pt>
                <c:pt idx="4">
                  <c:v>478810.63988718763</c:v>
                </c:pt>
                <c:pt idx="5">
                  <c:v>461616.42458913766</c:v>
                </c:pt>
                <c:pt idx="6">
                  <c:v>457420.11953962751</c:v>
                </c:pt>
                <c:pt idx="7">
                  <c:v>465924.41382565972</c:v>
                </c:pt>
                <c:pt idx="8">
                  <c:v>477258.46467835311</c:v>
                </c:pt>
                <c:pt idx="9">
                  <c:v>490229.6884341173</c:v>
                </c:pt>
                <c:pt idx="10">
                  <c:v>492275.5835148184</c:v>
                </c:pt>
                <c:pt idx="11">
                  <c:v>492410.16287993506</c:v>
                </c:pt>
                <c:pt idx="12">
                  <c:v>493197.24072250043</c:v>
                </c:pt>
                <c:pt idx="13">
                  <c:v>487826.90941002342</c:v>
                </c:pt>
                <c:pt idx="14">
                  <c:v>481946.09360528068</c:v>
                </c:pt>
                <c:pt idx="15">
                  <c:v>472085.12533663341</c:v>
                </c:pt>
                <c:pt idx="16">
                  <c:v>464036.62874374364</c:v>
                </c:pt>
                <c:pt idx="17">
                  <c:v>458153.6503321451</c:v>
                </c:pt>
                <c:pt idx="18">
                  <c:v>449332.46352757752</c:v>
                </c:pt>
                <c:pt idx="19">
                  <c:v>447632.60401335068</c:v>
                </c:pt>
              </c:numCache>
            </c:numRef>
          </c:val>
        </c:ser>
        <c:ser>
          <c:idx val="3"/>
          <c:order val="3"/>
          <c:tx>
            <c:strRef>
              <c:f>'SC-New (2)'!$C$26</c:f>
              <c:strCache>
                <c:ptCount val="1"/>
                <c:pt idx="0">
                  <c:v>Manufactured</c:v>
                </c:pt>
              </c:strCache>
            </c:strRef>
          </c:tx>
          <c:spPr>
            <a:solidFill>
              <a:srgbClr val="CCFF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 (2)'!$E$26:$Y$26</c:f>
              <c:numCache>
                <c:formatCode>0</c:formatCode>
                <c:ptCount val="21"/>
                <c:pt idx="0">
                  <c:v>0</c:v>
                </c:pt>
                <c:pt idx="1">
                  <c:v>64921.972554976848</c:v>
                </c:pt>
                <c:pt idx="2">
                  <c:v>67245.123814139661</c:v>
                </c:pt>
                <c:pt idx="3">
                  <c:v>69731.274449829594</c:v>
                </c:pt>
                <c:pt idx="4">
                  <c:v>67602.962899801205</c:v>
                </c:pt>
                <c:pt idx="5">
                  <c:v>66535.88702893474</c:v>
                </c:pt>
                <c:pt idx="6">
                  <c:v>66756.262037229404</c:v>
                </c:pt>
                <c:pt idx="7">
                  <c:v>67132.247130818592</c:v>
                </c:pt>
                <c:pt idx="8">
                  <c:v>67500.626226792199</c:v>
                </c:pt>
                <c:pt idx="9">
                  <c:v>67543.209962234294</c:v>
                </c:pt>
                <c:pt idx="10">
                  <c:v>67178.53254763507</c:v>
                </c:pt>
                <c:pt idx="11">
                  <c:v>67107.794155607378</c:v>
                </c:pt>
                <c:pt idx="12">
                  <c:v>67203.112010052821</c:v>
                </c:pt>
                <c:pt idx="13">
                  <c:v>67277.587005523383</c:v>
                </c:pt>
                <c:pt idx="14">
                  <c:v>67301.810317974203</c:v>
                </c:pt>
                <c:pt idx="15">
                  <c:v>67268.674333171191</c:v>
                </c:pt>
                <c:pt idx="16">
                  <c:v>67222.918394994005</c:v>
                </c:pt>
                <c:pt idx="17">
                  <c:v>67230.316036220509</c:v>
                </c:pt>
                <c:pt idx="18">
                  <c:v>67250.736349656014</c:v>
                </c:pt>
                <c:pt idx="19">
                  <c:v>67258.673739589882</c:v>
                </c:pt>
              </c:numCache>
            </c:numRef>
          </c:val>
        </c:ser>
        <c:ser>
          <c:idx val="4"/>
          <c:order val="4"/>
          <c:tx>
            <c:strRef>
              <c:f>'SC-New'!#REF!</c:f>
              <c:strCache>
                <c:ptCount val="1"/>
                <c:pt idx="0">
                  <c:v>#REF!</c:v>
                </c:pt>
              </c:strCache>
            </c:strRef>
          </c:tx>
          <c:spPr>
            <a:solidFill>
              <a:srgbClr val="660066"/>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5"/>
          <c:order val="5"/>
          <c:tx>
            <c:strRef>
              <c:f>'SC-New'!#REF!</c:f>
              <c:strCache>
                <c:ptCount val="1"/>
                <c:pt idx="0">
                  <c:v>#REF!</c:v>
                </c:pt>
              </c:strCache>
            </c:strRef>
          </c:tx>
          <c:spPr>
            <a:solidFill>
              <a:srgbClr val="FF808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6"/>
          <c:order val="6"/>
          <c:tx>
            <c:strRef>
              <c:f>'SC-New'!#REF!</c:f>
              <c:strCache>
                <c:ptCount val="1"/>
                <c:pt idx="0">
                  <c:v>#REF!</c:v>
                </c:pt>
              </c:strCache>
            </c:strRef>
          </c:tx>
          <c:spPr>
            <a:solidFill>
              <a:srgbClr val="0066CC"/>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7"/>
          <c:order val="7"/>
          <c:tx>
            <c:strRef>
              <c:f>'SC-New'!#REF!</c:f>
              <c:strCache>
                <c:ptCount val="1"/>
                <c:pt idx="0">
                  <c:v>#REF!</c:v>
                </c:pt>
              </c:strCache>
            </c:strRef>
          </c:tx>
          <c:spPr>
            <a:solidFill>
              <a:srgbClr val="CCCC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8"/>
          <c:order val="8"/>
          <c:tx>
            <c:strRef>
              <c:f>'SC-New'!#REF!</c:f>
              <c:strCache>
                <c:ptCount val="1"/>
                <c:pt idx="0">
                  <c:v>#REF!</c:v>
                </c:pt>
              </c:strCache>
            </c:strRef>
          </c:tx>
          <c:spPr>
            <a:solidFill>
              <a:srgbClr val="00008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9"/>
          <c:order val="9"/>
          <c:tx>
            <c:strRef>
              <c:f>'SC-New'!#REF!</c:f>
              <c:strCache>
                <c:ptCount val="1"/>
                <c:pt idx="0">
                  <c:v>#REF!</c:v>
                </c:pt>
              </c:strCache>
            </c:strRef>
          </c:tx>
          <c:spPr>
            <a:solidFill>
              <a:srgbClr val="FF00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0"/>
          <c:order val="10"/>
          <c:tx>
            <c:strRef>
              <c:f>'SC-New'!#REF!</c:f>
              <c:strCache>
                <c:ptCount val="1"/>
                <c:pt idx="0">
                  <c:v>#REF!</c:v>
                </c:pt>
              </c:strCache>
            </c:strRef>
          </c:tx>
          <c:spPr>
            <a:solidFill>
              <a:srgbClr val="FFFF0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1"/>
          <c:order val="11"/>
          <c:tx>
            <c:strRef>
              <c:f>'SC-New'!#REF!</c:f>
              <c:strCache>
                <c:ptCount val="1"/>
                <c:pt idx="0">
                  <c:v>#REF!</c:v>
                </c:pt>
              </c:strCache>
            </c:strRef>
          </c:tx>
          <c:spPr>
            <a:solidFill>
              <a:srgbClr val="00FF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2"/>
          <c:order val="12"/>
          <c:tx>
            <c:strRef>
              <c:f>'SC-New'!#REF!</c:f>
              <c:strCache>
                <c:ptCount val="1"/>
                <c:pt idx="0">
                  <c:v>#REF!</c:v>
                </c:pt>
              </c:strCache>
            </c:strRef>
          </c:tx>
          <c:spPr>
            <a:solidFill>
              <a:srgbClr val="80008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3"/>
          <c:order val="13"/>
          <c:tx>
            <c:strRef>
              <c:f>'SC-New'!#REF!</c:f>
              <c:strCache>
                <c:ptCount val="1"/>
                <c:pt idx="0">
                  <c:v>#REF!</c:v>
                </c:pt>
              </c:strCache>
            </c:strRef>
          </c:tx>
          <c:spPr>
            <a:solidFill>
              <a:srgbClr val="80000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4"/>
          <c:order val="14"/>
          <c:tx>
            <c:strRef>
              <c:f>'SC-New'!#REF!</c:f>
              <c:strCache>
                <c:ptCount val="1"/>
                <c:pt idx="0">
                  <c:v>#REF!</c:v>
                </c:pt>
              </c:strCache>
            </c:strRef>
          </c:tx>
          <c:spPr>
            <a:solidFill>
              <a:srgbClr val="008080"/>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5"/>
          <c:order val="15"/>
          <c:tx>
            <c:strRef>
              <c:f>'SC-New'!#REF!</c:f>
              <c:strCache>
                <c:ptCount val="1"/>
                <c:pt idx="0">
                  <c:v>#REF!</c:v>
                </c:pt>
              </c:strCache>
            </c:strRef>
          </c:tx>
          <c:spPr>
            <a:solidFill>
              <a:srgbClr val="0000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6"/>
          <c:order val="16"/>
          <c:tx>
            <c:strRef>
              <c:f>'SC-New'!#REF!</c:f>
              <c:strCache>
                <c:ptCount val="1"/>
                <c:pt idx="0">
                  <c:v>#REF!</c:v>
                </c:pt>
              </c:strCache>
            </c:strRef>
          </c:tx>
          <c:spPr>
            <a:solidFill>
              <a:srgbClr val="00CC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7"/>
          <c:order val="17"/>
          <c:tx>
            <c:strRef>
              <c:f>'SC-New'!#REF!</c:f>
              <c:strCache>
                <c:ptCount val="1"/>
                <c:pt idx="0">
                  <c:v>#REF!</c:v>
                </c:pt>
              </c:strCache>
            </c:strRef>
          </c:tx>
          <c:spPr>
            <a:solidFill>
              <a:srgbClr val="CCFFFF"/>
            </a:solidFill>
            <a:ln w="12700">
              <a:solidFill>
                <a:srgbClr val="000000"/>
              </a:solidFill>
              <a:prstDash val="solid"/>
            </a:ln>
          </c:spPr>
          <c:cat>
            <c:numRef>
              <c:f>'SC-New (2)'!$E$11:$Y$11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overlap val="100"/>
        <c:axId val="130891776"/>
        <c:axId val="130893312"/>
      </c:barChart>
      <c:catAx>
        <c:axId val="130891776"/>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30893312"/>
        <c:crosses val="autoZero"/>
        <c:auto val="1"/>
        <c:lblAlgn val="ctr"/>
        <c:lblOffset val="100"/>
        <c:tickLblSkip val="1"/>
        <c:tickMarkSkip val="1"/>
      </c:catAx>
      <c:valAx>
        <c:axId val="130893312"/>
        <c:scaling>
          <c:orientation val="minMax"/>
        </c:scaling>
        <c:axPos val="l"/>
        <c:majorGridlines>
          <c:spPr>
            <a:ln w="3175">
              <a:solidFill>
                <a:srgbClr val="000000"/>
              </a:solidFill>
              <a:prstDash val="solid"/>
            </a:ln>
          </c:spPr>
        </c:majorGridlines>
        <c:title>
          <c:tx>
            <c:strRef>
              <c:f>'SC-New (2)'!$C$11</c:f>
              <c:strCache>
                <c:ptCount val="1"/>
                <c:pt idx="0">
                  <c:v># homes</c:v>
                </c:pt>
              </c:strCache>
            </c:strRef>
          </c:tx>
          <c:layout>
            <c:manualLayout>
              <c:xMode val="edge"/>
              <c:yMode val="edge"/>
              <c:x val="7.0265697188384713E-2"/>
              <c:y val="0.40489130434782838"/>
            </c:manualLayout>
          </c:layout>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30891776"/>
        <c:crosses val="autoZero"/>
        <c:crossBetween val="between"/>
      </c:valAx>
      <c:spPr>
        <a:solidFill>
          <a:srgbClr val="C0C0C0"/>
        </a:solidFill>
        <a:ln w="12700">
          <a:solidFill>
            <a:srgbClr val="808080"/>
          </a:solidFill>
          <a:prstDash val="solid"/>
        </a:ln>
      </c:spPr>
    </c:plotArea>
    <c:legend>
      <c:legendPos val="r"/>
      <c:layout>
        <c:manualLayout>
          <c:xMode val="edge"/>
          <c:yMode val="edge"/>
          <c:x val="0.92545064589579806"/>
          <c:y val="5.9782608695652183E-2"/>
          <c:w val="6.7695000949785533E-2"/>
          <c:h val="0.93206521739130765"/>
        </c:manualLayout>
      </c:layout>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01" r="0.750000000000010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30</xdr:col>
      <xdr:colOff>247650</xdr:colOff>
      <xdr:row>20</xdr:row>
      <xdr:rowOff>152400</xdr:rowOff>
    </xdr:from>
    <xdr:to>
      <xdr:col>39</xdr:col>
      <xdr:colOff>190500</xdr:colOff>
      <xdr:row>28</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247650</xdr:colOff>
      <xdr:row>20</xdr:row>
      <xdr:rowOff>152400</xdr:rowOff>
    </xdr:from>
    <xdr:to>
      <xdr:col>39</xdr:col>
      <xdr:colOff>190500</xdr:colOff>
      <xdr:row>28</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504825</xdr:colOff>
      <xdr:row>2</xdr:row>
      <xdr:rowOff>104775</xdr:rowOff>
    </xdr:from>
    <xdr:to>
      <xdr:col>22</xdr:col>
      <xdr:colOff>19050</xdr:colOff>
      <xdr:row>21</xdr:row>
      <xdr:rowOff>95250</xdr:rowOff>
    </xdr:to>
    <xdr:pic>
      <xdr:nvPicPr>
        <xdr:cNvPr id="235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162425" y="428625"/>
          <a:ext cx="9267825" cy="3067050"/>
        </a:xfrm>
        <a:prstGeom prst="rect">
          <a:avLst/>
        </a:prstGeom>
        <a:noFill/>
        <a:ln w="1">
          <a:noFill/>
          <a:miter lim="800000"/>
          <a:headEnd/>
          <a:tailEnd type="none" w="med" len="med"/>
        </a:ln>
        <a:effectLst/>
      </xdr:spPr>
    </xdr:pic>
    <xdr:clientData/>
  </xdr:twoCellAnchor>
  <xdr:twoCellAnchor editAs="oneCell">
    <xdr:from>
      <xdr:col>7</xdr:col>
      <xdr:colOff>361950</xdr:colOff>
      <xdr:row>24</xdr:row>
      <xdr:rowOff>152400</xdr:rowOff>
    </xdr:from>
    <xdr:to>
      <xdr:col>20</xdr:col>
      <xdr:colOff>57150</xdr:colOff>
      <xdr:row>39</xdr:row>
      <xdr:rowOff>76200</xdr:rowOff>
    </xdr:to>
    <xdr:pic>
      <xdr:nvPicPr>
        <xdr:cNvPr id="2355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4629150" y="4038600"/>
          <a:ext cx="7620000" cy="23526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2095500</xdr:colOff>
      <xdr:row>7</xdr:row>
      <xdr:rowOff>0</xdr:rowOff>
    </xdr:from>
    <xdr:to>
      <xdr:col>3</xdr:col>
      <xdr:colOff>1019175</xdr:colOff>
      <xdr:row>7</xdr:row>
      <xdr:rowOff>0</xdr:rowOff>
    </xdr:to>
    <xdr:sp macro="" textlink="">
      <xdr:nvSpPr>
        <xdr:cNvPr id="2" name="AutoShape 1"/>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3" name="AutoShape 2"/>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4" name="AutoShape 3"/>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5" name="AutoShape 4"/>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6" name="AutoShape 5"/>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7" name="AutoShape 6"/>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8" name="AutoShape 7"/>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9" name="AutoShape 8"/>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0" name="AutoShape 9"/>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1" name="AutoShape 10"/>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2" name="AutoShape 11"/>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3" name="AutoShape 12"/>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4" name="AutoShape 13"/>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5" name="AutoShape 14"/>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6" name="AutoShape 15"/>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7" name="AutoShape 16"/>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8" name="AutoShape 17"/>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19" name="AutoShape 18"/>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0" name="AutoShape 19"/>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1" name="AutoShape 20"/>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2" name="AutoShape 21"/>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3" name="AutoShape 22"/>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4" name="AutoShape 23"/>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5" name="AutoShape 24"/>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6" name="AutoShape 25"/>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7" name="AutoShape 26"/>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3</xdr:col>
      <xdr:colOff>2095500</xdr:colOff>
      <xdr:row>7</xdr:row>
      <xdr:rowOff>0</xdr:rowOff>
    </xdr:from>
    <xdr:to>
      <xdr:col>3</xdr:col>
      <xdr:colOff>1019175</xdr:colOff>
      <xdr:row>7</xdr:row>
      <xdr:rowOff>0</xdr:rowOff>
    </xdr:to>
    <xdr:sp macro="" textlink="">
      <xdr:nvSpPr>
        <xdr:cNvPr id="28" name="AutoShape 27"/>
        <xdr:cNvSpPr>
          <a:spLocks noChangeArrowheads="1"/>
        </xdr:cNvSpPr>
      </xdr:nvSpPr>
      <xdr:spPr bwMode="auto">
        <a:xfrm>
          <a:off x="722947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276225</xdr:colOff>
      <xdr:row>4</xdr:row>
      <xdr:rowOff>85725</xdr:rowOff>
    </xdr:from>
    <xdr:to>
      <xdr:col>21</xdr:col>
      <xdr:colOff>218320</xdr:colOff>
      <xdr:row>32</xdr:row>
      <xdr:rowOff>46977</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372600" y="1752600"/>
          <a:ext cx="6038095" cy="48571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352425</xdr:colOff>
      <xdr:row>42</xdr:row>
      <xdr:rowOff>28575</xdr:rowOff>
    </xdr:from>
    <xdr:to>
      <xdr:col>22</xdr:col>
      <xdr:colOff>475283</xdr:colOff>
      <xdr:row>66</xdr:row>
      <xdr:rowOff>154784</xdr:rowOff>
    </xdr:to>
    <xdr:pic>
      <xdr:nvPicPr>
        <xdr:cNvPr id="2" name="Picture 1"/>
        <xdr:cNvPicPr>
          <a:picLocks noChangeAspect="1"/>
        </xdr:cNvPicPr>
      </xdr:nvPicPr>
      <xdr:blipFill rotWithShape="1">
        <a:blip xmlns:r="http://schemas.openxmlformats.org/officeDocument/2006/relationships" r:embed="rId1" cstate="print"/>
        <a:srcRect l="6701" t="42303" r="19671"/>
        <a:stretch/>
      </xdr:blipFill>
      <xdr:spPr>
        <a:xfrm>
          <a:off x="7934325" y="7296150"/>
          <a:ext cx="6828458" cy="48220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37</xdr:row>
      <xdr:rowOff>123825</xdr:rowOff>
    </xdr:from>
    <xdr:to>
      <xdr:col>5</xdr:col>
      <xdr:colOff>117964</xdr:colOff>
      <xdr:row>44</xdr:row>
      <xdr:rowOff>437826</xdr:rowOff>
    </xdr:to>
    <xdr:pic>
      <xdr:nvPicPr>
        <xdr:cNvPr id="2" name="Picture 316"/>
        <xdr:cNvPicPr>
          <a:picLocks noChangeAspect="1" noChangeArrowheads="1"/>
        </xdr:cNvPicPr>
      </xdr:nvPicPr>
      <xdr:blipFill>
        <a:blip xmlns:r="http://schemas.openxmlformats.org/officeDocument/2006/relationships" r:embed="rId1" cstate="print"/>
        <a:srcRect l="13345" t="24524" r="10550"/>
        <a:stretch>
          <a:fillRect/>
        </a:stretch>
      </xdr:blipFill>
      <xdr:spPr bwMode="auto">
        <a:xfrm>
          <a:off x="1866900" y="8772525"/>
          <a:ext cx="3575539" cy="2733351"/>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400050</xdr:colOff>
      <xdr:row>8</xdr:row>
      <xdr:rowOff>28575</xdr:rowOff>
    </xdr:to>
    <xdr:pic>
      <xdr:nvPicPr>
        <xdr:cNvPr id="245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53600" cy="1666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DEI Forecast (Base Case)"/>
      <sheetName val="DEI Forecast (High)"/>
      <sheetName val="DEI Forecast (Low)"/>
      <sheetName val="DataCenter Forecast (Base Case)"/>
      <sheetName val="DataCenter Forecast (High)"/>
      <sheetName val="DataCenter Forecast (Low)"/>
      <sheetName val="Pop Forecast (High Case)"/>
      <sheetName val="Pop Forecast (Low Case)"/>
      <sheetName val="7P Forecasts D2"/>
    </sheetNames>
    <definedNames>
      <definedName name="rng_ForecastColumnLookup" refersTo="='Forecast Switchboard'!$H$21:$AE$21"/>
      <definedName name="rng_ForecastRowLookup" refersTo="='Forecast Switchboard'!$G$22:$G$502"/>
      <definedName name="switch_ForecastScenario" refersTo="='Forecast Switchboard'!$H$3"/>
      <definedName name="switch_ForecastState" refersTo="='Forecast Switchboard'!$H$4"/>
      <definedName name="tbl_Forecast" refersTo="='Forecast Switchboard'!$H$22:$AE$502"/>
    </definedNames>
    <sheetDataSet>
      <sheetData sheetId="0"/>
      <sheetData sheetId="1">
        <row r="3">
          <cell r="H3" t="str">
            <v>Base</v>
          </cell>
        </row>
        <row r="4">
          <cell r="H4" t="str">
            <v>Region</v>
          </cell>
        </row>
        <row r="21">
          <cell r="H21" t="str">
            <v>Sector</v>
          </cell>
          <cell r="I21" t="str">
            <v>Building/Industry Type</v>
          </cell>
          <cell r="J21" t="str">
            <v>Vintage / Subcategory</v>
          </cell>
          <cell r="K21" t="str">
            <v>Forecast Units</v>
          </cell>
          <cell r="L21">
            <v>2016</v>
          </cell>
          <cell r="M21">
            <v>2017</v>
          </cell>
          <cell r="N21">
            <v>2018</v>
          </cell>
          <cell r="O21">
            <v>2019</v>
          </cell>
          <cell r="P21">
            <v>2020</v>
          </cell>
          <cell r="Q21">
            <v>2021</v>
          </cell>
          <cell r="R21">
            <v>2022</v>
          </cell>
          <cell r="S21">
            <v>2023</v>
          </cell>
          <cell r="T21">
            <v>2024</v>
          </cell>
          <cell r="U21">
            <v>2025</v>
          </cell>
          <cell r="V21">
            <v>2026</v>
          </cell>
          <cell r="W21">
            <v>2027</v>
          </cell>
          <cell r="X21">
            <v>2028</v>
          </cell>
          <cell r="Y21">
            <v>2029</v>
          </cell>
          <cell r="Z21">
            <v>2030</v>
          </cell>
          <cell r="AA21">
            <v>2031</v>
          </cell>
          <cell r="AB21">
            <v>2032</v>
          </cell>
          <cell r="AC21">
            <v>2033</v>
          </cell>
          <cell r="AD21">
            <v>2034</v>
          </cell>
          <cell r="AE21">
            <v>2035</v>
          </cell>
        </row>
        <row r="22">
          <cell r="G22" t="str">
            <v>RegionSingle FamilyNew</v>
          </cell>
          <cell r="H22" t="str">
            <v>Res</v>
          </cell>
          <cell r="I22" t="str">
            <v>Single Family</v>
          </cell>
          <cell r="J22" t="str">
            <v>New</v>
          </cell>
          <cell r="K22" t="str">
            <v>Buildings</v>
          </cell>
          <cell r="L22">
            <v>62685.758999999998</v>
          </cell>
          <cell r="M22">
            <v>59961.781000000003</v>
          </cell>
          <cell r="N22">
            <v>56834.012000000002</v>
          </cell>
          <cell r="O22">
            <v>54985.192999999999</v>
          </cell>
          <cell r="P22">
            <v>53507.474000000002</v>
          </cell>
          <cell r="Q22">
            <v>50982.05</v>
          </cell>
          <cell r="R22">
            <v>49561.669000000002</v>
          </cell>
          <cell r="S22">
            <v>49324.517999999996</v>
          </cell>
          <cell r="T22">
            <v>48815.77</v>
          </cell>
          <cell r="U22">
            <v>49683.252</v>
          </cell>
          <cell r="V22">
            <v>50030.137000000002</v>
          </cell>
          <cell r="W22">
            <v>49387.762999999999</v>
          </cell>
          <cell r="X22">
            <v>48079.345999999998</v>
          </cell>
          <cell r="Y22">
            <v>48129.050999999999</v>
          </cell>
          <cell r="Z22">
            <v>48690.569000000003</v>
          </cell>
          <cell r="AA22">
            <v>48482.864000000001</v>
          </cell>
          <cell r="AB22">
            <v>46879.000999999997</v>
          </cell>
          <cell r="AC22">
            <v>46798.777999999998</v>
          </cell>
          <cell r="AD22">
            <v>46917.627</v>
          </cell>
          <cell r="AE22">
            <v>47236.144999999997</v>
          </cell>
        </row>
        <row r="23">
          <cell r="G23" t="str">
            <v>RegionMultifamily - Low RiseNew</v>
          </cell>
          <cell r="H23" t="str">
            <v>Res</v>
          </cell>
          <cell r="I23" t="str">
            <v>Multifamily - Low Rise</v>
          </cell>
          <cell r="J23" t="str">
            <v>New</v>
          </cell>
          <cell r="K23" t="str">
            <v>Buildings</v>
          </cell>
          <cell r="L23">
            <v>23280.347100904564</v>
          </cell>
          <cell r="M23">
            <v>23017.418106038647</v>
          </cell>
          <cell r="N23">
            <v>22811.60852767331</v>
          </cell>
          <cell r="O23">
            <v>22085.916378202593</v>
          </cell>
          <cell r="P23">
            <v>20817.853908138593</v>
          </cell>
          <cell r="Q23">
            <v>20070.279329962508</v>
          </cell>
          <cell r="R23">
            <v>19887.831284331631</v>
          </cell>
          <cell r="S23">
            <v>20257.583209811291</v>
          </cell>
          <cell r="T23">
            <v>20750.368029493613</v>
          </cell>
          <cell r="U23">
            <v>21314.334279744231</v>
          </cell>
          <cell r="V23">
            <v>21403.286239774712</v>
          </cell>
          <cell r="W23">
            <v>21409.137516518917</v>
          </cell>
          <cell r="X23">
            <v>21443.358292282628</v>
          </cell>
          <cell r="Y23">
            <v>21209.865626522758</v>
          </cell>
          <cell r="Z23">
            <v>20954.17798283829</v>
          </cell>
          <cell r="AA23">
            <v>20525.44023202754</v>
          </cell>
          <cell r="AB23">
            <v>20175.505597554071</v>
          </cell>
          <cell r="AC23">
            <v>19919.723927484571</v>
          </cell>
          <cell r="AD23">
            <v>19536.194066416414</v>
          </cell>
          <cell r="AE23">
            <v>19462.287131015248</v>
          </cell>
        </row>
        <row r="24">
          <cell r="G24" t="str">
            <v>RegionMultifamily - High RiseNew</v>
          </cell>
          <cell r="H24" t="str">
            <v>Res</v>
          </cell>
          <cell r="I24" t="str">
            <v>Multifamily - High Rise</v>
          </cell>
          <cell r="J24" t="str">
            <v>New</v>
          </cell>
          <cell r="K24" t="str">
            <v>Buildings</v>
          </cell>
          <cell r="L24">
            <v>5226.2387411561367</v>
          </cell>
          <cell r="M24">
            <v>5239.95312759432</v>
          </cell>
          <cell r="N24">
            <v>5271.2612760989568</v>
          </cell>
          <cell r="O24">
            <v>4985.883552972361</v>
          </cell>
          <cell r="P24">
            <v>4608.5912035798974</v>
          </cell>
          <cell r="Q24">
            <v>4509.6375960361838</v>
          </cell>
          <cell r="R24">
            <v>4481.760351096189</v>
          </cell>
          <cell r="S24">
            <v>4621.8312800578688</v>
          </cell>
          <cell r="T24">
            <v>4700.9782942419988</v>
          </cell>
          <cell r="U24">
            <v>4828.2391631488581</v>
          </cell>
          <cell r="V24">
            <v>4790.0249139778334</v>
          </cell>
          <cell r="W24">
            <v>4782.0649962402858</v>
          </cell>
          <cell r="X24">
            <v>4748.3908346265653</v>
          </cell>
          <cell r="Y24">
            <v>4733.4823682495089</v>
          </cell>
          <cell r="Z24">
            <v>4698.697177079107</v>
          </cell>
          <cell r="AA24">
            <v>4599.2987885998937</v>
          </cell>
          <cell r="AB24">
            <v>4526.3104216428001</v>
          </cell>
          <cell r="AC24">
            <v>4422.0600452822764</v>
          </cell>
          <cell r="AD24">
            <v>4405.182362066379</v>
          </cell>
          <cell r="AE24">
            <v>4385.1136986120664</v>
          </cell>
        </row>
        <row r="25">
          <cell r="G25" t="str">
            <v>RegionManufacturedNew</v>
          </cell>
          <cell r="H25" t="str">
            <v>Res</v>
          </cell>
          <cell r="I25" t="str">
            <v>Manufactured</v>
          </cell>
          <cell r="J25" t="str">
            <v>New</v>
          </cell>
          <cell r="K25" t="str">
            <v>Buildings</v>
          </cell>
          <cell r="L25">
            <v>1869.5754050925925</v>
          </cell>
          <cell r="M25">
            <v>1881.796305941358</v>
          </cell>
          <cell r="N25">
            <v>1949.1340235982509</v>
          </cell>
          <cell r="O25">
            <v>2021.1963608646258</v>
          </cell>
          <cell r="P25">
            <v>1959.5061710087307</v>
          </cell>
          <cell r="Q25">
            <v>1928.5764356212967</v>
          </cell>
          <cell r="R25">
            <v>1934.9641170211423</v>
          </cell>
          <cell r="S25">
            <v>1945.862235675901</v>
          </cell>
          <cell r="T25">
            <v>1956.539890631658</v>
          </cell>
          <cell r="U25">
            <v>1957.7742018038925</v>
          </cell>
          <cell r="V25">
            <v>1947.2038419604366</v>
          </cell>
          <cell r="W25">
            <v>1945.153453785721</v>
          </cell>
          <cell r="X25">
            <v>1947.9162901464586</v>
          </cell>
          <cell r="Y25">
            <v>1950.0749856673444</v>
          </cell>
          <cell r="Z25">
            <v>1950.7771106659191</v>
          </cell>
          <cell r="AA25">
            <v>1949.8166473382953</v>
          </cell>
          <cell r="AB25">
            <v>1948.4903882606959</v>
          </cell>
          <cell r="AC25">
            <v>1948.7048126440727</v>
          </cell>
          <cell r="AD25">
            <v>1949.296705787131</v>
          </cell>
          <cell r="AE25">
            <v>1949.5267750605763</v>
          </cell>
        </row>
        <row r="26">
          <cell r="G26" t="str">
            <v>RegionSingle FamilyExisting</v>
          </cell>
          <cell r="H26" t="str">
            <v>Res</v>
          </cell>
          <cell r="I26" t="str">
            <v>Single Family</v>
          </cell>
          <cell r="J26" t="str">
            <v>Existing</v>
          </cell>
          <cell r="K26" t="str">
            <v>Buildings</v>
          </cell>
          <cell r="L26">
            <v>4203528.2719999999</v>
          </cell>
          <cell r="M26">
            <v>4193982.9785983553</v>
          </cell>
          <cell r="N26">
            <v>4184459.3604704877</v>
          </cell>
          <cell r="O26">
            <v>4174957.36839659</v>
          </cell>
          <cell r="P26">
            <v>4165476.9532686244</v>
          </cell>
          <cell r="Q26">
            <v>4156018.0660900641</v>
          </cell>
          <cell r="R26">
            <v>4146580.6579756448</v>
          </cell>
          <cell r="S26">
            <v>4137164.6801511091</v>
          </cell>
          <cell r="T26">
            <v>4127770.0839529554</v>
          </cell>
          <cell r="U26">
            <v>4118396.8208281873</v>
          </cell>
          <cell r="V26">
            <v>4109044.8423340586</v>
          </cell>
          <cell r="W26">
            <v>4099714.1001378288</v>
          </cell>
          <cell r="X26">
            <v>4090404.5460165106</v>
          </cell>
          <cell r="Y26">
            <v>4081116.1318566194</v>
          </cell>
          <cell r="Z26">
            <v>4071848.8096539262</v>
          </cell>
          <cell r="AA26">
            <v>4062602.5315132081</v>
          </cell>
          <cell r="AB26">
            <v>4053377.2496480034</v>
          </cell>
          <cell r="AC26">
            <v>4044172.9163803621</v>
          </cell>
          <cell r="AD26">
            <v>4034989.4841406001</v>
          </cell>
          <cell r="AE26">
            <v>4025826.9054670548</v>
          </cell>
        </row>
        <row r="27">
          <cell r="G27" t="str">
            <v>RegionMultifamily - Low RiseExisting</v>
          </cell>
          <cell r="H27" t="str">
            <v>Res</v>
          </cell>
          <cell r="I27" t="str">
            <v>Multifamily - Low Rise</v>
          </cell>
          <cell r="J27" t="str">
            <v>Existing</v>
          </cell>
          <cell r="K27" t="str">
            <v>Buildings</v>
          </cell>
          <cell r="L27">
            <v>926243.25609262148</v>
          </cell>
          <cell r="M27">
            <v>924139.92640956037</v>
          </cell>
          <cell r="N27">
            <v>922041.3730050053</v>
          </cell>
          <cell r="O27">
            <v>919947.58503289847</v>
          </cell>
          <cell r="P27">
            <v>917858.55167181045</v>
          </cell>
          <cell r="Q27">
            <v>915774.26212488639</v>
          </cell>
          <cell r="R27">
            <v>913694.70561978838</v>
          </cell>
          <cell r="S27">
            <v>911619.87140864041</v>
          </cell>
          <cell r="T27">
            <v>909549.74876797362</v>
          </cell>
          <cell r="U27">
            <v>907484.32699866977</v>
          </cell>
          <cell r="V27">
            <v>905423.59542590659</v>
          </cell>
          <cell r="W27">
            <v>903367.54339910217</v>
          </cell>
          <cell r="X27">
            <v>901316.16029185988</v>
          </cell>
          <cell r="Y27">
            <v>899269.43550191447</v>
          </cell>
          <cell r="Z27">
            <v>897227.35845107585</v>
          </cell>
          <cell r="AA27">
            <v>895189.9185851753</v>
          </cell>
          <cell r="AB27">
            <v>893157.10537401051</v>
          </cell>
          <cell r="AC27">
            <v>891128.90831129183</v>
          </cell>
          <cell r="AD27">
            <v>889105.31691458682</v>
          </cell>
          <cell r="AE27">
            <v>887086.32072526717</v>
          </cell>
        </row>
        <row r="28">
          <cell r="G28" t="str">
            <v>RegionMultifamily - High RiseExisting</v>
          </cell>
          <cell r="H28" t="str">
            <v>Res</v>
          </cell>
          <cell r="I28" t="str">
            <v>Multifamily - High Rise</v>
          </cell>
          <cell r="J28" t="str">
            <v>Existing</v>
          </cell>
          <cell r="K28" t="str">
            <v>Buildings</v>
          </cell>
          <cell r="L28">
            <v>211180.07985625503</v>
          </cell>
          <cell r="M28">
            <v>210700.52836963299</v>
          </cell>
          <cell r="N28">
            <v>210222.06585706791</v>
          </cell>
          <cell r="O28">
            <v>209744.68984569819</v>
          </cell>
          <cell r="P28">
            <v>209268.39786827751</v>
          </cell>
          <cell r="Q28">
            <v>208793.18746316229</v>
          </cell>
          <cell r="R28">
            <v>208319.05617429892</v>
          </cell>
          <cell r="S28">
            <v>207846.00155121088</v>
          </cell>
          <cell r="T28">
            <v>207374.0211489865</v>
          </cell>
          <cell r="U28">
            <v>206903.11252826577</v>
          </cell>
          <cell r="V28">
            <v>206433.27325522827</v>
          </cell>
          <cell r="W28">
            <v>205964.50090158021</v>
          </cell>
          <cell r="X28">
            <v>205496.79304454199</v>
          </cell>
          <cell r="Y28">
            <v>205030.14726683579</v>
          </cell>
          <cell r="Z28">
            <v>204564.56115667295</v>
          </cell>
          <cell r="AA28">
            <v>204100.03230774152</v>
          </cell>
          <cell r="AB28">
            <v>203636.55831919383</v>
          </cell>
          <cell r="AC28">
            <v>203174.13679563423</v>
          </cell>
          <cell r="AD28">
            <v>202712.76534710638</v>
          </cell>
          <cell r="AE28">
            <v>202252.44158908122</v>
          </cell>
        </row>
        <row r="29">
          <cell r="G29" t="str">
            <v>RegionManufacturedExisting</v>
          </cell>
          <cell r="H29" t="str">
            <v>Res</v>
          </cell>
          <cell r="I29" t="str">
            <v>Manufactured</v>
          </cell>
          <cell r="J29" t="str">
            <v>Existing</v>
          </cell>
          <cell r="K29" t="str">
            <v>Buildings</v>
          </cell>
          <cell r="L29">
            <v>572006.3278356482</v>
          </cell>
          <cell r="M29">
            <v>565893.30394507048</v>
          </cell>
          <cell r="N29">
            <v>559845.60985814757</v>
          </cell>
          <cell r="O29">
            <v>553862.54739615123</v>
          </cell>
          <cell r="P29">
            <v>547943.42584177968</v>
          </cell>
          <cell r="Q29">
            <v>542087.56185941794</v>
          </cell>
          <cell r="R29">
            <v>536294.27941624937</v>
          </cell>
          <cell r="S29">
            <v>530562.90970421082</v>
          </cell>
          <cell r="T29">
            <v>524892.79106278194</v>
          </cell>
          <cell r="U29">
            <v>519283.26890259917</v>
          </cell>
          <cell r="V29">
            <v>513733.69562988722</v>
          </cell>
          <cell r="W29">
            <v>508243.4305716962</v>
          </cell>
          <cell r="X29">
            <v>502811.8399019395</v>
          </cell>
          <cell r="Y29">
            <v>497438.2965682213</v>
          </cell>
          <cell r="Z29">
            <v>492122.18021944637</v>
          </cell>
          <cell r="AA29">
            <v>486862.87713420321</v>
          </cell>
          <cell r="AB29">
            <v>481659.78014991269</v>
          </cell>
          <cell r="AC29">
            <v>476512.28859273402</v>
          </cell>
          <cell r="AD29">
            <v>471419.80820821953</v>
          </cell>
          <cell r="AE29">
            <v>466381.75109271082</v>
          </cell>
        </row>
        <row r="30">
          <cell r="G30" t="str">
            <v>RegionLarge OffNew</v>
          </cell>
          <cell r="H30" t="str">
            <v>Com</v>
          </cell>
          <cell r="I30" t="str">
            <v>Large Off</v>
          </cell>
          <cell r="J30" t="str">
            <v>New</v>
          </cell>
          <cell r="K30" t="str">
            <v>Millions SqFt</v>
          </cell>
          <cell r="L30">
            <v>7.8066550111953834</v>
          </cell>
          <cell r="M30">
            <v>5.9496992573140863</v>
          </cell>
          <cell r="N30">
            <v>5.890903545908837</v>
          </cell>
          <cell r="O30">
            <v>6.8915688291332424</v>
          </cell>
          <cell r="P30">
            <v>6.6410191533148355</v>
          </cell>
          <cell r="Q30">
            <v>5.4382226791221893</v>
          </cell>
          <cell r="R30">
            <v>6.9236851515846078</v>
          </cell>
          <cell r="S30">
            <v>6.040566884985755</v>
          </cell>
          <cell r="T30">
            <v>5.8620040343764588</v>
          </cell>
          <cell r="U30">
            <v>6.6048352977963205</v>
          </cell>
          <cell r="V30">
            <v>6.6081856774849808</v>
          </cell>
          <cell r="W30">
            <v>7.2276230030590352</v>
          </cell>
          <cell r="X30">
            <v>7.9321378463678132</v>
          </cell>
          <cell r="Y30">
            <v>7.2590370336019197</v>
          </cell>
          <cell r="Z30">
            <v>7.9122271387396417</v>
          </cell>
          <cell r="AA30">
            <v>7.7623340380974311</v>
          </cell>
          <cell r="AB30">
            <v>7.6402299023279152</v>
          </cell>
          <cell r="AC30">
            <v>7.1724831299946894</v>
          </cell>
          <cell r="AD30">
            <v>7.0810470955732994</v>
          </cell>
          <cell r="AE30">
            <v>7.4281005850341701</v>
          </cell>
        </row>
        <row r="31">
          <cell r="G31" t="str">
            <v>RegionMedium OffNew</v>
          </cell>
          <cell r="H31" t="str">
            <v>Com</v>
          </cell>
          <cell r="I31" t="str">
            <v>Medium Off</v>
          </cell>
          <cell r="J31" t="str">
            <v>New</v>
          </cell>
          <cell r="K31" t="str">
            <v>Millions SqFt</v>
          </cell>
          <cell r="L31">
            <v>6.3306892326899415</v>
          </cell>
          <cell r="M31">
            <v>4.6245517962703104</v>
          </cell>
          <cell r="N31">
            <v>4.6954401235311058</v>
          </cell>
          <cell r="O31">
            <v>5.5561738496820645</v>
          </cell>
          <cell r="P31">
            <v>5.2903315868283292</v>
          </cell>
          <cell r="Q31">
            <v>4.0954748538564614</v>
          </cell>
          <cell r="R31">
            <v>5.6166455086822502</v>
          </cell>
          <cell r="S31">
            <v>4.8928421056079552</v>
          </cell>
          <cell r="T31">
            <v>4.6489885594062974</v>
          </cell>
          <cell r="U31">
            <v>5.3600762751998365</v>
          </cell>
          <cell r="V31">
            <v>5.3451061612370649</v>
          </cell>
          <cell r="W31">
            <v>5.7169042762389006</v>
          </cell>
          <cell r="X31">
            <v>6.1644080859749115</v>
          </cell>
          <cell r="Y31">
            <v>5.8003829082546376</v>
          </cell>
          <cell r="Z31">
            <v>6.4331999103991837</v>
          </cell>
          <cell r="AA31">
            <v>6.1077443299386847</v>
          </cell>
          <cell r="AB31">
            <v>6.3133258324543373</v>
          </cell>
          <cell r="AC31">
            <v>5.5403053352108875</v>
          </cell>
          <cell r="AD31">
            <v>5.5266028757425794</v>
          </cell>
          <cell r="AE31">
            <v>5.9833355534459063</v>
          </cell>
        </row>
        <row r="32">
          <cell r="G32" t="str">
            <v>RegionSmall OffNew</v>
          </cell>
          <cell r="H32" t="str">
            <v>Com</v>
          </cell>
          <cell r="I32" t="str">
            <v>Small Off</v>
          </cell>
          <cell r="J32" t="str">
            <v>New</v>
          </cell>
          <cell r="K32" t="str">
            <v>Millions SqFt</v>
          </cell>
          <cell r="L32">
            <v>1.6621196768024407</v>
          </cell>
          <cell r="M32">
            <v>1.2170657423442173</v>
          </cell>
          <cell r="N32">
            <v>1.2444333527444498</v>
          </cell>
          <cell r="O32">
            <v>1.4586094503549032</v>
          </cell>
          <cell r="P32">
            <v>1.4004070058555529</v>
          </cell>
          <cell r="Q32">
            <v>1.0787722980410579</v>
          </cell>
          <cell r="R32">
            <v>1.4747976167420549</v>
          </cell>
          <cell r="S32">
            <v>1.2896357804774434</v>
          </cell>
          <cell r="T32">
            <v>1.2239291307589197</v>
          </cell>
          <cell r="U32">
            <v>1.4012443744673324</v>
          </cell>
          <cell r="V32">
            <v>1.3991315932028052</v>
          </cell>
          <cell r="W32">
            <v>1.4996248899933684</v>
          </cell>
          <cell r="X32">
            <v>1.6197763904689295</v>
          </cell>
          <cell r="Y32">
            <v>1.5187400891362097</v>
          </cell>
          <cell r="Z32">
            <v>1.6890757136254622</v>
          </cell>
          <cell r="AA32">
            <v>1.5972356158259797</v>
          </cell>
          <cell r="AB32">
            <v>1.640465747141107</v>
          </cell>
          <cell r="AC32">
            <v>1.4565955217811706</v>
          </cell>
          <cell r="AD32">
            <v>1.4531741906643101</v>
          </cell>
          <cell r="AE32">
            <v>1.5648660344158036</v>
          </cell>
        </row>
        <row r="33">
          <cell r="G33" t="str">
            <v>RegionXLarge RetNew</v>
          </cell>
          <cell r="H33" t="str">
            <v>Com</v>
          </cell>
          <cell r="I33" t="str">
            <v>XLarge Ret</v>
          </cell>
          <cell r="J33" t="str">
            <v>New</v>
          </cell>
          <cell r="K33" t="str">
            <v>Millions SqFt</v>
          </cell>
          <cell r="L33">
            <v>1.799418169017593</v>
          </cell>
          <cell r="M33">
            <v>1.485755176968429</v>
          </cell>
          <cell r="N33">
            <v>0.89794362681754358</v>
          </cell>
          <cell r="O33">
            <v>0.91201694404352718</v>
          </cell>
          <cell r="P33">
            <v>0.85125423267540556</v>
          </cell>
          <cell r="Q33">
            <v>0.73204497427617965</v>
          </cell>
          <cell r="R33">
            <v>0.73428349109996394</v>
          </cell>
          <cell r="S33">
            <v>0.71341173425108251</v>
          </cell>
          <cell r="T33">
            <v>0.89455902577447755</v>
          </cell>
          <cell r="U33">
            <v>1.032083805968905</v>
          </cell>
          <cell r="V33">
            <v>1.0963398187475875</v>
          </cell>
          <cell r="W33">
            <v>1.617287860192538</v>
          </cell>
          <cell r="X33">
            <v>1.8239074921539626</v>
          </cell>
          <cell r="Y33">
            <v>1.6267354909009817</v>
          </cell>
          <cell r="Z33">
            <v>1.5970323938843554</v>
          </cell>
          <cell r="AA33">
            <v>1.5393396581386409</v>
          </cell>
          <cell r="AB33">
            <v>1.2960530677092543</v>
          </cell>
          <cell r="AC33">
            <v>1.3176455108269955</v>
          </cell>
          <cell r="AD33">
            <v>1.2469979474733393</v>
          </cell>
          <cell r="AE33">
            <v>1.3540449607593745</v>
          </cell>
        </row>
        <row r="34">
          <cell r="G34" t="str">
            <v>RegionLarge RetNew</v>
          </cell>
          <cell r="H34" t="str">
            <v>Com</v>
          </cell>
          <cell r="I34" t="str">
            <v>Large Ret</v>
          </cell>
          <cell r="J34" t="str">
            <v>New</v>
          </cell>
          <cell r="K34" t="str">
            <v>Millions SqFt</v>
          </cell>
          <cell r="L34">
            <v>0.71960427219664069</v>
          </cell>
          <cell r="M34">
            <v>0.59647847099566831</v>
          </cell>
          <cell r="N34">
            <v>0.36611838042447359</v>
          </cell>
          <cell r="O34">
            <v>0.3731768350638246</v>
          </cell>
          <cell r="P34">
            <v>0.34504559304633386</v>
          </cell>
          <cell r="Q34">
            <v>0.2928623587115301</v>
          </cell>
          <cell r="R34">
            <v>0.29376294298921468</v>
          </cell>
          <cell r="S34">
            <v>0.28416308329236456</v>
          </cell>
          <cell r="T34">
            <v>0.36455471421578001</v>
          </cell>
          <cell r="U34">
            <v>0.42646627810709853</v>
          </cell>
          <cell r="V34">
            <v>0.44956380488737768</v>
          </cell>
          <cell r="W34">
            <v>0.65213839834683018</v>
          </cell>
          <cell r="X34">
            <v>0.73353807331773047</v>
          </cell>
          <cell r="Y34">
            <v>0.65560780242911365</v>
          </cell>
          <cell r="Z34">
            <v>0.64604928436358278</v>
          </cell>
          <cell r="AA34">
            <v>0.62178261445398098</v>
          </cell>
          <cell r="AB34">
            <v>0.52554853465709617</v>
          </cell>
          <cell r="AC34">
            <v>0.53266253778165396</v>
          </cell>
          <cell r="AD34">
            <v>0.50454130308386236</v>
          </cell>
          <cell r="AE34">
            <v>0.54553111610891503</v>
          </cell>
        </row>
        <row r="35">
          <cell r="G35" t="str">
            <v>RegionMedium RetNew</v>
          </cell>
          <cell r="H35" t="str">
            <v>Com</v>
          </cell>
          <cell r="I35" t="str">
            <v>Medium Ret</v>
          </cell>
          <cell r="J35" t="str">
            <v>New</v>
          </cell>
          <cell r="K35" t="str">
            <v>Millions SqFt</v>
          </cell>
          <cell r="L35">
            <v>2.7275899469990224</v>
          </cell>
          <cell r="M35">
            <v>2.2451802625726844</v>
          </cell>
          <cell r="N35">
            <v>1.3846551620328988</v>
          </cell>
          <cell r="O35">
            <v>1.414332931216091</v>
          </cell>
          <cell r="P35">
            <v>1.3048976182463843</v>
          </cell>
          <cell r="Q35">
            <v>1.1035456427042536</v>
          </cell>
          <cell r="R35">
            <v>1.0932193385059683</v>
          </cell>
          <cell r="S35">
            <v>1.0602010304011045</v>
          </cell>
          <cell r="T35">
            <v>1.3687417218066935</v>
          </cell>
          <cell r="U35">
            <v>1.6102119957699914</v>
          </cell>
          <cell r="V35">
            <v>1.7014476793012303</v>
          </cell>
          <cell r="W35">
            <v>2.4475448442766612</v>
          </cell>
          <cell r="X35">
            <v>2.7642584104961641</v>
          </cell>
          <cell r="Y35">
            <v>2.4645092385842489</v>
          </cell>
          <cell r="Z35">
            <v>2.435211674558635</v>
          </cell>
          <cell r="AA35">
            <v>2.3436666024455817</v>
          </cell>
          <cell r="AB35">
            <v>1.9970991421399598</v>
          </cell>
          <cell r="AC35">
            <v>2.0220850932468024</v>
          </cell>
          <cell r="AD35">
            <v>1.9074632582746243</v>
          </cell>
          <cell r="AE35">
            <v>2.0633846520749657</v>
          </cell>
        </row>
        <row r="36">
          <cell r="G36" t="str">
            <v>RegionSmall RetNew</v>
          </cell>
          <cell r="H36" t="str">
            <v>Com</v>
          </cell>
          <cell r="I36" t="str">
            <v>Small Ret</v>
          </cell>
          <cell r="J36" t="str">
            <v>New</v>
          </cell>
          <cell r="K36" t="str">
            <v>Millions SqFt</v>
          </cell>
          <cell r="L36">
            <v>0.86249938561661099</v>
          </cell>
          <cell r="M36">
            <v>0.71243811393533818</v>
          </cell>
          <cell r="N36">
            <v>0.43988135050703958</v>
          </cell>
          <cell r="O36">
            <v>0.44879648252082133</v>
          </cell>
          <cell r="P36">
            <v>0.41374173801952452</v>
          </cell>
          <cell r="Q36">
            <v>0.34301620014224921</v>
          </cell>
          <cell r="R36">
            <v>0.33946657261656726</v>
          </cell>
          <cell r="S36">
            <v>0.32965754978673117</v>
          </cell>
          <cell r="T36">
            <v>0.43689232903555525</v>
          </cell>
          <cell r="U36">
            <v>0.51886957722704219</v>
          </cell>
          <cell r="V36">
            <v>0.54817313334918127</v>
          </cell>
          <cell r="W36">
            <v>0.77969532117377649</v>
          </cell>
          <cell r="X36">
            <v>0.87858644381951334</v>
          </cell>
          <cell r="Y36">
            <v>0.78420074698109388</v>
          </cell>
          <cell r="Z36">
            <v>0.77728841592354081</v>
          </cell>
          <cell r="AA36">
            <v>0.74886674252534069</v>
          </cell>
          <cell r="AB36">
            <v>0.63964179951326661</v>
          </cell>
          <cell r="AC36">
            <v>0.64714740319049269</v>
          </cell>
          <cell r="AD36">
            <v>0.61166389038687663</v>
          </cell>
          <cell r="AE36">
            <v>0.66242443593788758</v>
          </cell>
        </row>
        <row r="37">
          <cell r="G37" t="str">
            <v>RegionSchool K-12New</v>
          </cell>
          <cell r="H37" t="str">
            <v>Com</v>
          </cell>
          <cell r="I37" t="str">
            <v>School K-12</v>
          </cell>
          <cell r="J37" t="str">
            <v>New</v>
          </cell>
          <cell r="K37" t="str">
            <v>Millions SqFt</v>
          </cell>
          <cell r="L37">
            <v>0.49337113702797691</v>
          </cell>
          <cell r="M37">
            <v>1.1029723159217257</v>
          </cell>
          <cell r="N37">
            <v>0.94992456965043459</v>
          </cell>
          <cell r="O37">
            <v>0.71720701164062661</v>
          </cell>
          <cell r="P37">
            <v>0.7442281187428561</v>
          </cell>
          <cell r="Q37">
            <v>0.85140099810585501</v>
          </cell>
          <cell r="R37">
            <v>0.99139466996200198</v>
          </cell>
          <cell r="S37">
            <v>1.5014629353162949</v>
          </cell>
          <cell r="T37">
            <v>1.8697826256608596</v>
          </cell>
          <cell r="U37">
            <v>1.6452707482432332</v>
          </cell>
          <cell r="V37">
            <v>1.6753181172445872</v>
          </cell>
          <cell r="W37">
            <v>1.7943041099264481</v>
          </cell>
          <cell r="X37">
            <v>1.8624299937819393</v>
          </cell>
          <cell r="Y37">
            <v>1.7489264522150836</v>
          </cell>
          <cell r="Z37">
            <v>1.7975598556031414</v>
          </cell>
          <cell r="AA37">
            <v>1.6195220459723754</v>
          </cell>
          <cell r="AB37">
            <v>1.8221433074925411</v>
          </cell>
          <cell r="AC37">
            <v>1.6336676691608698</v>
          </cell>
          <cell r="AD37">
            <v>1.7826242149357872</v>
          </cell>
          <cell r="AE37">
            <v>1.6891002859244486</v>
          </cell>
        </row>
        <row r="38">
          <cell r="G38" t="str">
            <v>RegionUniversityNew</v>
          </cell>
          <cell r="H38" t="str">
            <v>Com</v>
          </cell>
          <cell r="I38" t="str">
            <v>University</v>
          </cell>
          <cell r="J38" t="str">
            <v>New</v>
          </cell>
          <cell r="K38" t="str">
            <v>Millions SqFt</v>
          </cell>
          <cell r="L38">
            <v>0.2800209986196866</v>
          </cell>
          <cell r="M38">
            <v>0.29719871383536939</v>
          </cell>
          <cell r="N38">
            <v>0.58203115602335975</v>
          </cell>
          <cell r="O38">
            <v>0.83189457735737737</v>
          </cell>
          <cell r="P38">
            <v>0.66610454718876777</v>
          </cell>
          <cell r="Q38">
            <v>0.73648247778559484</v>
          </cell>
          <cell r="R38">
            <v>0.64334185638367225</v>
          </cell>
          <cell r="S38">
            <v>0.97289424291238524</v>
          </cell>
          <cell r="T38">
            <v>1.1820978013224126</v>
          </cell>
          <cell r="U38">
            <v>1.1785313924254113</v>
          </cell>
          <cell r="V38">
            <v>1.2952038876416079</v>
          </cell>
          <cell r="W38">
            <v>1.3229243736280945</v>
          </cell>
          <cell r="X38">
            <v>1.422909455419719</v>
          </cell>
          <cell r="Y38">
            <v>1.4430187909981058</v>
          </cell>
          <cell r="Z38">
            <v>1.2923971403480323</v>
          </cell>
          <cell r="AA38">
            <v>1.1785050733908478</v>
          </cell>
          <cell r="AB38">
            <v>1.3433889489273994</v>
          </cell>
          <cell r="AC38">
            <v>1.2265545990556588</v>
          </cell>
          <cell r="AD38">
            <v>1.2571458643971927</v>
          </cell>
          <cell r="AE38">
            <v>1.2979913333963795</v>
          </cell>
        </row>
        <row r="39">
          <cell r="G39" t="str">
            <v>RegionWarehouseNew</v>
          </cell>
          <cell r="H39" t="str">
            <v>Com</v>
          </cell>
          <cell r="I39" t="str">
            <v>Warehouse</v>
          </cell>
          <cell r="J39" t="str">
            <v>New</v>
          </cell>
          <cell r="K39" t="str">
            <v>Millions SqFt</v>
          </cell>
          <cell r="L39">
            <v>7.6586609772993617</v>
          </cell>
          <cell r="M39">
            <v>7.5774552212762423</v>
          </cell>
          <cell r="N39">
            <v>5.6453939930651131</v>
          </cell>
          <cell r="O39">
            <v>4.800793231843981</v>
          </cell>
          <cell r="P39">
            <v>3.5881391412601156</v>
          </cell>
          <cell r="Q39">
            <v>3.1529819033971824</v>
          </cell>
          <cell r="R39">
            <v>4.0691744688008198</v>
          </cell>
          <cell r="S39">
            <v>4.5400289951106014</v>
          </cell>
          <cell r="T39">
            <v>4.8555474587969272</v>
          </cell>
          <cell r="U39">
            <v>4.6966359797376018</v>
          </cell>
          <cell r="V39">
            <v>4.8557170740974245</v>
          </cell>
          <cell r="W39">
            <v>4.451750056135543</v>
          </cell>
          <cell r="X39">
            <v>3.8657972013430704</v>
          </cell>
          <cell r="Y39">
            <v>3.9817445148405937</v>
          </cell>
          <cell r="Z39">
            <v>3.9951806948216846</v>
          </cell>
          <cell r="AA39">
            <v>4.4738164673360306</v>
          </cell>
          <cell r="AB39">
            <v>4.2737219736102183</v>
          </cell>
          <cell r="AC39">
            <v>4.0870251812551333</v>
          </cell>
          <cell r="AD39">
            <v>4.137725578117939</v>
          </cell>
          <cell r="AE39">
            <v>3.6922064696454697</v>
          </cell>
        </row>
        <row r="40">
          <cell r="G40" t="str">
            <v>RegionSupermarketNew</v>
          </cell>
          <cell r="H40" t="str">
            <v>Com</v>
          </cell>
          <cell r="I40" t="str">
            <v>Supermarket</v>
          </cell>
          <cell r="J40" t="str">
            <v>New</v>
          </cell>
          <cell r="K40" t="str">
            <v>Millions SqFt</v>
          </cell>
          <cell r="L40">
            <v>0.38924897939746522</v>
          </cell>
          <cell r="M40">
            <v>0.34341311895347121</v>
          </cell>
          <cell r="N40">
            <v>0.29927348040561341</v>
          </cell>
          <cell r="O40">
            <v>0.29688874456634085</v>
          </cell>
          <cell r="P40">
            <v>0.29379933994281465</v>
          </cell>
          <cell r="Q40">
            <v>0.29041766271303127</v>
          </cell>
          <cell r="R40">
            <v>0.28614144770449462</v>
          </cell>
          <cell r="S40">
            <v>0.28163861967746157</v>
          </cell>
          <cell r="T40">
            <v>0.27688800876616482</v>
          </cell>
          <cell r="U40">
            <v>0.27357754310134663</v>
          </cell>
          <cell r="V40">
            <v>0.27063184585003941</v>
          </cell>
          <cell r="W40">
            <v>0.26801411864303953</v>
          </cell>
          <cell r="X40">
            <v>0.26660240614409092</v>
          </cell>
          <cell r="Y40">
            <v>0.25138198684402913</v>
          </cell>
          <cell r="Z40">
            <v>0.26455339135243683</v>
          </cell>
          <cell r="AA40">
            <v>0.26299167309250365</v>
          </cell>
          <cell r="AB40">
            <v>0.26140909607327911</v>
          </cell>
          <cell r="AC40">
            <v>0.25947687815142023</v>
          </cell>
          <cell r="AD40">
            <v>0.25750619496776178</v>
          </cell>
          <cell r="AE40">
            <v>0.25562560804995926</v>
          </cell>
        </row>
        <row r="41">
          <cell r="G41" t="str">
            <v>RegionMiniMartNew</v>
          </cell>
          <cell r="H41" t="str">
            <v>Com</v>
          </cell>
          <cell r="I41" t="str">
            <v>MiniMart</v>
          </cell>
          <cell r="J41" t="str">
            <v>New</v>
          </cell>
          <cell r="K41" t="str">
            <v>Millions SqFt</v>
          </cell>
          <cell r="L41">
            <v>0.19765540078516197</v>
          </cell>
          <cell r="M41">
            <v>0.18600542935034625</v>
          </cell>
          <cell r="N41">
            <v>9.5760802585072302E-2</v>
          </cell>
          <cell r="O41">
            <v>0.10062051473914659</v>
          </cell>
          <cell r="P41">
            <v>8.5646792534183808E-2</v>
          </cell>
          <cell r="Q41">
            <v>6.5415041923045286E-2</v>
          </cell>
          <cell r="R41">
            <v>5.7242996146950373E-2</v>
          </cell>
          <cell r="S41">
            <v>5.5087150941189433E-2</v>
          </cell>
          <cell r="T41">
            <v>7.3916214299540497E-2</v>
          </cell>
          <cell r="U41">
            <v>9.2056169088318471E-2</v>
          </cell>
          <cell r="V41">
            <v>0.10393709432109566</v>
          </cell>
          <cell r="W41">
            <v>0.15172170448022598</v>
          </cell>
          <cell r="X41">
            <v>0.15706997726929292</v>
          </cell>
          <cell r="Y41">
            <v>0.14510580631504899</v>
          </cell>
          <cell r="Z41">
            <v>0.15272706829792246</v>
          </cell>
          <cell r="AA41">
            <v>0.14104647748606622</v>
          </cell>
          <cell r="AB41">
            <v>0.11700741064540764</v>
          </cell>
          <cell r="AC41">
            <v>0.1200067315077773</v>
          </cell>
          <cell r="AD41">
            <v>0.11457442878633581</v>
          </cell>
          <cell r="AE41">
            <v>0.1211768182439132</v>
          </cell>
        </row>
        <row r="42">
          <cell r="G42" t="str">
            <v>RegionRestaurantNew</v>
          </cell>
          <cell r="H42" t="str">
            <v>Com</v>
          </cell>
          <cell r="I42" t="str">
            <v>Restaurant</v>
          </cell>
          <cell r="J42" t="str">
            <v>New</v>
          </cell>
          <cell r="K42" t="str">
            <v>Millions SqFt</v>
          </cell>
          <cell r="L42">
            <v>0.46894871790011039</v>
          </cell>
          <cell r="M42">
            <v>0.47387410836125871</v>
          </cell>
          <cell r="N42">
            <v>0.45144590813821411</v>
          </cell>
          <cell r="O42">
            <v>0.4505136151455652</v>
          </cell>
          <cell r="P42">
            <v>0.44778046039172248</v>
          </cell>
          <cell r="Q42">
            <v>0.44523396067124349</v>
          </cell>
          <cell r="R42">
            <v>0.44273536313864043</v>
          </cell>
          <cell r="S42">
            <v>0.4399078135546039</v>
          </cell>
          <cell r="T42">
            <v>0.43708606600163591</v>
          </cell>
          <cell r="U42">
            <v>0.43513915585550955</v>
          </cell>
          <cell r="V42">
            <v>0.43580404899906589</v>
          </cell>
          <cell r="W42">
            <v>0.59161866303702282</v>
          </cell>
          <cell r="X42">
            <v>0.66467702134516005</v>
          </cell>
          <cell r="Y42">
            <v>0.65353995366480533</v>
          </cell>
          <cell r="Z42">
            <v>0.676060915960916</v>
          </cell>
          <cell r="AA42">
            <v>0.70559825286541389</v>
          </cell>
          <cell r="AB42">
            <v>0.63206878506691044</v>
          </cell>
          <cell r="AC42">
            <v>0.63726309269471215</v>
          </cell>
          <cell r="AD42">
            <v>0.5828366650853003</v>
          </cell>
          <cell r="AE42">
            <v>0.63928201324113043</v>
          </cell>
        </row>
        <row r="43">
          <cell r="G43" t="str">
            <v>RegionLodgingNew</v>
          </cell>
          <cell r="H43" t="str">
            <v>Com</v>
          </cell>
          <cell r="I43" t="str">
            <v>Lodging</v>
          </cell>
          <cell r="J43" t="str">
            <v>New</v>
          </cell>
          <cell r="K43" t="str">
            <v>Millions SqFt</v>
          </cell>
          <cell r="L43">
            <v>1.0326774321313152</v>
          </cell>
          <cell r="M43">
            <v>1.0158776160943388</v>
          </cell>
          <cell r="N43">
            <v>0.74304915446037911</v>
          </cell>
          <cell r="O43">
            <v>0.76054102414226543</v>
          </cell>
          <cell r="P43">
            <v>0.65616402459427536</v>
          </cell>
          <cell r="Q43">
            <v>0.62755023267601961</v>
          </cell>
          <cell r="R43">
            <v>0.61023293273354484</v>
          </cell>
          <cell r="S43">
            <v>0.60571699788717037</v>
          </cell>
          <cell r="T43">
            <v>0.65097903457434547</v>
          </cell>
          <cell r="U43">
            <v>0.69319811486407867</v>
          </cell>
          <cell r="V43">
            <v>0.78843795894088464</v>
          </cell>
          <cell r="W43">
            <v>1.3645659476947984</v>
          </cell>
          <cell r="X43">
            <v>1.6032227373726178</v>
          </cell>
          <cell r="Y43">
            <v>1.6412696995684901</v>
          </cell>
          <cell r="Z43">
            <v>1.670283030615213</v>
          </cell>
          <cell r="AA43">
            <v>1.755661848186447</v>
          </cell>
          <cell r="AB43">
            <v>1.4871375295645746</v>
          </cell>
          <cell r="AC43">
            <v>1.4400033906080374</v>
          </cell>
          <cell r="AD43">
            <v>1.3499648074414823</v>
          </cell>
          <cell r="AE43">
            <v>1.4487057151095009</v>
          </cell>
        </row>
        <row r="44">
          <cell r="G44" t="str">
            <v>RegionHospitalNew</v>
          </cell>
          <cell r="H44" t="str">
            <v>Com</v>
          </cell>
          <cell r="I44" t="str">
            <v>Hospital</v>
          </cell>
          <cell r="J44" t="str">
            <v>New</v>
          </cell>
          <cell r="K44" t="str">
            <v>Millions SqFt</v>
          </cell>
          <cell r="L44">
            <v>4.1336070304911159</v>
          </cell>
          <cell r="M44">
            <v>3.5601449453189118</v>
          </cell>
          <cell r="N44">
            <v>3.2007770264658664</v>
          </cell>
          <cell r="O44">
            <v>2.6531465767673241</v>
          </cell>
          <cell r="P44">
            <v>1.8730082465149496</v>
          </cell>
          <cell r="Q44">
            <v>1.6467285324389391</v>
          </cell>
          <cell r="R44">
            <v>1.5196240263467067</v>
          </cell>
          <cell r="S44">
            <v>1.3328145698119136</v>
          </cell>
          <cell r="T44">
            <v>1.3372342578617185</v>
          </cell>
          <cell r="U44">
            <v>1.4086686461757902</v>
          </cell>
          <cell r="V44">
            <v>1.6725933548501446</v>
          </cell>
          <cell r="W44">
            <v>2.0158466086985318</v>
          </cell>
          <cell r="X44">
            <v>2.3033709594417431</v>
          </cell>
          <cell r="Y44">
            <v>2.063930246052466</v>
          </cell>
          <cell r="Z44">
            <v>1.9880083370090949</v>
          </cell>
          <cell r="AA44">
            <v>1.9342270452860566</v>
          </cell>
          <cell r="AB44">
            <v>1.774507966199161</v>
          </cell>
          <cell r="AC44">
            <v>1.6723841845019074</v>
          </cell>
          <cell r="AD44">
            <v>1.5414284807799123</v>
          </cell>
          <cell r="AE44">
            <v>1.5563040522680198</v>
          </cell>
        </row>
        <row r="45">
          <cell r="G45" t="str">
            <v>RegionResidential CareNew</v>
          </cell>
          <cell r="H45" t="str">
            <v>Com</v>
          </cell>
          <cell r="I45" t="str">
            <v>Residential Care</v>
          </cell>
          <cell r="J45" t="str">
            <v>New</v>
          </cell>
          <cell r="K45" t="str">
            <v>Millions SqFt</v>
          </cell>
          <cell r="L45">
            <v>4.5029406937179912</v>
          </cell>
          <cell r="M45">
            <v>4.0786070344439063</v>
          </cell>
          <cell r="N45">
            <v>3.5919834720533679</v>
          </cell>
          <cell r="O45">
            <v>3.0400934926407626</v>
          </cell>
          <cell r="P45">
            <v>2.3018670718031324</v>
          </cell>
          <cell r="Q45">
            <v>2.1321468422073435</v>
          </cell>
          <cell r="R45">
            <v>1.9771504564110642</v>
          </cell>
          <cell r="S45">
            <v>1.8096072137015302</v>
          </cell>
          <cell r="T45">
            <v>1.9023478055732992</v>
          </cell>
          <cell r="U45">
            <v>2.0129777404511922</v>
          </cell>
          <cell r="V45">
            <v>2.304026079874093</v>
          </cell>
          <cell r="W45">
            <v>2.7992417645016405</v>
          </cell>
          <cell r="X45">
            <v>3.0682339807477179</v>
          </cell>
          <cell r="Y45">
            <v>2.7441690138981158</v>
          </cell>
          <cell r="Z45">
            <v>2.8046561391012603</v>
          </cell>
          <cell r="AA45">
            <v>2.7282838662201567</v>
          </cell>
          <cell r="AB45">
            <v>2.4959637785038216</v>
          </cell>
          <cell r="AC45">
            <v>2.4392052334479857</v>
          </cell>
          <cell r="AD45">
            <v>2.3386950979959957</v>
          </cell>
          <cell r="AE45">
            <v>2.3103955399373803</v>
          </cell>
        </row>
        <row r="46">
          <cell r="G46" t="str">
            <v>RegionAssemblyNew</v>
          </cell>
          <cell r="H46" t="str">
            <v>Com</v>
          </cell>
          <cell r="I46" t="str">
            <v>Assembly</v>
          </cell>
          <cell r="J46" t="str">
            <v>New</v>
          </cell>
          <cell r="K46" t="str">
            <v>Millions SqFt</v>
          </cell>
          <cell r="L46">
            <v>3.1854829351393543</v>
          </cell>
          <cell r="M46">
            <v>3.1699057451518957</v>
          </cell>
          <cell r="N46">
            <v>2.2628528186826316</v>
          </cell>
          <cell r="O46">
            <v>2.6023617076700645</v>
          </cell>
          <cell r="P46">
            <v>2.2919684786454506</v>
          </cell>
          <cell r="Q46">
            <v>2.1556450092355899</v>
          </cell>
          <cell r="R46">
            <v>1.4820394508668711</v>
          </cell>
          <cell r="S46">
            <v>1.5603361472368396</v>
          </cell>
          <cell r="T46">
            <v>2.3546097038898557</v>
          </cell>
          <cell r="U46">
            <v>3.2740386396924066</v>
          </cell>
          <cell r="V46">
            <v>3.6241751874536021</v>
          </cell>
          <cell r="W46">
            <v>4.4420137300219826</v>
          </cell>
          <cell r="X46">
            <v>5.8224273473135861</v>
          </cell>
          <cell r="Y46">
            <v>6.4604400946422142</v>
          </cell>
          <cell r="Z46">
            <v>6.9014803298142597</v>
          </cell>
          <cell r="AA46">
            <v>6.748515751490312</v>
          </cell>
          <cell r="AB46">
            <v>6.4364694734288266</v>
          </cell>
          <cell r="AC46">
            <v>6.3053235195290611</v>
          </cell>
          <cell r="AD46">
            <v>6.2236620394663484</v>
          </cell>
          <cell r="AE46">
            <v>6.0386522880717726</v>
          </cell>
        </row>
        <row r="47">
          <cell r="G47" t="str">
            <v>RegionOtherNew</v>
          </cell>
          <cell r="H47" t="str">
            <v>Com</v>
          </cell>
          <cell r="I47" t="str">
            <v>Other</v>
          </cell>
          <cell r="J47" t="str">
            <v>New</v>
          </cell>
          <cell r="K47" t="str">
            <v>Millions SqFt</v>
          </cell>
          <cell r="L47">
            <v>12.863107129152304</v>
          </cell>
          <cell r="M47">
            <v>10.7220378193485</v>
          </cell>
          <cell r="N47">
            <v>10.142128438066296</v>
          </cell>
          <cell r="O47">
            <v>9.4611923499879236</v>
          </cell>
          <cell r="P47">
            <v>7.3638556881373223</v>
          </cell>
          <cell r="Q47">
            <v>8.1591439254269407</v>
          </cell>
          <cell r="R47">
            <v>7.9603673258815011</v>
          </cell>
          <cell r="S47">
            <v>8.6026166911432824</v>
          </cell>
          <cell r="T47">
            <v>9.3207800366095146</v>
          </cell>
          <cell r="U47">
            <v>9.0572786632714859</v>
          </cell>
          <cell r="V47">
            <v>10.184423730877143</v>
          </cell>
          <cell r="W47">
            <v>10.787657533789663</v>
          </cell>
          <cell r="X47">
            <v>11.005378574708409</v>
          </cell>
          <cell r="Y47">
            <v>10.267063981307951</v>
          </cell>
          <cell r="Z47">
            <v>11.027475862918971</v>
          </cell>
          <cell r="AA47">
            <v>9.9609233822623686</v>
          </cell>
          <cell r="AB47">
            <v>10.340047869658916</v>
          </cell>
          <cell r="AC47">
            <v>9.8383849729989699</v>
          </cell>
          <cell r="AD47">
            <v>9.3282989614436094</v>
          </cell>
          <cell r="AE47">
            <v>9.0355729282982153</v>
          </cell>
        </row>
        <row r="48">
          <cell r="G48" t="str">
            <v>RegionLarge OffStock 2016</v>
          </cell>
          <cell r="H48" t="str">
            <v>Com</v>
          </cell>
          <cell r="I48" t="str">
            <v>Large Off</v>
          </cell>
          <cell r="J48" t="str">
            <v>Stock 2016</v>
          </cell>
          <cell r="K48" t="str">
            <v>Millions SqFt</v>
          </cell>
          <cell r="L48">
            <v>380.08828477966154</v>
          </cell>
          <cell r="M48">
            <v>378.94801992532251</v>
          </cell>
          <cell r="N48">
            <v>377.81117586554655</v>
          </cell>
          <cell r="O48">
            <v>376.67774233794995</v>
          </cell>
          <cell r="P48">
            <v>375.54770911093607</v>
          </cell>
          <cell r="Q48">
            <v>374.42106598360328</v>
          </cell>
          <cell r="R48">
            <v>373.29780278565244</v>
          </cell>
          <cell r="S48">
            <v>372.17790937729552</v>
          </cell>
          <cell r="T48">
            <v>371.06137564916361</v>
          </cell>
          <cell r="U48">
            <v>369.94819152221612</v>
          </cell>
          <cell r="V48">
            <v>368.83834694764948</v>
          </cell>
          <cell r="W48">
            <v>367.73183190680658</v>
          </cell>
          <cell r="X48">
            <v>366.62863641108612</v>
          </cell>
          <cell r="Y48">
            <v>365.52875050185287</v>
          </cell>
          <cell r="Z48">
            <v>364.43216425034728</v>
          </cell>
          <cell r="AA48">
            <v>363.33886775759629</v>
          </cell>
          <cell r="AB48">
            <v>362.24885115432346</v>
          </cell>
          <cell r="AC48">
            <v>361.16210460086046</v>
          </cell>
          <cell r="AD48">
            <v>360.07861828705791</v>
          </cell>
          <cell r="AE48">
            <v>358.99838243219671</v>
          </cell>
        </row>
        <row r="49">
          <cell r="G49" t="str">
            <v>RegionMedium OffStock 2016</v>
          </cell>
          <cell r="H49" t="str">
            <v>Com</v>
          </cell>
          <cell r="I49" t="str">
            <v>Medium Off</v>
          </cell>
          <cell r="J49" t="str">
            <v>Stock 2016</v>
          </cell>
          <cell r="K49" t="str">
            <v>Millions SqFt</v>
          </cell>
          <cell r="L49">
            <v>190.73687138333023</v>
          </cell>
          <cell r="M49">
            <v>190.16466076918024</v>
          </cell>
          <cell r="N49">
            <v>189.59416678687271</v>
          </cell>
          <cell r="O49">
            <v>189.02538428651209</v>
          </cell>
          <cell r="P49">
            <v>188.45830813365254</v>
          </cell>
          <cell r="Q49">
            <v>187.89293320925157</v>
          </cell>
          <cell r="R49">
            <v>187.32925440962381</v>
          </cell>
          <cell r="S49">
            <v>186.76726664639497</v>
          </cell>
          <cell r="T49">
            <v>186.20696484645578</v>
          </cell>
          <cell r="U49">
            <v>185.64834395191642</v>
          </cell>
          <cell r="V49">
            <v>185.09139892006067</v>
          </cell>
          <cell r="W49">
            <v>184.5361247233005</v>
          </cell>
          <cell r="X49">
            <v>183.98251634913058</v>
          </cell>
          <cell r="Y49">
            <v>183.43056880008319</v>
          </cell>
          <cell r="Z49">
            <v>182.88027709368296</v>
          </cell>
          <cell r="AA49">
            <v>182.33163626240187</v>
          </cell>
          <cell r="AB49">
            <v>181.78464135361469</v>
          </cell>
          <cell r="AC49">
            <v>181.23928742955383</v>
          </cell>
          <cell r="AD49">
            <v>180.69556956726515</v>
          </cell>
          <cell r="AE49">
            <v>180.15348285856339</v>
          </cell>
        </row>
        <row r="50">
          <cell r="G50" t="str">
            <v>RegionSmall OffStock 2016</v>
          </cell>
          <cell r="H50" t="str">
            <v>Com</v>
          </cell>
          <cell r="I50" t="str">
            <v>Small Off</v>
          </cell>
          <cell r="J50" t="str">
            <v>Stock 2016</v>
          </cell>
          <cell r="K50" t="str">
            <v>Millions SqFt</v>
          </cell>
          <cell r="L50">
            <v>184.0913556049378</v>
          </cell>
          <cell r="M50">
            <v>183.53908153812301</v>
          </cell>
          <cell r="N50">
            <v>182.98846429350866</v>
          </cell>
          <cell r="O50">
            <v>182.43949890062811</v>
          </cell>
          <cell r="P50">
            <v>181.89218040392623</v>
          </cell>
          <cell r="Q50">
            <v>181.34650386271446</v>
          </cell>
          <cell r="R50">
            <v>180.80246435112633</v>
          </cell>
          <cell r="S50">
            <v>180.26005695807294</v>
          </cell>
          <cell r="T50">
            <v>179.71927678719871</v>
          </cell>
          <cell r="U50">
            <v>179.18011895683713</v>
          </cell>
          <cell r="V50">
            <v>178.64257859996661</v>
          </cell>
          <cell r="W50">
            <v>178.10665086416668</v>
          </cell>
          <cell r="X50">
            <v>177.57233091157423</v>
          </cell>
          <cell r="Y50">
            <v>177.03961391883951</v>
          </cell>
          <cell r="Z50">
            <v>176.50849507708296</v>
          </cell>
          <cell r="AA50">
            <v>175.97896959185172</v>
          </cell>
          <cell r="AB50">
            <v>175.45103268307616</v>
          </cell>
          <cell r="AC50">
            <v>174.92467958502692</v>
          </cell>
          <cell r="AD50">
            <v>174.39990554627184</v>
          </cell>
          <cell r="AE50">
            <v>173.87670582963304</v>
          </cell>
        </row>
        <row r="51">
          <cell r="G51" t="str">
            <v>RegionXLarge RetStock 2016</v>
          </cell>
          <cell r="H51" t="str">
            <v>Com</v>
          </cell>
          <cell r="I51" t="str">
            <v>XLarge Ret</v>
          </cell>
          <cell r="J51" t="str">
            <v>Stock 2016</v>
          </cell>
          <cell r="K51" t="str">
            <v>Millions SqFt</v>
          </cell>
          <cell r="L51">
            <v>138.35734062238015</v>
          </cell>
          <cell r="M51">
            <v>137.7208968555172</v>
          </cell>
          <cell r="N51">
            <v>137.08738072998179</v>
          </cell>
          <cell r="O51">
            <v>136.45677877862389</v>
          </cell>
          <cell r="P51">
            <v>135.8290775962422</v>
          </cell>
          <cell r="Q51">
            <v>135.20426383929947</v>
          </cell>
          <cell r="R51">
            <v>134.5823242256387</v>
          </cell>
          <cell r="S51">
            <v>133.96324553420075</v>
          </cell>
          <cell r="T51">
            <v>133.34701460474344</v>
          </cell>
          <cell r="U51">
            <v>132.73361833756161</v>
          </cell>
          <cell r="V51">
            <v>132.12304369320884</v>
          </cell>
          <cell r="W51">
            <v>131.51527769222005</v>
          </cell>
          <cell r="X51">
            <v>130.91030741483584</v>
          </cell>
          <cell r="Y51">
            <v>130.3081200007276</v>
          </cell>
          <cell r="Z51">
            <v>129.70870264872423</v>
          </cell>
          <cell r="AA51">
            <v>129.11204261654012</v>
          </cell>
          <cell r="AB51">
            <v>128.51812722050403</v>
          </cell>
          <cell r="AC51">
            <v>127.92694383528971</v>
          </cell>
          <cell r="AD51">
            <v>127.33847989364737</v>
          </cell>
          <cell r="AE51">
            <v>126.75272288613657</v>
          </cell>
        </row>
        <row r="52">
          <cell r="G52" t="str">
            <v>RegionLarge RetStock 2016</v>
          </cell>
          <cell r="H52" t="str">
            <v>Com</v>
          </cell>
          <cell r="I52" t="str">
            <v>Large Ret</v>
          </cell>
          <cell r="J52" t="str">
            <v>Stock 2016</v>
          </cell>
          <cell r="K52" t="str">
            <v>Millions SqFt</v>
          </cell>
          <cell r="L52">
            <v>208.9574509880029</v>
          </cell>
          <cell r="M52">
            <v>207.99624671345808</v>
          </cell>
          <cell r="N52">
            <v>207.03946397857615</v>
          </cell>
          <cell r="O52">
            <v>206.0870824442747</v>
          </cell>
          <cell r="P52">
            <v>205.13908186503102</v>
          </cell>
          <cell r="Q52">
            <v>204.1954420884519</v>
          </cell>
          <cell r="R52">
            <v>203.25614305484498</v>
          </cell>
          <cell r="S52">
            <v>202.32116479679266</v>
          </cell>
          <cell r="T52">
            <v>201.3904874387274</v>
          </cell>
          <cell r="U52">
            <v>200.46409119650929</v>
          </cell>
          <cell r="V52">
            <v>199.54195637700533</v>
          </cell>
          <cell r="W52">
            <v>198.62406337767112</v>
          </cell>
          <cell r="X52">
            <v>197.71039268613379</v>
          </cell>
          <cell r="Y52">
            <v>196.8009248797776</v>
          </cell>
          <cell r="Z52">
            <v>195.8956406253306</v>
          </cell>
          <cell r="AA52">
            <v>194.99452067845405</v>
          </cell>
          <cell r="AB52">
            <v>194.09754588333314</v>
          </cell>
          <cell r="AC52">
            <v>193.20469717226982</v>
          </cell>
          <cell r="AD52">
            <v>192.31595556527733</v>
          </cell>
          <cell r="AE52">
            <v>191.43130216967708</v>
          </cell>
        </row>
        <row r="53">
          <cell r="G53" t="str">
            <v>RegionMedium RetStock 2016</v>
          </cell>
          <cell r="H53" t="str">
            <v>Com</v>
          </cell>
          <cell r="I53" t="str">
            <v>Medium Ret</v>
          </cell>
          <cell r="J53" t="str">
            <v>Stock 2016</v>
          </cell>
          <cell r="K53" t="str">
            <v>Millions SqFt</v>
          </cell>
          <cell r="L53">
            <v>97.115689913224898</v>
          </cell>
          <cell r="M53">
            <v>96.668957739624062</v>
          </cell>
          <cell r="N53">
            <v>96.224280534021787</v>
          </cell>
          <cell r="O53">
            <v>95.781648843565293</v>
          </cell>
          <cell r="P53">
            <v>95.34105325888487</v>
          </cell>
          <cell r="Q53">
            <v>94.902484413894001</v>
          </cell>
          <cell r="R53">
            <v>94.465932985590086</v>
          </cell>
          <cell r="S53">
            <v>94.031389693856369</v>
          </cell>
          <cell r="T53">
            <v>93.598845301264618</v>
          </cell>
          <cell r="U53">
            <v>93.168290612878806</v>
          </cell>
          <cell r="V53">
            <v>92.739716476059556</v>
          </cell>
          <cell r="W53">
            <v>92.313113780269674</v>
          </cell>
          <cell r="X53">
            <v>91.888473456880433</v>
          </cell>
          <cell r="Y53">
            <v>91.465786478978771</v>
          </cell>
          <cell r="Z53">
            <v>91.045043861175472</v>
          </cell>
          <cell r="AA53">
            <v>90.626236659414062</v>
          </cell>
          <cell r="AB53">
            <v>90.209355970780734</v>
          </cell>
          <cell r="AC53">
            <v>89.794392933315152</v>
          </cell>
          <cell r="AD53">
            <v>89.381338725821905</v>
          </cell>
          <cell r="AE53">
            <v>88.97018456768312</v>
          </cell>
        </row>
        <row r="54">
          <cell r="G54" t="str">
            <v>RegionSmall RetStock 2016</v>
          </cell>
          <cell r="H54" t="str">
            <v>Com</v>
          </cell>
          <cell r="I54" t="str">
            <v>Small Ret</v>
          </cell>
          <cell r="J54" t="str">
            <v>Stock 2016</v>
          </cell>
          <cell r="K54" t="str">
            <v>Millions SqFt</v>
          </cell>
          <cell r="L54">
            <v>109.47966092768364</v>
          </cell>
          <cell r="M54">
            <v>108.97605448741629</v>
          </cell>
          <cell r="N54">
            <v>108.47476463677417</v>
          </cell>
          <cell r="O54">
            <v>107.975780719445</v>
          </cell>
          <cell r="P54">
            <v>107.47909212813555</v>
          </cell>
          <cell r="Q54">
            <v>106.98468830434612</v>
          </cell>
          <cell r="R54">
            <v>106.49255873814613</v>
          </cell>
          <cell r="S54">
            <v>106.00269296795065</v>
          </cell>
          <cell r="T54">
            <v>105.51508058029808</v>
          </cell>
          <cell r="U54">
            <v>105.0297112096287</v>
          </cell>
          <cell r="V54">
            <v>104.54657453806439</v>
          </cell>
          <cell r="W54">
            <v>104.0656602951893</v>
          </cell>
          <cell r="X54">
            <v>103.58695825783141</v>
          </cell>
          <cell r="Y54">
            <v>103.11045824984539</v>
          </cell>
          <cell r="Z54">
            <v>102.6361501418961</v>
          </cell>
          <cell r="AA54">
            <v>102.16402385124337</v>
          </cell>
          <cell r="AB54">
            <v>101.69406934152764</v>
          </cell>
          <cell r="AC54">
            <v>101.2262766225566</v>
          </cell>
          <cell r="AD54">
            <v>100.76063575009285</v>
          </cell>
          <cell r="AE54">
            <v>100.29713682564241</v>
          </cell>
        </row>
        <row r="55">
          <cell r="G55" t="str">
            <v>RegionSchool K-12Stock 2016</v>
          </cell>
          <cell r="H55" t="str">
            <v>Com</v>
          </cell>
          <cell r="I55" t="str">
            <v>School K-12</v>
          </cell>
          <cell r="J55" t="str">
            <v>Stock 2016</v>
          </cell>
          <cell r="K55" t="str">
            <v>Millions SqFt</v>
          </cell>
          <cell r="L55">
            <v>241.11763975818661</v>
          </cell>
          <cell r="M55">
            <v>240.12905743517803</v>
          </cell>
          <cell r="N55">
            <v>239.14452829969383</v>
          </cell>
          <cell r="O55">
            <v>238.16403573366509</v>
          </cell>
          <cell r="P55">
            <v>237.18756318715711</v>
          </cell>
          <cell r="Q55">
            <v>236.21509417808971</v>
          </cell>
          <cell r="R55">
            <v>235.24661229195956</v>
          </cell>
          <cell r="S55">
            <v>234.28210118156252</v>
          </cell>
          <cell r="T55">
            <v>233.32154456671807</v>
          </cell>
          <cell r="U55">
            <v>232.36492623399457</v>
          </cell>
          <cell r="V55">
            <v>231.41223003643518</v>
          </cell>
          <cell r="W55">
            <v>230.46343989328579</v>
          </cell>
          <cell r="X55">
            <v>229.51853978972335</v>
          </cell>
          <cell r="Y55">
            <v>228.57751377658545</v>
          </cell>
          <cell r="Z55">
            <v>227.64034597010144</v>
          </cell>
          <cell r="AA55">
            <v>226.70702055162403</v>
          </cell>
          <cell r="AB55">
            <v>225.77752176736234</v>
          </cell>
          <cell r="AC55">
            <v>224.85183392811618</v>
          </cell>
          <cell r="AD55">
            <v>223.92994140901092</v>
          </cell>
          <cell r="AE55">
            <v>223.01182864923393</v>
          </cell>
        </row>
        <row r="56">
          <cell r="G56" t="str">
            <v>RegionUniversityStock 2016</v>
          </cell>
          <cell r="H56" t="str">
            <v>Com</v>
          </cell>
          <cell r="I56" t="str">
            <v>University</v>
          </cell>
          <cell r="J56" t="str">
            <v>Stock 2016</v>
          </cell>
          <cell r="K56" t="str">
            <v>Millions SqFt</v>
          </cell>
          <cell r="L56">
            <v>122.15340627232256</v>
          </cell>
          <cell r="M56">
            <v>121.65257730660603</v>
          </cell>
          <cell r="N56">
            <v>121.15380173964894</v>
          </cell>
          <cell r="O56">
            <v>120.65707115251638</v>
          </cell>
          <cell r="P56">
            <v>120.16237716079107</v>
          </cell>
          <cell r="Q56">
            <v>119.66971141443182</v>
          </cell>
          <cell r="R56">
            <v>119.17906559763266</v>
          </cell>
          <cell r="S56">
            <v>118.69043142868237</v>
          </cell>
          <cell r="T56">
            <v>118.20380065982476</v>
          </cell>
          <cell r="U56">
            <v>117.71916507711948</v>
          </cell>
          <cell r="V56">
            <v>117.23651650030328</v>
          </cell>
          <cell r="W56">
            <v>116.75584678265207</v>
          </cell>
          <cell r="X56">
            <v>116.27714781084319</v>
          </cell>
          <cell r="Y56">
            <v>115.80041150481873</v>
          </cell>
          <cell r="Z56">
            <v>115.32562981764897</v>
          </cell>
          <cell r="AA56">
            <v>114.8527947353966</v>
          </cell>
          <cell r="AB56">
            <v>114.38189827698147</v>
          </cell>
          <cell r="AC56">
            <v>113.91293249404585</v>
          </cell>
          <cell r="AD56">
            <v>113.44588947082025</v>
          </cell>
          <cell r="AE56">
            <v>112.98076132398991</v>
          </cell>
        </row>
        <row r="57">
          <cell r="G57" t="str">
            <v>RegionWarehouseStock 2016</v>
          </cell>
          <cell r="H57" t="str">
            <v>Com</v>
          </cell>
          <cell r="I57" t="str">
            <v>Warehouse</v>
          </cell>
          <cell r="J57" t="str">
            <v>Stock 2016</v>
          </cell>
          <cell r="K57" t="str">
            <v>Millions SqFt</v>
          </cell>
          <cell r="L57">
            <v>448.69829599576161</v>
          </cell>
          <cell r="M57">
            <v>447.03811230057732</v>
          </cell>
          <cell r="N57">
            <v>445.3840712850652</v>
          </cell>
          <cell r="O57">
            <v>443.73615022131042</v>
          </cell>
          <cell r="P57">
            <v>442.09432646549152</v>
          </cell>
          <cell r="Q57">
            <v>440.45857745756916</v>
          </cell>
          <cell r="R57">
            <v>438.82888072097626</v>
          </cell>
          <cell r="S57">
            <v>437.2052138623086</v>
          </cell>
          <cell r="T57">
            <v>435.58755457101802</v>
          </cell>
          <cell r="U57">
            <v>433.97588061910528</v>
          </cell>
          <cell r="V57">
            <v>432.37016986081449</v>
          </cell>
          <cell r="W57">
            <v>430.77040023232951</v>
          </cell>
          <cell r="X57">
            <v>429.17654975146979</v>
          </cell>
          <cell r="Y57">
            <v>427.58859651738936</v>
          </cell>
          <cell r="Z57">
            <v>426.00651871027503</v>
          </cell>
          <cell r="AA57">
            <v>424.43029459104702</v>
          </cell>
          <cell r="AB57">
            <v>422.85990250106011</v>
          </cell>
          <cell r="AC57">
            <v>421.2953208618062</v>
          </cell>
          <cell r="AD57">
            <v>419.73652817461749</v>
          </cell>
          <cell r="AE57">
            <v>418.18350302037135</v>
          </cell>
        </row>
        <row r="58">
          <cell r="G58" t="str">
            <v>RegionSupermarketStock 2016</v>
          </cell>
          <cell r="H58" t="str">
            <v>Com</v>
          </cell>
          <cell r="I58" t="str">
            <v>Supermarket</v>
          </cell>
          <cell r="J58" t="str">
            <v>Stock 2016</v>
          </cell>
          <cell r="K58" t="str">
            <v>Millions SqFt</v>
          </cell>
          <cell r="L58">
            <v>53.720939527021244</v>
          </cell>
          <cell r="M58">
            <v>53.237451071278059</v>
          </cell>
          <cell r="N58">
            <v>52.758314011636557</v>
          </cell>
          <cell r="O58">
            <v>52.283489185531828</v>
          </cell>
          <cell r="P58">
            <v>51.812937782862043</v>
          </cell>
          <cell r="Q58">
            <v>51.346621342816277</v>
          </cell>
          <cell r="R58">
            <v>50.884501750730934</v>
          </cell>
          <cell r="S58">
            <v>50.426541234974358</v>
          </cell>
          <cell r="T58">
            <v>49.97270236385959</v>
          </cell>
          <cell r="U58">
            <v>49.522948042584851</v>
          </cell>
          <cell r="V58">
            <v>49.077241510201581</v>
          </cell>
          <cell r="W58">
            <v>48.635546336609778</v>
          </cell>
          <cell r="X58">
            <v>48.197826419580288</v>
          </cell>
          <cell r="Y58">
            <v>47.76404598180406</v>
          </cell>
          <cell r="Z58">
            <v>47.33416956796782</v>
          </cell>
          <cell r="AA58">
            <v>46.908162041856116</v>
          </cell>
          <cell r="AB58">
            <v>46.485988583479411</v>
          </cell>
          <cell r="AC58">
            <v>46.067614686228097</v>
          </cell>
          <cell r="AD58">
            <v>45.653006154052044</v>
          </cell>
          <cell r="AE58">
            <v>45.242129098665572</v>
          </cell>
        </row>
        <row r="59">
          <cell r="G59" t="str">
            <v>RegionMiniMartStock 2016</v>
          </cell>
          <cell r="H59" t="str">
            <v>Com</v>
          </cell>
          <cell r="I59" t="str">
            <v>MiniMart</v>
          </cell>
          <cell r="J59" t="str">
            <v>Stock 2016</v>
          </cell>
          <cell r="K59" t="str">
            <v>Millions SqFt</v>
          </cell>
          <cell r="L59">
            <v>22.491017060912501</v>
          </cell>
          <cell r="M59">
            <v>22.384859460384995</v>
          </cell>
          <cell r="N59">
            <v>22.279202923731983</v>
          </cell>
          <cell r="O59">
            <v>22.174045085931969</v>
          </cell>
          <cell r="P59">
            <v>22.069383593126368</v>
          </cell>
          <cell r="Q59">
            <v>21.965216102566814</v>
          </cell>
          <cell r="R59">
            <v>21.8615402825627</v>
          </cell>
          <cell r="S59">
            <v>21.758353812429004</v>
          </cell>
          <cell r="T59">
            <v>21.655654382434342</v>
          </cell>
          <cell r="U59">
            <v>21.553439693749251</v>
          </cell>
          <cell r="V59">
            <v>21.451707458394754</v>
          </cell>
          <cell r="W59">
            <v>21.350455399191134</v>
          </cell>
          <cell r="X59">
            <v>21.249681249706953</v>
          </cell>
          <cell r="Y59">
            <v>21.149382754208336</v>
          </cell>
          <cell r="Z59">
            <v>21.049557667608472</v>
          </cell>
          <cell r="AA59">
            <v>20.950203755417366</v>
          </cell>
          <cell r="AB59">
            <v>20.851318793691796</v>
          </cell>
          <cell r="AC59">
            <v>20.75290056898557</v>
          </cell>
          <cell r="AD59">
            <v>20.654946878299963</v>
          </cell>
          <cell r="AE59">
            <v>20.557455529034385</v>
          </cell>
        </row>
        <row r="60">
          <cell r="G60" t="str">
            <v>RegionRestaurantStock 2016</v>
          </cell>
          <cell r="H60" t="str">
            <v>Com</v>
          </cell>
          <cell r="I60" t="str">
            <v>Restaurant</v>
          </cell>
          <cell r="J60" t="str">
            <v>Stock 2016</v>
          </cell>
          <cell r="K60" t="str">
            <v>Millions SqFt</v>
          </cell>
          <cell r="L60">
            <v>51.550857208753726</v>
          </cell>
          <cell r="M60">
            <v>51.307537162728408</v>
          </cell>
          <cell r="N60">
            <v>51.065365587320336</v>
          </cell>
          <cell r="O60">
            <v>50.824337061748189</v>
          </cell>
          <cell r="P60">
            <v>50.584446190816735</v>
          </cell>
          <cell r="Q60">
            <v>50.345687604796083</v>
          </cell>
          <cell r="R60">
            <v>50.108055959301453</v>
          </cell>
          <cell r="S60">
            <v>49.871545935173543</v>
          </cell>
          <cell r="T60">
            <v>49.636152238359529</v>
          </cell>
          <cell r="U60">
            <v>49.40186959979448</v>
          </cell>
          <cell r="V60">
            <v>49.168692775283453</v>
          </cell>
          <cell r="W60">
            <v>48.936616545384119</v>
          </cell>
          <cell r="X60">
            <v>48.705635715289908</v>
          </cell>
          <cell r="Y60">
            <v>48.475745114713739</v>
          </cell>
          <cell r="Z60">
            <v>48.246939597772297</v>
          </cell>
          <cell r="AA60">
            <v>48.019214042870807</v>
          </cell>
          <cell r="AB60">
            <v>47.792563352588466</v>
          </cell>
          <cell r="AC60">
            <v>47.56698245356425</v>
          </cell>
          <cell r="AD60">
            <v>47.342466296383435</v>
          </cell>
          <cell r="AE60">
            <v>47.119009855464505</v>
          </cell>
        </row>
        <row r="61">
          <cell r="G61" t="str">
            <v>RegionLodgingStock 2016</v>
          </cell>
          <cell r="H61" t="str">
            <v>Com</v>
          </cell>
          <cell r="I61" t="str">
            <v>Lodging</v>
          </cell>
          <cell r="J61" t="str">
            <v>Stock 2016</v>
          </cell>
          <cell r="K61" t="str">
            <v>Millions SqFt</v>
          </cell>
          <cell r="L61">
            <v>170.15189589049527</v>
          </cell>
          <cell r="M61">
            <v>169.74353134035809</v>
          </cell>
          <cell r="N61">
            <v>169.33614686514122</v>
          </cell>
          <cell r="O61">
            <v>168.92974011266489</v>
          </cell>
          <cell r="P61">
            <v>168.52430873639449</v>
          </cell>
          <cell r="Q61">
            <v>168.11985039542716</v>
          </cell>
          <cell r="R61">
            <v>167.71636275447813</v>
          </cell>
          <cell r="S61">
            <v>167.31384348386743</v>
          </cell>
          <cell r="T61">
            <v>166.91229025950614</v>
          </cell>
          <cell r="U61">
            <v>166.51170076288332</v>
          </cell>
          <cell r="V61">
            <v>166.11207268105238</v>
          </cell>
          <cell r="W61">
            <v>165.7134037066179</v>
          </cell>
          <cell r="X61">
            <v>165.31569153772202</v>
          </cell>
          <cell r="Y61">
            <v>164.91893387803151</v>
          </cell>
          <cell r="Z61">
            <v>164.52312843672422</v>
          </cell>
          <cell r="AA61">
            <v>164.12827292847609</v>
          </cell>
          <cell r="AB61">
            <v>163.73436507344778</v>
          </cell>
          <cell r="AC61">
            <v>163.3414025972715</v>
          </cell>
          <cell r="AD61">
            <v>162.94938323103807</v>
          </cell>
          <cell r="AE61">
            <v>162.55830471128357</v>
          </cell>
        </row>
        <row r="62">
          <cell r="G62" t="str">
            <v>RegionHospitalStock 2016</v>
          </cell>
          <cell r="H62" t="str">
            <v>Com</v>
          </cell>
          <cell r="I62" t="str">
            <v>Hospital</v>
          </cell>
          <cell r="J62" t="str">
            <v>Stock 2016</v>
          </cell>
          <cell r="K62" t="str">
            <v>Millions SqFt</v>
          </cell>
          <cell r="L62">
            <v>105.02947953487826</v>
          </cell>
          <cell r="M62">
            <v>104.80891762785501</v>
          </cell>
          <cell r="N62">
            <v>104.58881890083651</v>
          </cell>
          <cell r="O62">
            <v>104.36918238114475</v>
          </cell>
          <cell r="P62">
            <v>104.15000709814436</v>
          </cell>
          <cell r="Q62">
            <v>103.93129208323826</v>
          </cell>
          <cell r="R62">
            <v>103.71303636986346</v>
          </cell>
          <cell r="S62">
            <v>103.49523899348674</v>
          </cell>
          <cell r="T62">
            <v>103.27789899160042</v>
          </cell>
          <cell r="U62">
            <v>103.06101540371807</v>
          </cell>
          <cell r="V62">
            <v>102.84458727137024</v>
          </cell>
          <cell r="W62">
            <v>102.62861363810038</v>
          </cell>
          <cell r="X62">
            <v>102.41309354946036</v>
          </cell>
          <cell r="Y62">
            <v>102.19802605300649</v>
          </cell>
          <cell r="Z62">
            <v>101.98341019829519</v>
          </cell>
          <cell r="AA62">
            <v>101.76924503687877</v>
          </cell>
          <cell r="AB62">
            <v>101.55552962230132</v>
          </cell>
          <cell r="AC62">
            <v>101.3422630100945</v>
          </cell>
          <cell r="AD62">
            <v>101.1294442577733</v>
          </cell>
          <cell r="AE62">
            <v>100.91707242483197</v>
          </cell>
        </row>
        <row r="63">
          <cell r="G63" t="str">
            <v>RegionResidential CareStock 2016</v>
          </cell>
          <cell r="H63" t="str">
            <v>Com</v>
          </cell>
          <cell r="I63" t="str">
            <v>Residential Care</v>
          </cell>
          <cell r="J63" t="str">
            <v>Stock 2016</v>
          </cell>
          <cell r="K63" t="str">
            <v>Millions SqFt</v>
          </cell>
          <cell r="L63">
            <v>128.74820917277606</v>
          </cell>
          <cell r="M63">
            <v>128.43921347076139</v>
          </cell>
          <cell r="N63">
            <v>128.1309593584316</v>
          </cell>
          <cell r="O63">
            <v>127.82344505597135</v>
          </cell>
          <cell r="P63">
            <v>127.51666878783702</v>
          </cell>
          <cell r="Q63">
            <v>127.21062878274621</v>
          </cell>
          <cell r="R63">
            <v>126.90532327366765</v>
          </cell>
          <cell r="S63">
            <v>126.60075049781085</v>
          </cell>
          <cell r="T63">
            <v>126.29690869661611</v>
          </cell>
          <cell r="U63">
            <v>125.99379611574425</v>
          </cell>
          <cell r="V63">
            <v>125.69141100506647</v>
          </cell>
          <cell r="W63">
            <v>125.3897516186543</v>
          </cell>
          <cell r="X63">
            <v>125.08881621476955</v>
          </cell>
          <cell r="Y63">
            <v>124.78860305585408</v>
          </cell>
          <cell r="Z63">
            <v>124.48911040852005</v>
          </cell>
          <cell r="AA63">
            <v>124.1903365435396</v>
          </cell>
          <cell r="AB63">
            <v>123.8922797358351</v>
          </cell>
          <cell r="AC63">
            <v>123.59493826446912</v>
          </cell>
          <cell r="AD63">
            <v>123.29831041263438</v>
          </cell>
          <cell r="AE63">
            <v>123.00239446764408</v>
          </cell>
        </row>
        <row r="64">
          <cell r="G64" t="str">
            <v>RegionAssemblyStock 2016</v>
          </cell>
          <cell r="H64" t="str">
            <v>Com</v>
          </cell>
          <cell r="I64" t="str">
            <v>Assembly</v>
          </cell>
          <cell r="J64" t="str">
            <v>Stock 2016</v>
          </cell>
          <cell r="K64" t="str">
            <v>Millions SqFt</v>
          </cell>
          <cell r="L64">
            <v>375.90224900649127</v>
          </cell>
          <cell r="M64">
            <v>374.21570091594884</v>
          </cell>
          <cell r="N64">
            <v>372.53671980450594</v>
          </cell>
          <cell r="O64">
            <v>370.86527172164978</v>
          </cell>
          <cell r="P64">
            <v>369.20132286919198</v>
          </cell>
          <cell r="Q64">
            <v>367.54483960058553</v>
          </cell>
          <cell r="R64">
            <v>365.89578842024423</v>
          </cell>
          <cell r="S64">
            <v>364.25413598286536</v>
          </cell>
          <cell r="T64">
            <v>362.6198490927556</v>
          </cell>
          <cell r="U64">
            <v>360.99289470315949</v>
          </cell>
          <cell r="V64">
            <v>359.37323991559134</v>
          </cell>
          <cell r="W64">
            <v>357.76085197917007</v>
          </cell>
          <cell r="X64">
            <v>356.15569828995689</v>
          </cell>
          <cell r="Y64">
            <v>354.55774639029596</v>
          </cell>
          <cell r="Z64">
            <v>352.96696396815821</v>
          </cell>
          <cell r="AA64">
            <v>351.38331885648773</v>
          </cell>
          <cell r="AB64">
            <v>349.80677903255156</v>
          </cell>
          <cell r="AC64">
            <v>348.23731261729228</v>
          </cell>
          <cell r="AD64">
            <v>346.67488787468267</v>
          </cell>
          <cell r="AE64">
            <v>345.11947321108494</v>
          </cell>
        </row>
        <row r="65">
          <cell r="G65" t="str">
            <v>RegionOtherStock 2016</v>
          </cell>
          <cell r="H65" t="str">
            <v>Com</v>
          </cell>
          <cell r="I65" t="str">
            <v>Other</v>
          </cell>
          <cell r="J65" t="str">
            <v>Stock 2016</v>
          </cell>
          <cell r="K65" t="str">
            <v>Millions SqFt</v>
          </cell>
          <cell r="L65">
            <v>342.64988330108076</v>
          </cell>
          <cell r="M65">
            <v>339.56603435137106</v>
          </cell>
          <cell r="N65">
            <v>336.50994004220871</v>
          </cell>
          <cell r="O65">
            <v>333.48135058182885</v>
          </cell>
          <cell r="P65">
            <v>330.48001842659238</v>
          </cell>
          <cell r="Q65">
            <v>327.50569826075304</v>
          </cell>
          <cell r="R65">
            <v>324.55814697640625</v>
          </cell>
          <cell r="S65">
            <v>321.63712365361863</v>
          </cell>
          <cell r="T65">
            <v>318.7423895407361</v>
          </cell>
          <cell r="U65">
            <v>315.87370803486942</v>
          </cell>
          <cell r="V65">
            <v>313.03084466255564</v>
          </cell>
          <cell r="W65">
            <v>310.21356706059254</v>
          </cell>
          <cell r="X65">
            <v>307.42164495704725</v>
          </cell>
          <cell r="Y65">
            <v>304.65485015243382</v>
          </cell>
          <cell r="Z65">
            <v>301.9129565010619</v>
          </cell>
          <cell r="AA65">
            <v>299.19573989255235</v>
          </cell>
          <cell r="AB65">
            <v>296.50297823351934</v>
          </cell>
          <cell r="AC65">
            <v>293.83445142941764</v>
          </cell>
          <cell r="AD65">
            <v>291.18994136655289</v>
          </cell>
          <cell r="AE65">
            <v>288.5692318942539</v>
          </cell>
        </row>
        <row r="66">
          <cell r="G66" t="str">
            <v>RegionIdahoStock</v>
          </cell>
          <cell r="H66" t="str">
            <v>Ag</v>
          </cell>
          <cell r="I66" t="str">
            <v>Idaho</v>
          </cell>
          <cell r="J66" t="str">
            <v>Stock</v>
          </cell>
          <cell r="K66" t="str">
            <v>% Growth</v>
          </cell>
          <cell r="L66">
            <v>0</v>
          </cell>
          <cell r="M66">
            <v>1.2504100211369894E-4</v>
          </cell>
          <cell r="N66">
            <v>1.7375879514796466E-4</v>
          </cell>
          <cell r="O66">
            <v>6.1210927779177624E-4</v>
          </cell>
          <cell r="P66">
            <v>8.8127487458086599E-4</v>
          </cell>
          <cell r="Q66">
            <v>1.1201972174019578E-3</v>
          </cell>
          <cell r="R66">
            <v>1.2717867360821197E-3</v>
          </cell>
          <cell r="S66">
            <v>1.4404642508513471E-3</v>
          </cell>
          <cell r="T66">
            <v>1.5874396385228723E-3</v>
          </cell>
          <cell r="U66">
            <v>1.7204636459112381E-3</v>
          </cell>
          <cell r="V66">
            <v>1.8289050040785739E-3</v>
          </cell>
          <cell r="W66">
            <v>1.9377539743383628E-3</v>
          </cell>
          <cell r="X66">
            <v>2.0316119038316116E-3</v>
          </cell>
          <cell r="Y66">
            <v>2.128079506222659E-3</v>
          </cell>
          <cell r="Z66">
            <v>2.2126572758413075E-3</v>
          </cell>
          <cell r="AA66">
            <v>2.2578225416429688E-3</v>
          </cell>
          <cell r="AB66">
            <v>2.3464540176612314E-3</v>
          </cell>
          <cell r="AC66">
            <v>2.414467009038601E-3</v>
          </cell>
          <cell r="AD66">
            <v>2.4848313911262653E-3</v>
          </cell>
          <cell r="AE66">
            <v>2.5344116000376449E-3</v>
          </cell>
        </row>
        <row r="67">
          <cell r="G67" t="str">
            <v>RegionMontanaStock</v>
          </cell>
          <cell r="H67" t="str">
            <v>Ag</v>
          </cell>
          <cell r="I67" t="str">
            <v>Montana</v>
          </cell>
          <cell r="J67" t="str">
            <v>Stock</v>
          </cell>
          <cell r="K67" t="str">
            <v>% Growth</v>
          </cell>
          <cell r="L67">
            <v>0</v>
          </cell>
          <cell r="M67">
            <v>1.0848242299839954E-2</v>
          </cell>
          <cell r="N67">
            <v>1.059267655252486E-2</v>
          </cell>
          <cell r="O67">
            <v>1.0752312089181865E-2</v>
          </cell>
          <cell r="P67">
            <v>1.075849831916186E-2</v>
          </cell>
          <cell r="Q67">
            <v>7.6567396067742733E-3</v>
          </cell>
          <cell r="R67">
            <v>7.6532068711881581E-3</v>
          </cell>
          <cell r="S67">
            <v>7.9235679867256659E-3</v>
          </cell>
          <cell r="T67">
            <v>8.1459053842477987E-3</v>
          </cell>
          <cell r="U67">
            <v>8.331284422267278E-3</v>
          </cell>
          <cell r="V67">
            <v>8.47135846405455E-3</v>
          </cell>
          <cell r="W67">
            <v>8.5938864965773454E-3</v>
          </cell>
          <cell r="X67">
            <v>8.6866032784890905E-3</v>
          </cell>
          <cell r="Y67">
            <v>8.7680800681235963E-3</v>
          </cell>
          <cell r="Z67">
            <v>8.8271867856936984E-3</v>
          </cell>
          <cell r="AA67">
            <v>8.8355566433926322E-3</v>
          </cell>
          <cell r="AB67">
            <v>8.8812025924713319E-3</v>
          </cell>
          <cell r="AC67">
            <v>8.8979055290069331E-3</v>
          </cell>
          <cell r="AD67">
            <v>8.9118787925779024E-3</v>
          </cell>
          <cell r="AE67">
            <v>8.9015256915168112E-3</v>
          </cell>
        </row>
        <row r="68">
          <cell r="G68" t="str">
            <v>RegionOregonStock</v>
          </cell>
          <cell r="H68" t="str">
            <v>Ag</v>
          </cell>
          <cell r="I68" t="str">
            <v>Oregon</v>
          </cell>
          <cell r="J68" t="str">
            <v>Stock</v>
          </cell>
          <cell r="K68" t="str">
            <v>% Growth</v>
          </cell>
          <cell r="L68">
            <v>0</v>
          </cell>
          <cell r="M68">
            <v>1.0110842680911804E-2</v>
          </cell>
          <cell r="N68">
            <v>1.0059217505089263E-2</v>
          </cell>
          <cell r="O68">
            <v>1.1176866051223918E-2</v>
          </cell>
          <cell r="P68">
            <v>1.9803102619340613E-2</v>
          </cell>
          <cell r="Q68">
            <v>1.2078828157499845E-2</v>
          </cell>
          <cell r="R68">
            <v>1.2074917420983849E-2</v>
          </cell>
          <cell r="S68">
            <v>1.2823009061012478E-2</v>
          </cell>
          <cell r="T68">
            <v>1.2064646132519813E-2</v>
          </cell>
          <cell r="U68">
            <v>2.1359830411811859E-2</v>
          </cell>
          <cell r="V68">
            <v>1.1864279678250279E-2</v>
          </cell>
          <cell r="W68">
            <v>1.1811806122028052E-2</v>
          </cell>
          <cell r="X68">
            <v>1.1060463245174785E-2</v>
          </cell>
          <cell r="Y68">
            <v>1.1689201211084101E-2</v>
          </cell>
          <cell r="Z68">
            <v>1.9623204602959039E-2</v>
          </cell>
          <cell r="AA68">
            <v>1.2054155221857031E-2</v>
          </cell>
          <cell r="AB68">
            <v>1.2615728823653952E-2</v>
          </cell>
          <cell r="AC68">
            <v>1.2496481187089379E-2</v>
          </cell>
          <cell r="AD68">
            <v>1.1753415892541448E-2</v>
          </cell>
          <cell r="AE68">
            <v>2.0946064887122692E-2</v>
          </cell>
        </row>
        <row r="69">
          <cell r="G69" t="str">
            <v>RegionWashingtonStock</v>
          </cell>
          <cell r="H69" t="str">
            <v>Ag</v>
          </cell>
          <cell r="I69" t="str">
            <v>Washington</v>
          </cell>
          <cell r="J69" t="str">
            <v>Stock</v>
          </cell>
          <cell r="K69" t="str">
            <v>% Growth</v>
          </cell>
          <cell r="L69">
            <v>0</v>
          </cell>
          <cell r="M69">
            <v>1.0662122206220235E-2</v>
          </cell>
          <cell r="N69">
            <v>1.0931258902780325E-2</v>
          </cell>
          <cell r="O69">
            <v>1.1173761515183053E-2</v>
          </cell>
          <cell r="P69">
            <v>1.811439906784525E-2</v>
          </cell>
          <cell r="Q69">
            <v>1.2399989211989764E-2</v>
          </cell>
          <cell r="R69">
            <v>1.1939862954954953E-2</v>
          </cell>
          <cell r="S69">
            <v>1.2288284859874222E-2</v>
          </cell>
          <cell r="T69">
            <v>1.1842226253476947E-2</v>
          </cell>
          <cell r="U69">
            <v>1.9682157833762929E-2</v>
          </cell>
          <cell r="V69">
            <v>1.1592234987503456E-2</v>
          </cell>
          <cell r="W69">
            <v>1.1147844023716795E-2</v>
          </cell>
          <cell r="X69">
            <v>1.1425985017752077E-2</v>
          </cell>
          <cell r="Y69">
            <v>1.0985810035676221E-2</v>
          </cell>
          <cell r="Z69">
            <v>1.7930228386922677E-2</v>
          </cell>
          <cell r="AA69">
            <v>1.1736355426763144E-2</v>
          </cell>
          <cell r="AB69">
            <v>1.1982095590114178E-2</v>
          </cell>
          <cell r="AC69">
            <v>1.1862624139313738E-2</v>
          </cell>
          <cell r="AD69">
            <v>1.1418033334772959E-2</v>
          </cell>
          <cell r="AE69">
            <v>1.8838157687553127E-2</v>
          </cell>
        </row>
        <row r="70">
          <cell r="G70" t="str">
            <v>RegionIdahoDairyStock</v>
          </cell>
          <cell r="H70" t="str">
            <v>Dairy</v>
          </cell>
          <cell r="I70" t="str">
            <v>IdahoDairy</v>
          </cell>
          <cell r="J70" t="str">
            <v>Stock</v>
          </cell>
          <cell r="K70" t="str">
            <v>1000lbs</v>
          </cell>
          <cell r="L70">
            <v>13629.012110609969</v>
          </cell>
          <cell r="M70">
            <v>13842.907114251881</v>
          </cell>
          <cell r="N70">
            <v>14023.216425344392</v>
          </cell>
          <cell r="O70">
            <v>14266.319353967396</v>
          </cell>
          <cell r="P70">
            <v>14513.683501515552</v>
          </cell>
          <cell r="Q70">
            <v>14784.738793280194</v>
          </cell>
          <cell r="R70">
            <v>15048.82150982591</v>
          </cell>
          <cell r="S70">
            <v>15351.081667959821</v>
          </cell>
          <cell r="T70">
            <v>15676.70161423125</v>
          </cell>
          <cell r="U70">
            <v>16022.910400199034</v>
          </cell>
          <cell r="V70">
            <v>16435.334001552066</v>
          </cell>
          <cell r="W70">
            <v>16796.9270935268</v>
          </cell>
          <cell r="X70">
            <v>17186.008838626629</v>
          </cell>
          <cell r="Y70">
            <v>17509.663776252026</v>
          </cell>
          <cell r="Z70">
            <v>17849.045518001847</v>
          </cell>
          <cell r="AA70">
            <v>18205.116228437721</v>
          </cell>
          <cell r="AB70">
            <v>18533.843580326749</v>
          </cell>
          <cell r="AC70">
            <v>18839.457555909743</v>
          </cell>
          <cell r="AD70">
            <v>19186.22471079613</v>
          </cell>
          <cell r="AE70">
            <v>19422.392838095242</v>
          </cell>
        </row>
        <row r="71">
          <cell r="G71" t="str">
            <v>RegionMontanaDairyStock</v>
          </cell>
          <cell r="H71" t="str">
            <v>Dairy</v>
          </cell>
          <cell r="I71" t="str">
            <v>MontanaDairy</v>
          </cell>
          <cell r="J71" t="str">
            <v>Stock</v>
          </cell>
          <cell r="K71" t="str">
            <v>1000lbs</v>
          </cell>
          <cell r="L71">
            <v>90.74529582059904</v>
          </cell>
          <cell r="M71">
            <v>90.898327903457215</v>
          </cell>
          <cell r="N71">
            <v>90.899562515809663</v>
          </cell>
          <cell r="O71">
            <v>91.013237267303055</v>
          </cell>
          <cell r="P71">
            <v>90.967755259326395</v>
          </cell>
          <cell r="Q71">
            <v>90.924506050749457</v>
          </cell>
          <cell r="R71">
            <v>91.025748037140048</v>
          </cell>
          <cell r="S71">
            <v>91.099301040678228</v>
          </cell>
          <cell r="T71">
            <v>90.915023147811965</v>
          </cell>
          <cell r="U71">
            <v>90.903023153329187</v>
          </cell>
          <cell r="V71">
            <v>90.903850245090197</v>
          </cell>
          <cell r="W71">
            <v>90.425722269176404</v>
          </cell>
          <cell r="X71">
            <v>90.371471553755299</v>
          </cell>
          <cell r="Y71">
            <v>90.264014484201496</v>
          </cell>
          <cell r="Z71">
            <v>90.097051493259059</v>
          </cell>
          <cell r="AA71">
            <v>89.896800203896433</v>
          </cell>
          <cell r="AB71">
            <v>89.896456479218287</v>
          </cell>
          <cell r="AC71">
            <v>89.606519803497406</v>
          </cell>
          <cell r="AD71">
            <v>89.325294250105614</v>
          </cell>
          <cell r="AE71">
            <v>89.328380794090677</v>
          </cell>
        </row>
        <row r="72">
          <cell r="G72" t="str">
            <v>RegionOregonDairyStock</v>
          </cell>
          <cell r="H72" t="str">
            <v>Dairy</v>
          </cell>
          <cell r="I72" t="str">
            <v>OregonDairy</v>
          </cell>
          <cell r="J72" t="str">
            <v>Stock</v>
          </cell>
          <cell r="K72" t="str">
            <v>1000lbs</v>
          </cell>
          <cell r="L72">
            <v>2744.180551622544</v>
          </cell>
          <cell r="M72">
            <v>2781.3253166710429</v>
          </cell>
          <cell r="N72">
            <v>2817.8028576592669</v>
          </cell>
          <cell r="O72">
            <v>2852.4466796581391</v>
          </cell>
          <cell r="P72">
            <v>2887.2703785501863</v>
          </cell>
          <cell r="Q72">
            <v>2923.2055190854799</v>
          </cell>
          <cell r="R72">
            <v>2963.8717110873577</v>
          </cell>
          <cell r="S72">
            <v>3007.9285968792492</v>
          </cell>
          <cell r="T72">
            <v>3054.4586648127197</v>
          </cell>
          <cell r="U72">
            <v>3103.2723514737127</v>
          </cell>
          <cell r="V72">
            <v>3155.2926430989965</v>
          </cell>
          <cell r="W72">
            <v>3205.2179835947745</v>
          </cell>
          <cell r="X72">
            <v>3255.0785902298294</v>
          </cell>
          <cell r="Y72">
            <v>3304.2085620815005</v>
          </cell>
          <cell r="Z72">
            <v>3359.7128554945239</v>
          </cell>
          <cell r="AA72">
            <v>3405.0605171911329</v>
          </cell>
          <cell r="AB72">
            <v>3454.1652559274162</v>
          </cell>
          <cell r="AC72">
            <v>3509.2005551615157</v>
          </cell>
          <cell r="AD72">
            <v>3557.2266817524842</v>
          </cell>
          <cell r="AE72">
            <v>3610.3576666465606</v>
          </cell>
        </row>
        <row r="73">
          <cell r="G73" t="str">
            <v>RegionWashingtonDairyStock</v>
          </cell>
          <cell r="H73" t="str">
            <v>Dairy</v>
          </cell>
          <cell r="I73" t="str">
            <v>WashingtonDairy</v>
          </cell>
          <cell r="J73" t="str">
            <v>Stock</v>
          </cell>
          <cell r="K73" t="str">
            <v>1000lbs</v>
          </cell>
          <cell r="L73">
            <v>6417.4166624736044</v>
          </cell>
          <cell r="M73">
            <v>6527.6845985495966</v>
          </cell>
          <cell r="N73">
            <v>6648.0748527559354</v>
          </cell>
          <cell r="O73">
            <v>6750.5768396680051</v>
          </cell>
          <cell r="P73">
            <v>6858.9947023924851</v>
          </cell>
          <cell r="Q73">
            <v>6950.9448303929594</v>
          </cell>
          <cell r="R73">
            <v>7066.5055116132971</v>
          </cell>
          <cell r="S73">
            <v>7154.1963866384513</v>
          </cell>
          <cell r="T73">
            <v>7260.5595150379595</v>
          </cell>
          <cell r="U73">
            <v>7382.1828771063319</v>
          </cell>
          <cell r="V73">
            <v>7515.612457778011</v>
          </cell>
          <cell r="W73">
            <v>7658.3815592644387</v>
          </cell>
          <cell r="X73">
            <v>7790.6041619373518</v>
          </cell>
          <cell r="Y73">
            <v>7925.9535611829233</v>
          </cell>
          <cell r="Z73">
            <v>8056.1594585167277</v>
          </cell>
          <cell r="AA73">
            <v>8212.3413257643278</v>
          </cell>
          <cell r="AB73">
            <v>8359.6360208598271</v>
          </cell>
          <cell r="AC73">
            <v>8487.3604780857568</v>
          </cell>
          <cell r="AD73">
            <v>8647.4216609802097</v>
          </cell>
          <cell r="AE73">
            <v>8766.8632794861296</v>
          </cell>
        </row>
        <row r="74">
          <cell r="G74" t="str">
            <v>RegionMechanical PulpStock</v>
          </cell>
          <cell r="H74" t="str">
            <v>Ind</v>
          </cell>
          <cell r="I74" t="str">
            <v>Mechanical Pulp</v>
          </cell>
          <cell r="J74" t="str">
            <v>Stock</v>
          </cell>
          <cell r="K74" t="str">
            <v>Consumption (MWh)</v>
          </cell>
          <cell r="L74">
            <v>2942.3885247078688</v>
          </cell>
          <cell r="M74">
            <v>2999.4923169466106</v>
          </cell>
          <cell r="N74">
            <v>3057.7991990647956</v>
          </cell>
          <cell r="O74">
            <v>3117.3356540499285</v>
          </cell>
          <cell r="P74">
            <v>3178.128760373258</v>
          </cell>
          <cell r="Q74">
            <v>3240.2062055118258</v>
          </cell>
          <cell r="R74">
            <v>3303.5962997789316</v>
          </cell>
          <cell r="S74">
            <v>3368.3279904700712</v>
          </cell>
          <cell r="T74">
            <v>3434.4308763315557</v>
          </cell>
          <cell r="U74">
            <v>3501.9352223591818</v>
          </cell>
          <cell r="V74">
            <v>3570.8719749345073</v>
          </cell>
          <cell r="W74">
            <v>3641.272777306438</v>
          </cell>
          <cell r="X74">
            <v>3713.1699854260205</v>
          </cell>
          <cell r="Y74">
            <v>3786.5966841425206</v>
          </cell>
          <cell r="Z74">
            <v>3861.5867037690391</v>
          </cell>
          <cell r="AA74">
            <v>3938.1746370261103</v>
          </cell>
          <cell r="AB74">
            <v>4016.3958563719311</v>
          </cell>
          <cell r="AC74">
            <v>4096.2865317280484</v>
          </cell>
          <cell r="AD74">
            <v>4177.8836486095533</v>
          </cell>
          <cell r="AE74">
            <v>4261.2250266690271</v>
          </cell>
        </row>
        <row r="75">
          <cell r="G75" t="str">
            <v>RegionKraft PulpStock</v>
          </cell>
          <cell r="H75" t="str">
            <v>Ind</v>
          </cell>
          <cell r="I75" t="str">
            <v>Kraft Pulp</v>
          </cell>
          <cell r="J75" t="str">
            <v>Stock</v>
          </cell>
          <cell r="K75" t="str">
            <v>Consumption (MWh)</v>
          </cell>
          <cell r="L75">
            <v>1840.4686066002805</v>
          </cell>
          <cell r="M75">
            <v>1873.4989778495669</v>
          </cell>
          <cell r="N75">
            <v>1907.1920216976423</v>
          </cell>
          <cell r="O75">
            <v>1941.56194814743</v>
          </cell>
          <cell r="P75">
            <v>1976.623282632949</v>
          </cell>
          <cell r="Q75">
            <v>2012.3908731386696</v>
          </cell>
          <cell r="R75">
            <v>2048.879897480801</v>
          </cell>
          <cell r="S75">
            <v>2086.1058707542029</v>
          </cell>
          <cell r="T75">
            <v>2124.084652948703</v>
          </cell>
          <cell r="U75">
            <v>2162.8324567386876</v>
          </cell>
          <cell r="V75">
            <v>2202.3658554499198</v>
          </cell>
          <cell r="W75">
            <v>2242.7017912076312</v>
          </cell>
          <cell r="X75">
            <v>2283.8575832700294</v>
          </cell>
          <cell r="Y75">
            <v>2325.8509365514437</v>
          </cell>
          <cell r="Z75">
            <v>2368.6999503394532</v>
          </cell>
          <cell r="AA75">
            <v>2412.4231272104116</v>
          </cell>
          <cell r="AB75">
            <v>2457.0393821479101</v>
          </cell>
          <cell r="AC75">
            <v>2502.5680518688064</v>
          </cell>
          <cell r="AD75">
            <v>2549.0289043615553</v>
          </cell>
          <cell r="AE75">
            <v>2596.4421486417004</v>
          </cell>
        </row>
        <row r="76">
          <cell r="G76" t="str">
            <v>RegionPaperStock</v>
          </cell>
          <cell r="H76" t="str">
            <v>Ind</v>
          </cell>
          <cell r="I76" t="str">
            <v>Paper</v>
          </cell>
          <cell r="J76" t="str">
            <v>Stock</v>
          </cell>
          <cell r="K76" t="str">
            <v>Consumption (MWh)</v>
          </cell>
          <cell r="L76">
            <v>3534.455980801014</v>
          </cell>
          <cell r="M76">
            <v>3609.0607251246697</v>
          </cell>
          <cell r="N76">
            <v>3685.2873551199091</v>
          </cell>
          <cell r="O76">
            <v>3763.1719559855069</v>
          </cell>
          <cell r="P76">
            <v>3842.7514323040018</v>
          </cell>
          <cell r="Q76">
            <v>3924.0635270143184</v>
          </cell>
          <cell r="R76">
            <v>4007.1468408323385</v>
          </cell>
          <cell r="S76">
            <v>4092.0408521302074</v>
          </cell>
          <cell r="T76">
            <v>4178.7859372854182</v>
          </cell>
          <cell r="U76">
            <v>4267.4233915110017</v>
          </cell>
          <cell r="V76">
            <v>4357.9954501784177</v>
          </cell>
          <cell r="W76">
            <v>4450.5453106450295</v>
          </cell>
          <cell r="X76">
            <v>4545.1171545983407</v>
          </cell>
          <cell r="Y76">
            <v>4641.756170929466</v>
          </cell>
          <cell r="Z76">
            <v>4740.5085791486254</v>
          </cell>
          <cell r="AA76">
            <v>4841.4216533557483</v>
          </cell>
          <cell r="AB76">
            <v>4944.5437467796155</v>
          </cell>
          <cell r="AC76">
            <v>5049.9243168992871</v>
          </cell>
          <cell r="AD76">
            <v>5157.6139511619058</v>
          </cell>
          <cell r="AE76">
            <v>5267.6643933113082</v>
          </cell>
        </row>
        <row r="77">
          <cell r="G77" t="str">
            <v>RegionFoundriesStock</v>
          </cell>
          <cell r="H77" t="str">
            <v>Ind</v>
          </cell>
          <cell r="I77" t="str">
            <v>Foundries</v>
          </cell>
          <cell r="J77" t="str">
            <v>Stock</v>
          </cell>
          <cell r="K77" t="str">
            <v>Consumption (MWh)</v>
          </cell>
          <cell r="L77">
            <v>919.01449596775626</v>
          </cell>
          <cell r="M77">
            <v>903.79676737453269</v>
          </cell>
          <cell r="N77">
            <v>888.86373699824867</v>
          </cell>
          <cell r="O77">
            <v>874.20939857684175</v>
          </cell>
          <cell r="P77">
            <v>859.82788649165502</v>
          </cell>
          <cell r="Q77">
            <v>845.71347215339779</v>
          </cell>
          <cell r="R77">
            <v>831.86056049053298</v>
          </cell>
          <cell r="S77">
            <v>818.26368653683164</v>
          </cell>
          <cell r="T77">
            <v>804.91751211495261</v>
          </cell>
          <cell r="U77">
            <v>791.81682261301614</v>
          </cell>
          <cell r="V77">
            <v>778.9565238512514</v>
          </cell>
          <cell r="W77">
            <v>766.33163903590253</v>
          </cell>
          <cell r="X77">
            <v>753.93730579767646</v>
          </cell>
          <cell r="Y77">
            <v>741.76877331211233</v>
          </cell>
          <cell r="Z77">
            <v>729.82139949934617</v>
          </cell>
          <cell r="AA77">
            <v>718.09064830083094</v>
          </cell>
          <cell r="AB77">
            <v>706.57208703065726</v>
          </cell>
          <cell r="AC77">
            <v>695.26138379920462</v>
          </cell>
          <cell r="AD77">
            <v>684.1543050069281</v>
          </cell>
          <cell r="AE77">
            <v>673.24671290616118</v>
          </cell>
        </row>
        <row r="78">
          <cell r="G78" t="str">
            <v>RegionFrozen FoodStock</v>
          </cell>
          <cell r="H78" t="str">
            <v>Ind</v>
          </cell>
          <cell r="I78" t="str">
            <v>Frozen Food</v>
          </cell>
          <cell r="J78" t="str">
            <v>Stock</v>
          </cell>
          <cell r="K78" t="str">
            <v>Consumption (MWh)</v>
          </cell>
          <cell r="L78">
            <v>1324.3206687825375</v>
          </cell>
          <cell r="M78">
            <v>1321.0591107197035</v>
          </cell>
          <cell r="N78">
            <v>1313.8715588171435</v>
          </cell>
          <cell r="O78">
            <v>1305.8660085520557</v>
          </cell>
          <cell r="P78">
            <v>1299.4527253901501</v>
          </cell>
          <cell r="Q78">
            <v>1293.8704220283462</v>
          </cell>
          <cell r="R78">
            <v>1288.7384147958671</v>
          </cell>
          <cell r="S78">
            <v>1283.1685849059777</v>
          </cell>
          <cell r="T78">
            <v>1278.1757704107879</v>
          </cell>
          <cell r="U78">
            <v>1273.2524730997047</v>
          </cell>
          <cell r="V78">
            <v>1268.7158191200151</v>
          </cell>
          <cell r="W78">
            <v>1264.8195202790864</v>
          </cell>
          <cell r="X78">
            <v>1261.3098548763107</v>
          </cell>
          <cell r="Y78">
            <v>1258.0599816596655</v>
          </cell>
          <cell r="Z78">
            <v>1255.450528359032</v>
          </cell>
          <cell r="AA78">
            <v>1251.7054749812521</v>
          </cell>
          <cell r="AB78">
            <v>1248.7912706454952</v>
          </cell>
          <cell r="AC78">
            <v>1246.3274234998678</v>
          </cell>
          <cell r="AD78">
            <v>1244.6946377737877</v>
          </cell>
          <cell r="AE78">
            <v>1243.7661870458371</v>
          </cell>
        </row>
        <row r="79">
          <cell r="G79" t="str">
            <v>RegionOther FoodStock</v>
          </cell>
          <cell r="H79" t="str">
            <v>Ind</v>
          </cell>
          <cell r="I79" t="str">
            <v>Other Food</v>
          </cell>
          <cell r="J79" t="str">
            <v>Stock</v>
          </cell>
          <cell r="K79" t="str">
            <v>Consumption (MWh)</v>
          </cell>
          <cell r="L79">
            <v>2411.1660539662394</v>
          </cell>
          <cell r="M79">
            <v>2450.4569412140777</v>
          </cell>
          <cell r="N79">
            <v>2488.4114649554663</v>
          </cell>
          <cell r="O79">
            <v>2523.6061920415254</v>
          </cell>
          <cell r="P79">
            <v>2562.1092719578933</v>
          </cell>
          <cell r="Q79">
            <v>2598.2919846277987</v>
          </cell>
          <cell r="R79">
            <v>2636.7412574019095</v>
          </cell>
          <cell r="S79">
            <v>2673.3916888556396</v>
          </cell>
          <cell r="T79">
            <v>2711.8297470558905</v>
          </cell>
          <cell r="U79">
            <v>2750.6750641158515</v>
          </cell>
          <cell r="V79">
            <v>2789.0285312434262</v>
          </cell>
          <cell r="W79">
            <v>2830.1577794767813</v>
          </cell>
          <cell r="X79">
            <v>2872.403704551703</v>
          </cell>
          <cell r="Y79">
            <v>2915.8704051275868</v>
          </cell>
          <cell r="Z79">
            <v>2960.101751006488</v>
          </cell>
          <cell r="AA79">
            <v>3003.4003881033614</v>
          </cell>
          <cell r="AB79">
            <v>3048.4360733455792</v>
          </cell>
          <cell r="AC79">
            <v>3093.8332116101201</v>
          </cell>
          <cell r="AD79">
            <v>3140.8207364366767</v>
          </cell>
          <cell r="AE79">
            <v>3189.4665409465333</v>
          </cell>
        </row>
        <row r="80">
          <cell r="G80" t="str">
            <v>RegionWood - LumberStock</v>
          </cell>
          <cell r="H80" t="str">
            <v>Ind</v>
          </cell>
          <cell r="I80" t="str">
            <v>Wood - Lumber</v>
          </cell>
          <cell r="J80" t="str">
            <v>Stock</v>
          </cell>
          <cell r="K80" t="str">
            <v>Consumption (MWh)</v>
          </cell>
          <cell r="L80">
            <v>896.96729322463875</v>
          </cell>
          <cell r="M80">
            <v>879.48359510176044</v>
          </cell>
          <cell r="N80">
            <v>862.36674638001614</v>
          </cell>
          <cell r="O80">
            <v>845.60857947833108</v>
          </cell>
          <cell r="P80">
            <v>829.20111686492294</v>
          </cell>
          <cell r="Q80">
            <v>813.13656649502366</v>
          </cell>
          <cell r="R80">
            <v>797.40731736048997</v>
          </cell>
          <cell r="S80">
            <v>782.00593514851505</v>
          </cell>
          <cell r="T80">
            <v>766.92515800673186</v>
          </cell>
          <cell r="U80">
            <v>752.15789241205903</v>
          </cell>
          <cell r="V80">
            <v>737.69720914071036</v>
          </cell>
          <cell r="W80">
            <v>723.53633933685592</v>
          </cell>
          <cell r="X80">
            <v>709.66867067748035</v>
          </cell>
          <cell r="Y80">
            <v>696.08774363104999</v>
          </cell>
          <cell r="Z80">
            <v>682.78724780765822</v>
          </cell>
          <cell r="AA80">
            <v>669.76101839837941</v>
          </cell>
          <cell r="AB80">
            <v>657.00303270161351</v>
          </cell>
          <cell r="AC80">
            <v>644.50740673426651</v>
          </cell>
          <cell r="AD80">
            <v>632.26839192565876</v>
          </cell>
          <cell r="AE80">
            <v>620.28037189211091</v>
          </cell>
        </row>
        <row r="81">
          <cell r="G81" t="str">
            <v>RegionWood - PanelStock</v>
          </cell>
          <cell r="H81" t="str">
            <v>Ind</v>
          </cell>
          <cell r="I81" t="str">
            <v>Wood - Panel</v>
          </cell>
          <cell r="J81" t="str">
            <v>Stock</v>
          </cell>
          <cell r="K81" t="str">
            <v>Consumption (MWh)</v>
          </cell>
          <cell r="L81">
            <v>1188.7654437610786</v>
          </cell>
          <cell r="M81">
            <v>1156.8804266382649</v>
          </cell>
          <cell r="N81">
            <v>1125.9526502419524</v>
          </cell>
          <cell r="O81">
            <v>1095.9488048785481</v>
          </cell>
          <cell r="P81">
            <v>1066.8369252348673</v>
          </cell>
          <cell r="Q81">
            <v>1038.5863295578097</v>
          </cell>
          <cell r="R81">
            <v>1011.1675617888843</v>
          </cell>
          <cell r="S81">
            <v>984.5523365043</v>
          </cell>
          <cell r="T81">
            <v>958.71348651903031</v>
          </cell>
          <cell r="U81">
            <v>933.62491302056549</v>
          </cell>
          <cell r="V81">
            <v>909.26153810496839</v>
          </cell>
          <cell r="W81">
            <v>885.59925959441807</v>
          </cell>
          <cell r="X81">
            <v>862.61490802163064</v>
          </cell>
          <cell r="Y81">
            <v>840.28620567243854</v>
          </cell>
          <cell r="Z81">
            <v>818.59172758340208</v>
          </cell>
          <cell r="AA81">
            <v>797.51086439660924</v>
          </cell>
          <cell r="AB81">
            <v>777.02378697884865</v>
          </cell>
          <cell r="AC81">
            <v>757.11141271709414</v>
          </cell>
          <cell r="AD81">
            <v>737.75537340675055</v>
          </cell>
          <cell r="AE81">
            <v>718.93798465338989</v>
          </cell>
        </row>
        <row r="82">
          <cell r="G82" t="str">
            <v>RegionWood - OtherStock</v>
          </cell>
          <cell r="H82" t="str">
            <v>Ind</v>
          </cell>
          <cell r="I82" t="str">
            <v>Wood - Other</v>
          </cell>
          <cell r="J82" t="str">
            <v>Stock</v>
          </cell>
          <cell r="K82" t="str">
            <v>Consumption (MWh)</v>
          </cell>
          <cell r="L82">
            <v>2190.3888717655045</v>
          </cell>
          <cell r="M82">
            <v>2148.1306604895863</v>
          </cell>
          <cell r="N82">
            <v>2106.7934261991795</v>
          </cell>
          <cell r="O82">
            <v>2066.3546549915977</v>
          </cell>
          <cell r="P82">
            <v>2026.7924531183542</v>
          </cell>
          <cell r="Q82">
            <v>1988.085527475364</v>
          </cell>
          <cell r="R82">
            <v>1950.2131667970759</v>
          </cell>
          <cell r="S82">
            <v>1913.1552235259451</v>
          </cell>
          <cell r="T82">
            <v>1876.8920963299061</v>
          </cell>
          <cell r="U82">
            <v>1841.4047132417386</v>
          </cell>
          <cell r="V82">
            <v>1806.6745153953393</v>
          </cell>
          <cell r="W82">
            <v>1772.6834413350252</v>
          </cell>
          <cell r="X82">
            <v>1739.4139118750359</v>
          </cell>
          <cell r="Y82">
            <v>1706.8488154873935</v>
          </cell>
          <cell r="Z82">
            <v>1674.9714941972354</v>
          </cell>
          <cell r="AA82">
            <v>1643.765729965641</v>
          </cell>
          <cell r="AB82">
            <v>1613.2157315408288</v>
          </cell>
          <cell r="AC82">
            <v>1583.3061217594463</v>
          </cell>
          <cell r="AD82">
            <v>1554.021925280435</v>
          </cell>
          <cell r="AE82">
            <v>1525.3485567347291</v>
          </cell>
        </row>
        <row r="83">
          <cell r="G83" t="str">
            <v>RegionSugarStock</v>
          </cell>
          <cell r="H83" t="str">
            <v>Ind</v>
          </cell>
          <cell r="I83" t="str">
            <v>Sugar</v>
          </cell>
          <cell r="J83" t="str">
            <v>Stock</v>
          </cell>
          <cell r="K83" t="str">
            <v>Consumption (MWh)</v>
          </cell>
          <cell r="L83">
            <v>418.21008276222733</v>
          </cell>
          <cell r="M83">
            <v>425.03709595246266</v>
          </cell>
          <cell r="N83">
            <v>432.03488996454973</v>
          </cell>
          <cell r="O83">
            <v>439.20849737015453</v>
          </cell>
          <cell r="P83">
            <v>446.56310939056141</v>
          </cell>
          <cell r="Q83">
            <v>454.10408109706395</v>
          </cell>
          <cell r="R83">
            <v>461.83693678637411</v>
          </cell>
          <cell r="S83">
            <v>469.76737553704612</v>
          </cell>
          <cell r="T83">
            <v>477.90127695312259</v>
          </cell>
          <cell r="U83">
            <v>486.24470710142145</v>
          </cell>
          <cell r="V83">
            <v>494.80392464911006</v>
          </cell>
          <cell r="W83">
            <v>503.58538720843927</v>
          </cell>
          <cell r="X83">
            <v>512.59575789575115</v>
          </cell>
          <cell r="Y83">
            <v>521.8419121121218</v>
          </cell>
          <cell r="Z83">
            <v>531.33094455325283</v>
          </cell>
          <cell r="AA83">
            <v>541.07017645649535</v>
          </cell>
          <cell r="AB83">
            <v>551.06716309315811</v>
          </cell>
          <cell r="AC83">
            <v>561.32970151454037</v>
          </cell>
          <cell r="AD83">
            <v>571.86583856041943</v>
          </cell>
          <cell r="AE83">
            <v>582.68387913902927</v>
          </cell>
        </row>
        <row r="84">
          <cell r="G84" t="str">
            <v>RegionHi Tech - Chip FabStock</v>
          </cell>
          <cell r="H84" t="str">
            <v>Ind</v>
          </cell>
          <cell r="I84" t="str">
            <v>Hi Tech - Chip Fab</v>
          </cell>
          <cell r="J84" t="str">
            <v>Stock</v>
          </cell>
          <cell r="K84" t="str">
            <v>Consumption (MWh)</v>
          </cell>
          <cell r="L84">
            <v>1006.0460601146721</v>
          </cell>
          <cell r="M84">
            <v>1000.3329509481151</v>
          </cell>
          <cell r="N84">
            <v>994.89158283732945</v>
          </cell>
          <cell r="O84">
            <v>989.7482068086025</v>
          </cell>
          <cell r="P84">
            <v>984.93353757072975</v>
          </cell>
          <cell r="Q84">
            <v>980.48348619000922</v>
          </cell>
          <cell r="R84">
            <v>976.44001337591533</v>
          </cell>
          <cell r="S84">
            <v>972.8521232290575</v>
          </cell>
          <cell r="T84">
            <v>969.77702057049214</v>
          </cell>
          <cell r="U84">
            <v>967.28145877672466</v>
          </cell>
          <cell r="V84">
            <v>965.44330947633159</v>
          </cell>
          <cell r="W84">
            <v>964.35339062514197</v>
          </cell>
          <cell r="X84">
            <v>964.11759548739883</v>
          </cell>
          <cell r="Y84">
            <v>964.85937205009338</v>
          </cell>
          <cell r="Z84">
            <v>966.72261054955777</v>
          </cell>
          <cell r="AA84">
            <v>969.87500628305759</v>
          </cell>
          <cell r="AB84">
            <v>974.5119759343653</v>
          </cell>
          <cell r="AC84">
            <v>980.86121851835412</v>
          </cell>
          <cell r="AD84">
            <v>989.1880270450107</v>
          </cell>
          <cell r="AE84">
            <v>999.80147446679428</v>
          </cell>
        </row>
        <row r="85">
          <cell r="G85" t="str">
            <v>RegionHi Tech - SiliconStock</v>
          </cell>
          <cell r="H85" t="str">
            <v>Ind</v>
          </cell>
          <cell r="I85" t="str">
            <v>Hi Tech - Silicon</v>
          </cell>
          <cell r="J85" t="str">
            <v>Stock</v>
          </cell>
          <cell r="K85" t="str">
            <v>Consumption (MWh)</v>
          </cell>
          <cell r="L85">
            <v>284.34499034738553</v>
          </cell>
          <cell r="M85">
            <v>287.29976313860476</v>
          </cell>
          <cell r="N85">
            <v>290.29160813525334</v>
          </cell>
          <cell r="O85">
            <v>293.32107827772393</v>
          </cell>
          <cell r="P85">
            <v>296.38873581768416</v>
          </cell>
          <cell r="Q85">
            <v>299.4951524900074</v>
          </cell>
          <cell r="R85">
            <v>302.6409096802866</v>
          </cell>
          <cell r="S85">
            <v>305.82659860171441</v>
          </cell>
          <cell r="T85">
            <v>309.05282047256748</v>
          </cell>
          <cell r="U85">
            <v>312.32018669687864</v>
          </cell>
          <cell r="V85">
            <v>315.62931904723939</v>
          </cell>
          <cell r="W85">
            <v>318.98084985679924</v>
          </cell>
          <cell r="X85">
            <v>322.37542220680399</v>
          </cell>
          <cell r="Y85">
            <v>325.81369012346352</v>
          </cell>
          <cell r="Z85">
            <v>329.29631877679583</v>
          </cell>
          <cell r="AA85">
            <v>332.82398468207651</v>
          </cell>
          <cell r="AB85">
            <v>336.39737590718551</v>
          </cell>
          <cell r="AC85">
            <v>340.01719228172311</v>
          </cell>
          <cell r="AD85">
            <v>343.68414561160887</v>
          </cell>
          <cell r="AE85">
            <v>347.39895989699852</v>
          </cell>
        </row>
        <row r="86">
          <cell r="G86" t="str">
            <v>RegionMetal FabStock</v>
          </cell>
          <cell r="H86" t="str">
            <v>Ind</v>
          </cell>
          <cell r="I86" t="str">
            <v>Metal Fab</v>
          </cell>
          <cell r="J86" t="str">
            <v>Stock</v>
          </cell>
          <cell r="K86" t="str">
            <v>Consumption (MWh)</v>
          </cell>
          <cell r="L86">
            <v>1217.7065320192728</v>
          </cell>
          <cell r="M86">
            <v>1179.4160318853844</v>
          </cell>
          <cell r="N86">
            <v>1142.3770893386957</v>
          </cell>
          <cell r="O86">
            <v>1106.5472689403477</v>
          </cell>
          <cell r="P86">
            <v>1071.8856224795945</v>
          </cell>
          <cell r="Q86">
            <v>1038.35263533641</v>
          </cell>
          <cell r="R86">
            <v>1005.9101748255557</v>
          </cell>
          <cell r="S86">
            <v>974.52144044746103</v>
          </cell>
          <cell r="T86">
            <v>944.15091597410878</v>
          </cell>
          <cell r="U86">
            <v>914.76432330088289</v>
          </cell>
          <cell r="V86">
            <v>886.32857799796386</v>
          </cell>
          <cell r="W86">
            <v>858.81174649740069</v>
          </cell>
          <cell r="X86">
            <v>832.18300485443342</v>
          </cell>
          <cell r="Y86">
            <v>806.4125990239736</v>
          </cell>
          <cell r="Z86">
            <v>781.47180659541982</v>
          </cell>
          <cell r="AA86">
            <v>757.33289993114045</v>
          </cell>
          <cell r="AB86">
            <v>733.96911065604934</v>
          </cell>
          <cell r="AC86">
            <v>711.35459544769526</v>
          </cell>
          <cell r="AD86">
            <v>689.46440307822058</v>
          </cell>
          <cell r="AE86">
            <v>668.27444266138707</v>
          </cell>
        </row>
        <row r="87">
          <cell r="G87" t="str">
            <v>RegionTransportation, EquipStock</v>
          </cell>
          <cell r="H87" t="str">
            <v>Ind</v>
          </cell>
          <cell r="I87" t="str">
            <v>Transportation, Equip</v>
          </cell>
          <cell r="J87" t="str">
            <v>Stock</v>
          </cell>
          <cell r="K87" t="str">
            <v>Consumption (MWh)</v>
          </cell>
          <cell r="L87">
            <v>1076.6667628215623</v>
          </cell>
          <cell r="M87">
            <v>1098.0350726149293</v>
          </cell>
          <cell r="N87">
            <v>1121.3672719254876</v>
          </cell>
          <cell r="O87">
            <v>1146.153563831145</v>
          </cell>
          <cell r="P87">
            <v>1172.150501733289</v>
          </cell>
          <cell r="Q87">
            <v>1199.2483594108337</v>
          </cell>
          <cell r="R87">
            <v>1227.404767400378</v>
          </cell>
          <cell r="S87">
            <v>1256.6115123270588</v>
          </cell>
          <cell r="T87">
            <v>1286.8779328266905</v>
          </cell>
          <cell r="U87">
            <v>1318.2226215417572</v>
          </cell>
          <cell r="V87">
            <v>1350.6692842652571</v>
          </cell>
          <cell r="W87">
            <v>1384.244679939135</v>
          </cell>
          <cell r="X87">
            <v>1418.977602449992</v>
          </cell>
          <cell r="Y87">
            <v>1454.8983842430932</v>
          </cell>
          <cell r="Z87">
            <v>1492.0386615455068</v>
          </cell>
          <cell r="AA87">
            <v>1530.431270989727</v>
          </cell>
          <cell r="AB87">
            <v>1570.1102124874969</v>
          </cell>
          <cell r="AC87">
            <v>1611.1106457620235</v>
          </cell>
          <cell r="AD87">
            <v>1653.4689042409216</v>
          </cell>
          <cell r="AE87">
            <v>1697.2225181669867</v>
          </cell>
        </row>
        <row r="88">
          <cell r="G88" t="str">
            <v>RegionRefineryStock</v>
          </cell>
          <cell r="H88" t="str">
            <v>Ind</v>
          </cell>
          <cell r="I88" t="str">
            <v>Refinery</v>
          </cell>
          <cell r="J88" t="str">
            <v>Stock</v>
          </cell>
          <cell r="K88" t="str">
            <v>Consumption (MWh)</v>
          </cell>
          <cell r="L88">
            <v>765.22818377294288</v>
          </cell>
          <cell r="M88">
            <v>781.3947611399982</v>
          </cell>
          <cell r="N88">
            <v>797.92353135944916</v>
          </cell>
          <cell r="O88">
            <v>814.8228635626707</v>
          </cell>
          <cell r="P88">
            <v>832.10132328695011</v>
          </cell>
          <cell r="Q88">
            <v>849.76767712050173</v>
          </cell>
          <cell r="R88">
            <v>867.83089745777204</v>
          </cell>
          <cell r="S88">
            <v>886.30016736765776</v>
          </cell>
          <cell r="T88">
            <v>905.18488557732178</v>
          </cell>
          <cell r="U88">
            <v>924.49467157436095</v>
          </cell>
          <cell r="V88">
            <v>944.23937083013925</v>
          </cell>
          <cell r="W88">
            <v>964.4290601471705</v>
          </cell>
          <cell r="X88">
            <v>985.07405313350262</v>
          </cell>
          <cell r="Y88">
            <v>1006.1849058071258</v>
          </cell>
          <cell r="Z88">
            <v>1027.7724223334981</v>
          </cell>
          <cell r="AA88">
            <v>1049.8476608993565</v>
          </cell>
          <cell r="AB88">
            <v>1072.421939726059</v>
          </cell>
          <cell r="AC88">
            <v>1095.5068432257744</v>
          </cell>
          <cell r="AD88">
            <v>1119.1142283039237</v>
          </cell>
          <cell r="AE88">
            <v>1143.2562308113509</v>
          </cell>
        </row>
        <row r="89">
          <cell r="G89" t="str">
            <v>RegionCold StorageStock</v>
          </cell>
          <cell r="H89" t="str">
            <v>Ind</v>
          </cell>
          <cell r="I89" t="str">
            <v>Cold Storage</v>
          </cell>
          <cell r="J89" t="str">
            <v>Stock</v>
          </cell>
          <cell r="K89" t="str">
            <v>Consumption (MWh)</v>
          </cell>
          <cell r="L89">
            <v>760.26684943858231</v>
          </cell>
          <cell r="M89">
            <v>776.05620214175406</v>
          </cell>
          <cell r="N89">
            <v>792.19621159046847</v>
          </cell>
          <cell r="O89">
            <v>808.69515588075546</v>
          </cell>
          <cell r="P89">
            <v>825.56151893558535</v>
          </cell>
          <cell r="Q89">
            <v>842.80399583575695</v>
          </cell>
          <cell r="R89">
            <v>860.43149829306708</v>
          </cell>
          <cell r="S89">
            <v>878.45316026963599</v>
          </cell>
          <cell r="T89">
            <v>896.87834374738043</v>
          </cell>
          <cell r="U89">
            <v>915.71664465172375</v>
          </cell>
          <cell r="V89">
            <v>934.97789893375375</v>
          </cell>
          <cell r="W89">
            <v>954.6721888151551</v>
          </cell>
          <cell r="X89">
            <v>974.80984920035939</v>
          </cell>
          <cell r="Y89">
            <v>995.40147426047997</v>
          </cell>
          <cell r="Z89">
            <v>1016.4579241937281</v>
          </cell>
          <cell r="AA89">
            <v>1037.9903321671334</v>
          </cell>
          <cell r="AB89">
            <v>1060.0101114445256</v>
          </cell>
          <cell r="AC89">
            <v>1082.5289627058755</v>
          </cell>
          <cell r="AD89">
            <v>1105.5588815632291</v>
          </cell>
          <cell r="AE89">
            <v>1129.1121662786165</v>
          </cell>
        </row>
        <row r="90">
          <cell r="G90" t="str">
            <v>RegionFruit StorageStock</v>
          </cell>
          <cell r="H90" t="str">
            <v>Ind</v>
          </cell>
          <cell r="I90" t="str">
            <v>Fruit Storage</v>
          </cell>
          <cell r="J90" t="str">
            <v>Stock</v>
          </cell>
          <cell r="K90" t="str">
            <v>Consumption (MWh)</v>
          </cell>
          <cell r="L90">
            <v>1661.0268711577528</v>
          </cell>
          <cell r="M90">
            <v>1721.9365513000373</v>
          </cell>
          <cell r="N90">
            <v>1785.3002617974537</v>
          </cell>
          <cell r="O90">
            <v>1851.2328648546179</v>
          </cell>
          <cell r="P90">
            <v>1919.8556581123303</v>
          </cell>
          <cell r="Q90">
            <v>1991.2967956982475</v>
          </cell>
          <cell r="R90">
            <v>2065.6917397134598</v>
          </cell>
          <cell r="S90">
            <v>2143.1837444731686</v>
          </cell>
          <cell r="T90">
            <v>2223.9243760005988</v>
          </cell>
          <cell r="U90">
            <v>2308.0740694684932</v>
          </cell>
          <cell r="V90">
            <v>2395.8027274931774</v>
          </cell>
          <cell r="W90">
            <v>2487.290362413426</v>
          </cell>
          <cell r="X90">
            <v>2582.7277859315755</v>
          </cell>
          <cell r="Y90">
            <v>2682.3173497589064</v>
          </cell>
          <cell r="Z90">
            <v>2786.2737411928069</v>
          </cell>
          <cell r="AA90">
            <v>2894.8248378612784</v>
          </cell>
          <cell r="AB90">
            <v>3008.21262620276</v>
          </cell>
          <cell r="AC90">
            <v>3126.6941886079612</v>
          </cell>
          <cell r="AD90">
            <v>3250.5427645374466</v>
          </cell>
          <cell r="AE90">
            <v>3380.0488913464646</v>
          </cell>
        </row>
        <row r="91">
          <cell r="G91" t="str">
            <v>RegionChemicalStock</v>
          </cell>
          <cell r="H91" t="str">
            <v>Ind</v>
          </cell>
          <cell r="I91" t="str">
            <v>Chemical</v>
          </cell>
          <cell r="J91" t="str">
            <v>Stock</v>
          </cell>
          <cell r="K91" t="str">
            <v>Consumption (MWh)</v>
          </cell>
          <cell r="L91">
            <v>2313.5691860381849</v>
          </cell>
          <cell r="M91">
            <v>2381.2548571292859</v>
          </cell>
          <cell r="N91">
            <v>2450.6208230832663</v>
          </cell>
          <cell r="O91">
            <v>2522.9211058695414</v>
          </cell>
          <cell r="P91">
            <v>2599.2435735916865</v>
          </cell>
          <cell r="Q91">
            <v>2679.5483548584343</v>
          </cell>
          <cell r="R91">
            <v>2765.6163507857527</v>
          </cell>
          <cell r="S91">
            <v>2857.2605009938256</v>
          </cell>
          <cell r="T91">
            <v>2954.0111713352512</v>
          </cell>
          <cell r="U91">
            <v>3057.0422254285559</v>
          </cell>
          <cell r="V91">
            <v>3167.1269688611228</v>
          </cell>
          <cell r="W91">
            <v>3282.6543220971407</v>
          </cell>
          <cell r="X91">
            <v>3404.3222220260527</v>
          </cell>
          <cell r="Y91">
            <v>3535.0789014552142</v>
          </cell>
          <cell r="Z91">
            <v>3673.2667986299771</v>
          </cell>
          <cell r="AA91">
            <v>3819.8427148505148</v>
          </cell>
          <cell r="AB91">
            <v>3974.4694892549323</v>
          </cell>
          <cell r="AC91">
            <v>4137.3826123403705</v>
          </cell>
          <cell r="AD91">
            <v>4311.3171070297012</v>
          </cell>
          <cell r="AE91">
            <v>4496.5769164393305</v>
          </cell>
        </row>
        <row r="92">
          <cell r="G92" t="str">
            <v>RegionMisc ManfStock</v>
          </cell>
          <cell r="H92" t="str">
            <v>Ind</v>
          </cell>
          <cell r="I92" t="str">
            <v>Misc Manf</v>
          </cell>
          <cell r="J92" t="str">
            <v>Stock</v>
          </cell>
          <cell r="K92" t="str">
            <v>Consumption (MWh)</v>
          </cell>
          <cell r="L92">
            <v>4029.7558279101399</v>
          </cell>
          <cell r="M92">
            <v>4061.1910818360939</v>
          </cell>
          <cell r="N92">
            <v>4058.4654273795722</v>
          </cell>
          <cell r="O92">
            <v>4113.7583987330581</v>
          </cell>
          <cell r="P92">
            <v>4130.3622345522963</v>
          </cell>
          <cell r="Q92">
            <v>4198.8642466957572</v>
          </cell>
          <cell r="R92">
            <v>4288.306491397725</v>
          </cell>
          <cell r="S92">
            <v>4367.7996888494363</v>
          </cell>
          <cell r="T92">
            <v>4426.1853462245726</v>
          </cell>
          <cell r="U92">
            <v>4505.1090976811183</v>
          </cell>
          <cell r="V92">
            <v>4555.4729287637538</v>
          </cell>
          <cell r="W92">
            <v>4601.8853096609728</v>
          </cell>
          <cell r="X92">
            <v>4622.5247614175132</v>
          </cell>
          <cell r="Y92">
            <v>4646.0108756316795</v>
          </cell>
          <cell r="Z92">
            <v>4677.8520706630579</v>
          </cell>
          <cell r="AA92">
            <v>4700.3098199950737</v>
          </cell>
          <cell r="AB92">
            <v>4713.6660942004319</v>
          </cell>
          <cell r="AC92">
            <v>4708.4749062275614</v>
          </cell>
          <cell r="AD92">
            <v>4718.6237419429335</v>
          </cell>
          <cell r="AE92">
            <v>4717.7861333754263</v>
          </cell>
        </row>
        <row r="93">
          <cell r="G93" t="str">
            <v>RegionEVStock</v>
          </cell>
          <cell r="H93" t="str">
            <v>EV</v>
          </cell>
          <cell r="I93" t="str">
            <v>EV</v>
          </cell>
          <cell r="J93" t="str">
            <v>Stock</v>
          </cell>
          <cell r="K93" t="str">
            <v>1000 Cars</v>
          </cell>
          <cell r="L93">
            <v>60.183986956923889</v>
          </cell>
          <cell r="M93">
            <v>91.985039267783762</v>
          </cell>
          <cell r="N93">
            <v>131.71899349682545</v>
          </cell>
          <cell r="O93">
            <v>179.31931215654896</v>
          </cell>
          <cell r="P93">
            <v>234.46894197990883</v>
          </cell>
          <cell r="Q93">
            <v>296.9378027583823</v>
          </cell>
          <cell r="R93">
            <v>366.00059330503768</v>
          </cell>
          <cell r="S93">
            <v>441.25939468635204</v>
          </cell>
          <cell r="T93">
            <v>522.62506581198477</v>
          </cell>
          <cell r="U93">
            <v>610.52396116716261</v>
          </cell>
          <cell r="V93">
            <v>705.01906985870437</v>
          </cell>
          <cell r="W93">
            <v>801.72374571842784</v>
          </cell>
          <cell r="X93">
            <v>899.84995621451503</v>
          </cell>
          <cell r="Y93">
            <v>998.49290967026104</v>
          </cell>
          <cell r="Z93">
            <v>1096.4275699987345</v>
          </cell>
          <cell r="AA93">
            <v>1187.7661760902763</v>
          </cell>
          <cell r="AB93">
            <v>1272.9815546454543</v>
          </cell>
          <cell r="AC93">
            <v>1351.8588013409089</v>
          </cell>
          <cell r="AD93">
            <v>1433.0587465545455</v>
          </cell>
          <cell r="AE93">
            <v>1500.0488473772725</v>
          </cell>
        </row>
        <row r="94">
          <cell r="G94" t="str">
            <v>RegionPopStock</v>
          </cell>
          <cell r="H94" t="str">
            <v>Pop</v>
          </cell>
          <cell r="I94" t="str">
            <v>Pop</v>
          </cell>
          <cell r="J94" t="str">
            <v>Stock</v>
          </cell>
          <cell r="K94" t="str">
            <v># of people</v>
          </cell>
          <cell r="L94">
            <v>13520.68111</v>
          </cell>
          <cell r="M94">
            <v>13661.840299999998</v>
          </cell>
          <cell r="N94">
            <v>13803.691440000001</v>
          </cell>
          <cell r="O94">
            <v>13944.276469999999</v>
          </cell>
          <cell r="P94">
            <v>14082.801340000002</v>
          </cell>
          <cell r="Q94">
            <v>14218.715590000002</v>
          </cell>
          <cell r="R94">
            <v>14351.918940000001</v>
          </cell>
          <cell r="S94">
            <v>14482.437540000003</v>
          </cell>
          <cell r="T94">
            <v>14610.4211</v>
          </cell>
          <cell r="U94">
            <v>14736.24631</v>
          </cell>
          <cell r="V94">
            <v>14860.320880000001</v>
          </cell>
          <cell r="W94">
            <v>14983.078860000001</v>
          </cell>
          <cell r="X94">
            <v>15104.70127</v>
          </cell>
          <cell r="Y94">
            <v>15225.195700000002</v>
          </cell>
          <cell r="Z94">
            <v>15344.62486</v>
          </cell>
          <cell r="AA94">
            <v>15463.089019999998</v>
          </cell>
          <cell r="AB94">
            <v>15580.68845</v>
          </cell>
          <cell r="AC94">
            <v>15697.50913</v>
          </cell>
          <cell r="AD94">
            <v>15813.626329999999</v>
          </cell>
          <cell r="AE94">
            <v>15929.254489999999</v>
          </cell>
        </row>
        <row r="95">
          <cell r="G95" t="str">
            <v>RegionDataCenterStock</v>
          </cell>
          <cell r="H95" t="str">
            <v>DataCenter</v>
          </cell>
          <cell r="I95" t="str">
            <v>DataCenter</v>
          </cell>
          <cell r="J95" t="str">
            <v>Stock</v>
          </cell>
          <cell r="K95" t="str">
            <v>Consumption (aMW)</v>
          </cell>
          <cell r="L95">
            <v>381.60143269415096</v>
          </cell>
          <cell r="M95">
            <v>404.69885906229592</v>
          </cell>
          <cell r="N95">
            <v>421.46039895133885</v>
          </cell>
          <cell r="O95">
            <v>419.64642143844253</v>
          </cell>
          <cell r="P95">
            <v>423.66562864853898</v>
          </cell>
          <cell r="Q95">
            <v>432.76092390952061</v>
          </cell>
          <cell r="R95">
            <v>446.31531189522576</v>
          </cell>
          <cell r="S95">
            <v>450.98222620533323</v>
          </cell>
          <cell r="T95">
            <v>459.05126073815245</v>
          </cell>
          <cell r="U95">
            <v>470.19601765719887</v>
          </cell>
          <cell r="V95">
            <v>484.16208251533135</v>
          </cell>
          <cell r="W95">
            <v>494.21069266812788</v>
          </cell>
          <cell r="X95">
            <v>506.64189476780371</v>
          </cell>
          <cell r="Y95">
            <v>521.35392484293436</v>
          </cell>
          <cell r="Z95">
            <v>538.28523642117</v>
          </cell>
          <cell r="AA95">
            <v>554.01935267425768</v>
          </cell>
          <cell r="AB95">
            <v>571.88182312772415</v>
          </cell>
          <cell r="AC95">
            <v>591.90212163156946</v>
          </cell>
          <cell r="AD95">
            <v>614.13634434495953</v>
          </cell>
          <cell r="AE95">
            <v>636.87438282107769</v>
          </cell>
        </row>
        <row r="96">
          <cell r="G96" t="str">
            <v>RegionTotalLoadStock</v>
          </cell>
          <cell r="H96" t="str">
            <v>DEI</v>
          </cell>
          <cell r="I96" t="str">
            <v>TotalLoad</v>
          </cell>
          <cell r="J96" t="str">
            <v>Stock</v>
          </cell>
          <cell r="K96" t="str">
            <v>Consumption (aMW)</v>
          </cell>
          <cell r="L96">
            <v>21071.66</v>
          </cell>
          <cell r="M96">
            <v>21195.54</v>
          </cell>
          <cell r="N96">
            <v>21410</v>
          </cell>
          <cell r="O96">
            <v>21551.43</v>
          </cell>
          <cell r="P96">
            <v>21679.64</v>
          </cell>
          <cell r="Q96">
            <v>21827.78</v>
          </cell>
          <cell r="R96">
            <v>21990.98</v>
          </cell>
          <cell r="S96">
            <v>22168.240000000002</v>
          </cell>
          <cell r="T96">
            <v>22361.75</v>
          </cell>
          <cell r="U96">
            <v>22575.51</v>
          </cell>
          <cell r="V96">
            <v>22799.94</v>
          </cell>
          <cell r="W96">
            <v>23044.44</v>
          </cell>
          <cell r="X96">
            <v>23305.64</v>
          </cell>
          <cell r="Y96">
            <v>23567.14</v>
          </cell>
          <cell r="Z96">
            <v>23843.91</v>
          </cell>
          <cell r="AA96">
            <v>24084.7</v>
          </cell>
          <cell r="AB96">
            <v>24359.31</v>
          </cell>
          <cell r="AC96">
            <v>24636.46</v>
          </cell>
          <cell r="AD96">
            <v>24918.69</v>
          </cell>
          <cell r="AE96">
            <v>25207.16</v>
          </cell>
        </row>
        <row r="97">
          <cell r="G97"/>
          <cell r="H97"/>
          <cell r="I97"/>
          <cell r="J97"/>
          <cell r="K97"/>
          <cell r="L97"/>
          <cell r="M97"/>
          <cell r="N97"/>
          <cell r="O97"/>
          <cell r="P97"/>
          <cell r="Q97"/>
          <cell r="R97"/>
          <cell r="S97"/>
          <cell r="T97"/>
          <cell r="U97"/>
          <cell r="V97"/>
          <cell r="W97"/>
          <cell r="X97"/>
          <cell r="Y97"/>
          <cell r="Z97"/>
          <cell r="AA97"/>
          <cell r="AB97"/>
          <cell r="AC97"/>
          <cell r="AD97"/>
          <cell r="AE97"/>
        </row>
        <row r="98">
          <cell r="G98"/>
          <cell r="H98"/>
          <cell r="I98"/>
          <cell r="J98"/>
          <cell r="K98"/>
          <cell r="L98"/>
          <cell r="M98"/>
          <cell r="N98"/>
          <cell r="O98"/>
          <cell r="P98"/>
          <cell r="Q98"/>
          <cell r="R98"/>
          <cell r="S98"/>
          <cell r="T98"/>
          <cell r="U98"/>
          <cell r="V98"/>
          <cell r="W98"/>
          <cell r="X98"/>
          <cell r="Y98"/>
          <cell r="Z98"/>
          <cell r="AA98"/>
          <cell r="AB98"/>
          <cell r="AC98"/>
          <cell r="AD98"/>
          <cell r="AE98"/>
        </row>
        <row r="99">
          <cell r="G99"/>
          <cell r="H99"/>
          <cell r="I99"/>
          <cell r="J99"/>
          <cell r="K99"/>
          <cell r="L99"/>
          <cell r="M99"/>
          <cell r="N99"/>
          <cell r="O99"/>
          <cell r="P99"/>
          <cell r="Q99"/>
          <cell r="R99"/>
          <cell r="S99"/>
          <cell r="T99"/>
          <cell r="U99"/>
          <cell r="V99"/>
          <cell r="W99"/>
          <cell r="X99"/>
          <cell r="Y99"/>
          <cell r="Z99"/>
          <cell r="AA99"/>
          <cell r="AB99"/>
          <cell r="AC99"/>
          <cell r="AD99"/>
          <cell r="AE99"/>
        </row>
        <row r="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row>
        <row r="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row>
        <row r="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row>
        <row r="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row>
        <row r="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row>
        <row r="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row>
        <row r="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row>
        <row r="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row>
        <row r="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row>
        <row r="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row>
        <row r="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row>
        <row r="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row>
        <row r="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row>
        <row r="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row>
        <row r="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row>
        <row r="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row>
        <row r="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row>
        <row r="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row>
        <row r="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row>
        <row r="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row>
        <row r="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row>
        <row r="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row>
        <row r="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row>
        <row r="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row>
        <row r="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row>
        <row r="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row>
        <row r="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row>
        <row r="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row>
        <row r="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row>
        <row r="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row>
        <row r="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row>
        <row r="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row>
        <row r="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row>
        <row r="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row>
        <row r="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row>
        <row r="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row>
        <row r="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row>
        <row r="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row>
        <row r="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row>
        <row r="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row>
        <row r="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row>
        <row r="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row>
        <row r="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row>
        <row r="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row>
        <row r="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row>
        <row r="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row>
        <row r="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row>
        <row r="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row>
        <row r="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row>
        <row r="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row>
        <row r="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row>
        <row r="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row>
        <row r="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row>
        <row r="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row>
        <row r="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row>
        <row r="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row>
        <row r="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row>
        <row r="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row>
        <row r="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row>
        <row r="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row>
        <row r="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row>
        <row r="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row>
        <row r="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row>
        <row r="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row>
        <row r="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row>
        <row r="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row>
        <row r="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row>
        <row r="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row>
        <row r="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row>
        <row r="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row>
        <row r="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row>
        <row r="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row>
        <row r="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row>
        <row r="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row>
        <row r="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row>
        <row r="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row>
        <row r="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row>
        <row r="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row>
        <row r="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row>
        <row r="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row>
        <row r="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row>
        <row r="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row>
        <row r="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row>
        <row r="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row>
        <row r="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row>
        <row r="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row>
        <row r="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row>
        <row r="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row>
        <row r="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row>
        <row r="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row>
        <row r="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row>
        <row r="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row>
        <row r="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row>
        <row r="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row>
        <row r="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row>
        <row r="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row>
        <row r="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row>
        <row r="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row>
        <row r="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row>
        <row r="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row>
        <row r="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row>
        <row r="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row>
        <row r="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row>
        <row r="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row>
        <row r="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row>
        <row r="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row>
        <row r="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row>
        <row r="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row>
        <row r="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row>
        <row r="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row>
        <row r="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row>
        <row r="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row>
        <row r="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row>
        <row r="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row>
        <row r="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row>
        <row r="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row>
        <row r="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row>
        <row r="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row>
        <row r="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row>
        <row r="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row>
        <row r="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row>
        <row r="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row>
        <row r="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row>
        <row r="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row>
        <row r="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row>
        <row r="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row>
        <row r="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row>
        <row r="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row>
        <row r="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row>
        <row r="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row>
        <row r="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row>
        <row r="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row>
        <row r="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row>
        <row r="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row>
        <row r="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row>
        <row r="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row>
        <row r="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row>
        <row r="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row>
        <row r="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row>
        <row r="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row>
        <row r="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row>
        <row r="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row>
        <row r="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row>
        <row r="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row>
        <row r="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row>
        <row r="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row>
        <row r="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row>
        <row r="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row>
        <row r="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row>
        <row r="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row>
        <row r="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row>
        <row r="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row>
        <row r="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row>
        <row r="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row>
        <row r="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row>
        <row r="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row>
        <row r="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row>
        <row r="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row>
        <row r="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row>
        <row r="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row>
        <row r="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row>
        <row r="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row>
        <row r="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row>
        <row r="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row>
        <row r="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row>
        <row r="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row>
        <row r="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row>
        <row r="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row>
        <row r="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row>
        <row r="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row>
        <row r="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row>
        <row r="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row>
        <row r="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row>
        <row r="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row>
        <row r="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row>
        <row r="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row>
        <row r="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row>
        <row r="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row>
        <row r="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row>
        <row r="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row>
        <row r="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row>
        <row r="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row>
        <row r="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row>
        <row r="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row>
        <row r="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row>
        <row r="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row>
        <row r="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row>
        <row r="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row>
        <row r="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row>
        <row r="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row>
        <row r="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row>
        <row r="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row>
        <row r="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row>
        <row r="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row>
        <row r="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row>
        <row r="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row>
        <row r="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row>
        <row r="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row>
        <row r="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row>
        <row r="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row>
        <row r="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row>
        <row r="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row>
        <row r="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row>
        <row r="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row>
        <row r="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row>
        <row r="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row>
        <row r="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row>
        <row r="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row>
        <row r="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row>
        <row r="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row>
        <row r="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row>
        <row r="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row>
        <row r="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row>
        <row r="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row>
        <row r="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row>
        <row r="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row>
        <row r="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row>
        <row r="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row>
        <row r="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row>
        <row r="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row>
        <row r="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row>
        <row r="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row>
        <row r="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row>
        <row r="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row>
        <row r="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row>
        <row r="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row>
        <row r="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row>
        <row r="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row>
        <row r="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row>
        <row r="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row>
        <row r="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row>
        <row r="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row>
        <row r="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row>
        <row r="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row>
        <row r="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row>
        <row r="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row>
        <row r="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row>
        <row r="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row>
        <row r="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row>
        <row r="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row>
        <row r="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row>
        <row r="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row>
        <row r="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row>
        <row r="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row>
        <row r="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row>
        <row r="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row>
        <row r="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row>
        <row r="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row>
        <row r="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row>
        <row r="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row>
        <row r="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row>
        <row r="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row>
        <row r="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row>
        <row r="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row>
        <row r="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row>
        <row r="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row>
        <row r="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row>
        <row r="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row>
        <row r="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row>
        <row r="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row>
        <row r="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row>
        <row r="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row>
        <row r="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row>
        <row r="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row>
        <row r="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row>
        <row r="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row>
        <row r="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row>
        <row r="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row>
        <row r="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row>
        <row r="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row>
        <row r="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row>
        <row r="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row>
        <row r="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row>
        <row r="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row>
        <row r="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row>
        <row r="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row>
        <row r="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row>
        <row r="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row>
        <row r="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row>
        <row r="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row>
        <row r="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row>
        <row r="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row>
        <row r="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row>
        <row r="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row>
        <row r="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row>
        <row r="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row>
        <row r="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row>
        <row r="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row>
        <row r="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row>
        <row r="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row>
        <row r="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row>
        <row r="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row>
        <row r="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row>
        <row r="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row>
        <row r="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row>
        <row r="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row>
        <row r="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row>
        <row r="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row>
        <row r="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row>
        <row r="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row>
        <row r="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row>
        <row r="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row>
        <row r="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row>
        <row r="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row>
        <row r="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row>
        <row r="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row>
        <row r="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row>
        <row r="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row>
        <row r="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row>
        <row r="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row>
        <row r="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row>
        <row r="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row>
        <row r="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row>
        <row r="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row>
        <row r="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row>
        <row r="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row>
        <row r="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row>
        <row r="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row>
        <row r="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row>
        <row r="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row>
        <row r="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row>
        <row r="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row>
        <row r="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row>
        <row r="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row>
        <row r="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row>
        <row r="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row>
        <row r="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row>
        <row r="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row>
        <row r="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row>
        <row r="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row>
        <row r="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row>
        <row r="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row>
        <row r="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row>
        <row r="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row>
        <row r="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row>
        <row r="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row>
        <row r="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row>
        <row r="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row>
        <row r="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row>
        <row r="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row>
        <row r="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row>
        <row r="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row>
        <row r="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row>
        <row r="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row>
        <row r="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row>
        <row r="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row>
        <row r="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row>
        <row r="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row>
        <row r="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row>
        <row r="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row>
        <row r="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row>
        <row r="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row>
        <row r="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row>
        <row r="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row>
        <row r="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row>
        <row r="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row>
        <row r="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row>
        <row r="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row>
        <row r="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row>
        <row r="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row>
        <row r="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row>
        <row r="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row>
        <row r="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row>
        <row r="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row>
        <row r="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row>
        <row r="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row>
        <row r="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row>
        <row r="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row>
        <row r="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row>
        <row r="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row>
        <row r="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row>
        <row r="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row>
        <row r="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row>
        <row r="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row>
        <row r="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row>
        <row r="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row>
        <row r="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row>
        <row r="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row>
        <row r="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row>
        <row r="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row>
        <row r="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row>
        <row r="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row>
        <row r="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row>
        <row r="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row>
        <row r="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row>
        <row r="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row>
        <row r="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row>
        <row r="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row>
        <row r="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row>
        <row r="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row>
        <row r="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row>
        <row r="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row>
        <row r="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row>
        <row r="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row>
      </sheetData>
      <sheetData sheetId="2"/>
      <sheetData sheetId="3"/>
      <sheetData sheetId="4">
        <row r="12">
          <cell r="AK12">
            <v>2016</v>
          </cell>
        </row>
        <row r="14">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C18" t="str">
            <v>OR_Single Family</v>
          </cell>
          <cell r="D18" t="str">
            <v>Single Family</v>
          </cell>
          <cell r="E18" t="str">
            <v>Existing</v>
          </cell>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C19" t="str">
            <v>OR_Multi Family</v>
          </cell>
          <cell r="D19" t="str">
            <v>Multifamily - Low Rise</v>
          </cell>
          <cell r="E19" t="str">
            <v>Existing</v>
          </cell>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D20" t="str">
            <v>Multifamily - High Rise</v>
          </cell>
          <cell r="E20" t="str">
            <v>Existing</v>
          </cell>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C21" t="str">
            <v>OR_Other Family</v>
          </cell>
          <cell r="D21" t="str">
            <v>Manufactured</v>
          </cell>
          <cell r="E21" t="str">
            <v>Existing</v>
          </cell>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2">
          <cell r="BD22"/>
        </row>
        <row r="23">
          <cell r="D23" t="str">
            <v>WASHINGTON</v>
          </cell>
          <cell r="E23"/>
          <cell r="F23"/>
          <cell r="G23"/>
          <cell r="BD23"/>
        </row>
        <row r="24">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C28" t="str">
            <v>WA_Single Family</v>
          </cell>
          <cell r="D28" t="str">
            <v>Single Family</v>
          </cell>
          <cell r="E28" t="str">
            <v>Existing</v>
          </cell>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C29" t="str">
            <v>WA_Multi Family</v>
          </cell>
          <cell r="D29" t="str">
            <v>Multifamily - Low Rise</v>
          </cell>
          <cell r="E29" t="str">
            <v>Existing</v>
          </cell>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D30" t="str">
            <v>Multifamily - High Rise</v>
          </cell>
          <cell r="E30" t="str">
            <v>Existing</v>
          </cell>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C31" t="str">
            <v>WA_Other Family</v>
          </cell>
          <cell r="D31" t="str">
            <v>Manufactured</v>
          </cell>
          <cell r="E31" t="str">
            <v>Existing</v>
          </cell>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2">
          <cell r="BD32"/>
        </row>
        <row r="33">
          <cell r="D33" t="str">
            <v>IDAHO</v>
          </cell>
          <cell r="E33"/>
          <cell r="F33"/>
          <cell r="G33"/>
          <cell r="BD33"/>
        </row>
        <row r="34">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C38" t="str">
            <v>ID_Single Family</v>
          </cell>
          <cell r="D38" t="str">
            <v>Single Family</v>
          </cell>
          <cell r="E38" t="str">
            <v>Existing</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C39" t="str">
            <v>ID_Multi Family</v>
          </cell>
          <cell r="D39" t="str">
            <v>Multifamily - Low Rise</v>
          </cell>
          <cell r="E39" t="str">
            <v>Existing</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D40" t="str">
            <v>Multifamily - High Rise</v>
          </cell>
          <cell r="E40" t="str">
            <v>Existing</v>
          </cell>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C41" t="str">
            <v>ID_Other Family</v>
          </cell>
          <cell r="D41" t="str">
            <v>Manufactured</v>
          </cell>
          <cell r="E41" t="str">
            <v>Existing</v>
          </cell>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2">
          <cell r="BD42"/>
        </row>
        <row r="43">
          <cell r="D43" t="str">
            <v>MONTANA</v>
          </cell>
          <cell r="E43">
            <v>0.56999999999999995</v>
          </cell>
          <cell r="F43" t="str">
            <v>Western MT portion of state</v>
          </cell>
          <cell r="G43"/>
          <cell r="BD43"/>
        </row>
        <row r="44">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C48" t="str">
            <v>MT_Single Family</v>
          </cell>
          <cell r="D48" t="str">
            <v>Single Family</v>
          </cell>
          <cell r="E48" t="str">
            <v>Existing</v>
          </cell>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C49" t="str">
            <v>MT_Multi Family</v>
          </cell>
          <cell r="D49" t="str">
            <v>Multifamily - Low Rise</v>
          </cell>
          <cell r="E49" t="str">
            <v>Existing</v>
          </cell>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C50" t="str">
            <v>MT</v>
          </cell>
          <cell r="D50" t="str">
            <v>Multifamily - High Rise</v>
          </cell>
          <cell r="E50" t="str">
            <v>Existing</v>
          </cell>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C51" t="str">
            <v>MT_Other Family</v>
          </cell>
          <cell r="D51" t="str">
            <v>Manufactured</v>
          </cell>
          <cell r="E51" t="str">
            <v>Existing</v>
          </cell>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cell r="E53"/>
          <cell r="F53"/>
          <cell r="G53"/>
          <cell r="BD53"/>
        </row>
        <row r="54">
          <cell r="C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C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C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C58"/>
          <cell r="D58" t="str">
            <v>Single Family</v>
          </cell>
          <cell r="E58" t="str">
            <v>Existing</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C59"/>
          <cell r="D59" t="str">
            <v>Multifamily - Low Rise</v>
          </cell>
          <cell r="E59" t="str">
            <v>Existing</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D60" t="str">
            <v>Multifamily - High Rise</v>
          </cell>
          <cell r="E60" t="str">
            <v>Existing</v>
          </cell>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C61"/>
          <cell r="D61" t="str">
            <v>Manufactured</v>
          </cell>
          <cell r="E61" t="str">
            <v>Existing</v>
          </cell>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taxonomy"/>
      <sheetName val="Lookup"/>
      <sheetName val="UEC"/>
      <sheetName val="Tracking Status"/>
    </sheetNames>
    <definedNames>
      <definedName name="ExistingSat" refersTo="='SATS'!$B$10:$F$84"/>
      <definedName name="NewSat" refersTo="='SATS'!$B$87:$F$152"/>
      <definedName name="ResApplic" refersTo="='APPLIC'!$B$8:$F$119"/>
    </definedNames>
    <sheetDataSet>
      <sheetData sheetId="0" refreshError="1"/>
      <sheetData sheetId="1" refreshError="1"/>
      <sheetData sheetId="2">
        <row r="9">
          <cell r="B9" t="str">
            <v>Lighting</v>
          </cell>
        </row>
        <row r="10">
          <cell r="B10" t="str">
            <v>Lighting</v>
          </cell>
        </row>
      </sheetData>
      <sheetData sheetId="3">
        <row r="4">
          <cell r="H4">
            <v>2035</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1</v>
          </cell>
          <cell r="D9">
            <v>1</v>
          </cell>
          <cell r="E9">
            <v>1</v>
          </cell>
          <cell r="F9">
            <v>1</v>
          </cell>
        </row>
        <row r="10">
          <cell r="B10" t="str">
            <v>Lighting - NR</v>
          </cell>
          <cell r="C10">
            <v>1</v>
          </cell>
          <cell r="D10">
            <v>1</v>
          </cell>
          <cell r="E10">
            <v>1</v>
          </cell>
          <cell r="F10">
            <v>1</v>
          </cell>
        </row>
        <row r="11">
          <cell r="B11" t="str">
            <v>Lighting - PPA</v>
          </cell>
          <cell r="C11">
            <v>1</v>
          </cell>
          <cell r="D11">
            <v>1</v>
          </cell>
          <cell r="E11">
            <v>1</v>
          </cell>
          <cell r="F11">
            <v>1</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0.51600000000000001</v>
          </cell>
          <cell r="D17">
            <v>0.58000000000000007</v>
          </cell>
          <cell r="E17">
            <v>0.58000000000000007</v>
          </cell>
          <cell r="F17">
            <v>0.33999999999999997</v>
          </cell>
        </row>
        <row r="18">
          <cell r="B18" t="str">
            <v>Showerheads - Retro</v>
          </cell>
          <cell r="C18">
            <v>0.44247428657992416</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 Supply Equip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0.2475</v>
          </cell>
          <cell r="D28">
            <v>0.25</v>
          </cell>
          <cell r="E28">
            <v>0</v>
          </cell>
          <cell r="F28">
            <v>0</v>
          </cell>
        </row>
        <row r="29">
          <cell r="B29" t="str">
            <v>Solar Water Heater - NR</v>
          </cell>
          <cell r="C29">
            <v>0.2475</v>
          </cell>
          <cell r="D29">
            <v>0.25</v>
          </cell>
          <cell r="E29">
            <v>0</v>
          </cell>
          <cell r="F29">
            <v>0</v>
          </cell>
        </row>
        <row r="30">
          <cell r="B30" t="str">
            <v>Solar Water Heater - Retro</v>
          </cell>
          <cell r="C30">
            <v>0.2475</v>
          </cell>
          <cell r="D30">
            <v>0.25</v>
          </cell>
          <cell r="E30">
            <v>0</v>
          </cell>
          <cell r="F30">
            <v>0</v>
          </cell>
        </row>
        <row r="31">
          <cell r="B31">
            <v>0</v>
          </cell>
          <cell r="C31">
            <v>0</v>
          </cell>
          <cell r="D31">
            <v>0</v>
          </cell>
          <cell r="E31">
            <v>0</v>
          </cell>
          <cell r="F31">
            <v>0</v>
          </cell>
        </row>
        <row r="32">
          <cell r="B32">
            <v>0</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row>
        <row r="44">
          <cell r="B44" t="str">
            <v>Computer - NR</v>
          </cell>
        </row>
        <row r="45">
          <cell r="B45" t="str">
            <v>ASHP - New</v>
          </cell>
          <cell r="C45">
            <v>0.88200000000000001</v>
          </cell>
          <cell r="D45">
            <v>0.5</v>
          </cell>
          <cell r="E45">
            <v>0</v>
          </cell>
          <cell r="F45">
            <v>0.9</v>
          </cell>
        </row>
        <row r="46">
          <cell r="B46" t="str">
            <v>ASHP - NR</v>
          </cell>
          <cell r="C46">
            <v>0.73499999999999999</v>
          </cell>
          <cell r="D46">
            <v>0.5</v>
          </cell>
          <cell r="E46">
            <v>0</v>
          </cell>
          <cell r="F46">
            <v>0.25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0.4519771928174614</v>
          </cell>
          <cell r="D51">
            <v>0</v>
          </cell>
          <cell r="E51">
            <v>0</v>
          </cell>
          <cell r="F51">
            <v>0.56056700768085099</v>
          </cell>
        </row>
        <row r="52">
          <cell r="B52" t="str">
            <v>Duct Sealing - Retro</v>
          </cell>
          <cell r="C52">
            <v>0.4293783331765883</v>
          </cell>
          <cell r="D52">
            <v>0</v>
          </cell>
          <cell r="E52">
            <v>0</v>
          </cell>
          <cell r="F52">
            <v>0.53253865729680838</v>
          </cell>
        </row>
        <row r="53">
          <cell r="B53" t="str">
            <v>WIFI enabled tstats - New</v>
          </cell>
          <cell r="C53">
            <v>0.2</v>
          </cell>
          <cell r="D53">
            <v>0.2</v>
          </cell>
          <cell r="E53">
            <v>0</v>
          </cell>
          <cell r="F53">
            <v>0.2</v>
          </cell>
        </row>
        <row r="54">
          <cell r="B54" t="str">
            <v>WIFI enabled tstats - Retro</v>
          </cell>
          <cell r="C54">
            <v>0.19800000000000001</v>
          </cell>
          <cell r="D54">
            <v>0.19800000000000001</v>
          </cell>
          <cell r="E54">
            <v>0</v>
          </cell>
          <cell r="F54">
            <v>0.19800000000000001</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cell r="C62">
            <v>0</v>
          </cell>
          <cell r="D62">
            <v>0</v>
          </cell>
          <cell r="E62">
            <v>0</v>
          </cell>
          <cell r="F62">
            <v>0</v>
          </cell>
        </row>
        <row r="63">
          <cell r="B63" t="str">
            <v>Heat Recovery Ventilation - New</v>
          </cell>
          <cell r="C63">
            <v>0.89100000000000001</v>
          </cell>
          <cell r="D63">
            <v>0</v>
          </cell>
          <cell r="E63">
            <v>0</v>
          </cell>
          <cell r="F63">
            <v>0</v>
          </cell>
        </row>
        <row r="64">
          <cell r="B64" t="str">
            <v>GSHP - New</v>
          </cell>
          <cell r="C64">
            <v>0.12485156673907999</v>
          </cell>
          <cell r="D64">
            <v>0</v>
          </cell>
          <cell r="E64">
            <v>0</v>
          </cell>
          <cell r="F64">
            <v>0</v>
          </cell>
        </row>
        <row r="65">
          <cell r="B65" t="str">
            <v>GSHP - NR</v>
          </cell>
          <cell r="C65">
            <v>0.12485156673907999</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0.74249999999999994</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0.76</v>
          </cell>
          <cell r="D75">
            <v>0</v>
          </cell>
          <cell r="E75">
            <v>0</v>
          </cell>
          <cell r="F75">
            <v>0.76</v>
          </cell>
        </row>
        <row r="76">
          <cell r="B76" t="str">
            <v>Controls Commissioning and Sizing - NR</v>
          </cell>
          <cell r="C76">
            <v>0.76</v>
          </cell>
          <cell r="D76">
            <v>0</v>
          </cell>
          <cell r="E76">
            <v>0</v>
          </cell>
          <cell r="F76">
            <v>0.76</v>
          </cell>
        </row>
        <row r="77">
          <cell r="B77" t="str">
            <v>ResWx - Retro</v>
          </cell>
          <cell r="C77">
            <v>0.95</v>
          </cell>
          <cell r="D77">
            <v>1</v>
          </cell>
          <cell r="E77">
            <v>0</v>
          </cell>
          <cell r="F77">
            <v>0.95</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3.0150417138103489E-2</v>
          </cell>
          <cell r="D81">
            <v>1.0754159339533284E-2</v>
          </cell>
          <cell r="E81">
            <v>0</v>
          </cell>
          <cell r="F81">
            <v>0</v>
          </cell>
        </row>
        <row r="82">
          <cell r="B82" t="str">
            <v>ATTIC R0 - R49 - Retro</v>
          </cell>
          <cell r="C82">
            <v>1.6064798296574784E-2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2.4846271780712467E-2</v>
          </cell>
          <cell r="D84">
            <v>0</v>
          </cell>
          <cell r="E84">
            <v>0</v>
          </cell>
          <cell r="F84">
            <v>0</v>
          </cell>
        </row>
        <row r="85">
          <cell r="B85" t="str">
            <v>ATTIC R11 - R49 - Retro</v>
          </cell>
          <cell r="C85">
            <v>1.9498021140463982E-2</v>
          </cell>
          <cell r="D85">
            <v>0</v>
          </cell>
          <cell r="E85">
            <v>0</v>
          </cell>
          <cell r="F85">
            <v>0</v>
          </cell>
        </row>
        <row r="86">
          <cell r="B86" t="str">
            <v>ATTIC R19 - R30 - Retro</v>
          </cell>
          <cell r="C86">
            <v>0</v>
          </cell>
          <cell r="D86">
            <v>6.5125260012002723E-2</v>
          </cell>
          <cell r="E86">
            <v>0</v>
          </cell>
          <cell r="F86">
            <v>0</v>
          </cell>
        </row>
        <row r="87">
          <cell r="B87" t="str">
            <v>ATTIC R19 - R38 - Retro</v>
          </cell>
          <cell r="C87">
            <v>8.2033817107202978E-3</v>
          </cell>
          <cell r="D87">
            <v>1.0053116760243517E-2</v>
          </cell>
          <cell r="E87">
            <v>0</v>
          </cell>
          <cell r="F87">
            <v>0</v>
          </cell>
        </row>
        <row r="88">
          <cell r="B88" t="str">
            <v>ATTIC R19 - R49 - Retro</v>
          </cell>
          <cell r="C88">
            <v>1.7662848312546196E-2</v>
          </cell>
          <cell r="D88">
            <v>0.14766594591946242</v>
          </cell>
          <cell r="E88">
            <v>0</v>
          </cell>
          <cell r="F88">
            <v>0</v>
          </cell>
        </row>
        <row r="89">
          <cell r="B89" t="str">
            <v>WALL R0 - R11 - Retro</v>
          </cell>
          <cell r="C89">
            <v>8.46755457988283E-2</v>
          </cell>
          <cell r="D89">
            <v>8.6999999999999966E-2</v>
          </cell>
          <cell r="E89">
            <v>0</v>
          </cell>
          <cell r="F89">
            <v>0</v>
          </cell>
        </row>
        <row r="90">
          <cell r="B90" t="str">
            <v>FLOOR R0 - R19 - Retro</v>
          </cell>
          <cell r="C90">
            <v>7.8781984396844446E-2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4.555152699293441E-2</v>
          </cell>
          <cell r="D92">
            <v>0</v>
          </cell>
          <cell r="E92">
            <v>0</v>
          </cell>
          <cell r="F92">
            <v>0</v>
          </cell>
        </row>
        <row r="93">
          <cell r="B93" t="str">
            <v>FLOOR R0 - R30 - Retro</v>
          </cell>
          <cell r="C93">
            <v>0.10512619459663457</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C100">
            <v>0</v>
          </cell>
          <cell r="D100">
            <v>0</v>
          </cell>
          <cell r="E100">
            <v>0</v>
          </cell>
          <cell r="F100">
            <v>0</v>
          </cell>
        </row>
      </sheetData>
      <sheetData sheetId="5" refreshError="1"/>
      <sheetData sheetId="6" refreshError="1"/>
      <sheetData sheetId="7" refreshError="1"/>
      <sheetData sheetId="8">
        <row r="9">
          <cell r="B9" t="str">
            <v>Lighting - New</v>
          </cell>
          <cell r="C9">
            <v>1</v>
          </cell>
          <cell r="D9">
            <v>1</v>
          </cell>
          <cell r="E9">
            <v>1</v>
          </cell>
          <cell r="F9">
            <v>1</v>
          </cell>
        </row>
        <row r="10">
          <cell r="B10" t="str">
            <v>Lighting - NR</v>
          </cell>
          <cell r="C10">
            <v>0.125</v>
          </cell>
          <cell r="D10">
            <v>0.125</v>
          </cell>
          <cell r="E10">
            <v>0.125</v>
          </cell>
          <cell r="F10">
            <v>0.125</v>
          </cell>
        </row>
        <row r="11">
          <cell r="B11" t="str">
            <v>Lighting - PPA</v>
          </cell>
          <cell r="C11" t="str">
            <v/>
          </cell>
          <cell r="D11" t="str">
            <v/>
          </cell>
          <cell r="E11" t="str">
            <v/>
          </cell>
          <cell r="F11" t="str">
            <v/>
          </cell>
        </row>
        <row r="12">
          <cell r="B12" t="str">
            <v>Dishwasher - New</v>
          </cell>
          <cell r="C12">
            <v>1</v>
          </cell>
          <cell r="D12">
            <v>1</v>
          </cell>
          <cell r="E12">
            <v>1</v>
          </cell>
          <cell r="F12">
            <v>1</v>
          </cell>
        </row>
        <row r="13">
          <cell r="B13" t="str">
            <v>Dishwasher - NR</v>
          </cell>
          <cell r="C13">
            <v>6.4935064935064929E-2</v>
          </cell>
          <cell r="D13">
            <v>6.4935064935064929E-2</v>
          </cell>
          <cell r="E13">
            <v>6.4935064935064929E-2</v>
          </cell>
          <cell r="F13">
            <v>6.4935064935064929E-2</v>
          </cell>
        </row>
        <row r="14">
          <cell r="B14" t="str">
            <v>Clothes Washer - New</v>
          </cell>
          <cell r="C14">
            <v>1</v>
          </cell>
          <cell r="D14">
            <v>1</v>
          </cell>
          <cell r="E14">
            <v>1</v>
          </cell>
          <cell r="F14">
            <v>1</v>
          </cell>
        </row>
        <row r="15">
          <cell r="B15" t="str">
            <v>Clothes Washer - NR</v>
          </cell>
          <cell r="C15">
            <v>7.1428571428571425E-2</v>
          </cell>
          <cell r="D15">
            <v>7.1428571428571425E-2</v>
          </cell>
          <cell r="E15">
            <v>7.1428571428571425E-2</v>
          </cell>
          <cell r="F15">
            <v>7.1428571428571425E-2</v>
          </cell>
        </row>
        <row r="16">
          <cell r="B16" t="str">
            <v>WasteWater Heat Recovery - New</v>
          </cell>
          <cell r="C16">
            <v>1</v>
          </cell>
          <cell r="D16">
            <v>1</v>
          </cell>
          <cell r="E16">
            <v>1</v>
          </cell>
          <cell r="F16">
            <v>1</v>
          </cell>
        </row>
        <row r="17">
          <cell r="B17" t="str">
            <v>Showerheads - New</v>
          </cell>
          <cell r="C17">
            <v>1</v>
          </cell>
          <cell r="D17">
            <v>1</v>
          </cell>
          <cell r="E17">
            <v>1</v>
          </cell>
          <cell r="F17">
            <v>1</v>
          </cell>
        </row>
        <row r="18">
          <cell r="B18" t="str">
            <v>Showerheads - Retro</v>
          </cell>
          <cell r="C18" t="str">
            <v/>
          </cell>
          <cell r="D18" t="str">
            <v/>
          </cell>
          <cell r="E18" t="str">
            <v/>
          </cell>
          <cell r="F18" t="str">
            <v/>
          </cell>
        </row>
        <row r="19">
          <cell r="B19" t="str">
            <v>HPWH - New</v>
          </cell>
          <cell r="C19">
            <v>1</v>
          </cell>
          <cell r="D19">
            <v>1</v>
          </cell>
          <cell r="E19">
            <v>1</v>
          </cell>
          <cell r="F19">
            <v>1</v>
          </cell>
        </row>
        <row r="20">
          <cell r="B20" t="str">
            <v>HPWH - NR</v>
          </cell>
          <cell r="C20">
            <v>7.6923076923076927E-2</v>
          </cell>
          <cell r="D20">
            <v>7.6923076923076927E-2</v>
          </cell>
          <cell r="E20">
            <v>7.6923076923076927E-2</v>
          </cell>
          <cell r="F20">
            <v>7.6923076923076927E-2</v>
          </cell>
        </row>
        <row r="21">
          <cell r="B21" t="str">
            <v>EV Supply Equip - NR</v>
          </cell>
          <cell r="C21">
            <v>0.1</v>
          </cell>
          <cell r="D21">
            <v>0.1</v>
          </cell>
          <cell r="E21">
            <v>0.1</v>
          </cell>
          <cell r="F21">
            <v>0.1</v>
          </cell>
        </row>
        <row r="22">
          <cell r="B22" t="str">
            <v>Clothes Dryer - New</v>
          </cell>
          <cell r="C22">
            <v>1</v>
          </cell>
          <cell r="D22">
            <v>1</v>
          </cell>
          <cell r="E22">
            <v>1</v>
          </cell>
          <cell r="F22">
            <v>1</v>
          </cell>
        </row>
        <row r="23">
          <cell r="B23" t="str">
            <v>Clothes Dryer - NR</v>
          </cell>
          <cell r="C23">
            <v>6.25E-2</v>
          </cell>
          <cell r="D23">
            <v>6.25E-2</v>
          </cell>
          <cell r="E23">
            <v>6.25E-2</v>
          </cell>
          <cell r="F23">
            <v>6.25E-2</v>
          </cell>
        </row>
        <row r="24">
          <cell r="B24" t="str">
            <v>Refrigerator - New</v>
          </cell>
          <cell r="C24">
            <v>1</v>
          </cell>
          <cell r="D24">
            <v>1</v>
          </cell>
          <cell r="E24">
            <v>1</v>
          </cell>
          <cell r="F24">
            <v>1</v>
          </cell>
        </row>
        <row r="25">
          <cell r="B25" t="str">
            <v>Refrigerator - NR</v>
          </cell>
          <cell r="C25">
            <v>6.5789473684210523E-2</v>
          </cell>
          <cell r="D25">
            <v>6.5789473684210523E-2</v>
          </cell>
          <cell r="E25">
            <v>6.5789473684210523E-2</v>
          </cell>
          <cell r="F25">
            <v>6.5789473684210523E-2</v>
          </cell>
        </row>
        <row r="26">
          <cell r="B26" t="str">
            <v>Freezer - New</v>
          </cell>
          <cell r="C26">
            <v>1</v>
          </cell>
          <cell r="D26">
            <v>1</v>
          </cell>
          <cell r="E26">
            <v>1</v>
          </cell>
          <cell r="F26">
            <v>1</v>
          </cell>
        </row>
        <row r="27">
          <cell r="B27" t="str">
            <v>Freezer - NR</v>
          </cell>
          <cell r="C27">
            <v>4.6082949308755762E-2</v>
          </cell>
          <cell r="D27">
            <v>4.6082949308755762E-2</v>
          </cell>
          <cell r="E27">
            <v>4.6082949308755762E-2</v>
          </cell>
          <cell r="F27">
            <v>4.6082949308755762E-2</v>
          </cell>
        </row>
        <row r="28">
          <cell r="B28" t="str">
            <v>Solar Water Heater - New</v>
          </cell>
          <cell r="C28">
            <v>1</v>
          </cell>
          <cell r="D28">
            <v>1</v>
          </cell>
          <cell r="E28">
            <v>1</v>
          </cell>
          <cell r="F28">
            <v>1</v>
          </cell>
        </row>
        <row r="29">
          <cell r="B29" t="str">
            <v>Solar Water Heater - NR</v>
          </cell>
          <cell r="C29" t="e">
            <v>#DIV/0!</v>
          </cell>
          <cell r="D29" t="e">
            <v>#DIV/0!</v>
          </cell>
          <cell r="E29" t="e">
            <v>#DIV/0!</v>
          </cell>
          <cell r="F29" t="e">
            <v>#DIV/0!</v>
          </cell>
        </row>
        <row r="30">
          <cell r="B30" t="str">
            <v>Solar Water Heater - Retro</v>
          </cell>
          <cell r="C30" t="str">
            <v/>
          </cell>
          <cell r="D30" t="str">
            <v/>
          </cell>
          <cell r="E30" t="str">
            <v/>
          </cell>
          <cell r="F30" t="str">
            <v/>
          </cell>
        </row>
        <row r="31">
          <cell r="B31">
            <v>0</v>
          </cell>
          <cell r="C31" t="str">
            <v/>
          </cell>
          <cell r="D31" t="str">
            <v/>
          </cell>
          <cell r="E31" t="str">
            <v/>
          </cell>
          <cell r="F31" t="str">
            <v/>
          </cell>
        </row>
        <row r="32">
          <cell r="B32">
            <v>0</v>
          </cell>
          <cell r="C32" t="str">
            <v/>
          </cell>
          <cell r="D32" t="str">
            <v/>
          </cell>
          <cell r="E32" t="str">
            <v/>
          </cell>
          <cell r="F32" t="str">
            <v/>
          </cell>
        </row>
        <row r="33">
          <cell r="B33" t="str">
            <v>Electric Oven - New</v>
          </cell>
          <cell r="C33">
            <v>1</v>
          </cell>
          <cell r="D33">
            <v>1</v>
          </cell>
          <cell r="E33">
            <v>1</v>
          </cell>
          <cell r="F33">
            <v>1</v>
          </cell>
        </row>
        <row r="34">
          <cell r="B34" t="str">
            <v>Electric Oven - NR</v>
          </cell>
          <cell r="C34">
            <v>0.05</v>
          </cell>
          <cell r="D34">
            <v>0.05</v>
          </cell>
          <cell r="E34">
            <v>0.05</v>
          </cell>
          <cell r="F34">
            <v>0.05</v>
          </cell>
        </row>
        <row r="35">
          <cell r="B35" t="str">
            <v>Microwave - New</v>
          </cell>
          <cell r="C35">
            <v>1</v>
          </cell>
          <cell r="D35">
            <v>1</v>
          </cell>
          <cell r="E35">
            <v>1</v>
          </cell>
          <cell r="F35">
            <v>1</v>
          </cell>
        </row>
        <row r="36">
          <cell r="B36" t="str">
            <v>Microwave - NR</v>
          </cell>
          <cell r="C36">
            <v>0.1111111111111111</v>
          </cell>
          <cell r="D36">
            <v>0.1111111111111111</v>
          </cell>
          <cell r="E36">
            <v>0.1111111111111111</v>
          </cell>
          <cell r="F36">
            <v>0.1111111111111111</v>
          </cell>
        </row>
        <row r="37">
          <cell r="B37" t="str">
            <v>Monitor - New</v>
          </cell>
          <cell r="C37">
            <v>1</v>
          </cell>
          <cell r="D37">
            <v>1</v>
          </cell>
          <cell r="E37">
            <v>1</v>
          </cell>
          <cell r="F37">
            <v>1</v>
          </cell>
        </row>
        <row r="38">
          <cell r="B38" t="str">
            <v>Monitor - NR</v>
          </cell>
          <cell r="C38">
            <v>0.2</v>
          </cell>
          <cell r="D38">
            <v>0.2</v>
          </cell>
          <cell r="E38">
            <v>0.2</v>
          </cell>
          <cell r="F38">
            <v>0.2</v>
          </cell>
        </row>
        <row r="39">
          <cell r="B39" t="str">
            <v>Desktop - New</v>
          </cell>
          <cell r="C39">
            <v>1</v>
          </cell>
          <cell r="D39">
            <v>1</v>
          </cell>
          <cell r="E39">
            <v>1</v>
          </cell>
          <cell r="F39">
            <v>1</v>
          </cell>
        </row>
        <row r="40">
          <cell r="B40" t="str">
            <v>Desktop - NR</v>
          </cell>
          <cell r="C40">
            <v>0.25</v>
          </cell>
          <cell r="D40">
            <v>0.25</v>
          </cell>
          <cell r="E40">
            <v>0.25</v>
          </cell>
          <cell r="F40">
            <v>0.25</v>
          </cell>
        </row>
        <row r="41">
          <cell r="B41" t="str">
            <v>Laptop - New</v>
          </cell>
          <cell r="C41">
            <v>1</v>
          </cell>
          <cell r="D41">
            <v>1</v>
          </cell>
          <cell r="E41">
            <v>1</v>
          </cell>
          <cell r="F41">
            <v>1</v>
          </cell>
        </row>
        <row r="42">
          <cell r="B42" t="str">
            <v>Laptop - NR</v>
          </cell>
          <cell r="C42">
            <v>0.25</v>
          </cell>
          <cell r="D42">
            <v>0.25</v>
          </cell>
          <cell r="E42">
            <v>0.25</v>
          </cell>
          <cell r="F42">
            <v>0.25</v>
          </cell>
        </row>
        <row r="43">
          <cell r="B43" t="str">
            <v>Computer - New</v>
          </cell>
          <cell r="C43">
            <v>1</v>
          </cell>
          <cell r="D43">
            <v>1</v>
          </cell>
          <cell r="E43">
            <v>1</v>
          </cell>
          <cell r="F43">
            <v>1</v>
          </cell>
        </row>
        <row r="44">
          <cell r="B44" t="str">
            <v>Computer - NR</v>
          </cell>
          <cell r="C44">
            <v>0.25</v>
          </cell>
          <cell r="D44">
            <v>0.25</v>
          </cell>
          <cell r="E44">
            <v>0.25</v>
          </cell>
          <cell r="F44">
            <v>0.25</v>
          </cell>
        </row>
        <row r="45">
          <cell r="B45" t="str">
            <v>ASHP - New</v>
          </cell>
          <cell r="C45">
            <v>1</v>
          </cell>
          <cell r="D45">
            <v>1</v>
          </cell>
          <cell r="E45">
            <v>1</v>
          </cell>
          <cell r="F45">
            <v>1</v>
          </cell>
        </row>
        <row r="46">
          <cell r="B46" t="str">
            <v>ASHP - NR</v>
          </cell>
          <cell r="C46">
            <v>6.6666666666666666E-2</v>
          </cell>
          <cell r="D46">
            <v>6.6666666666666666E-2</v>
          </cell>
          <cell r="E46">
            <v>6.6666666666666666E-2</v>
          </cell>
          <cell r="F46">
            <v>6.6666666666666666E-2</v>
          </cell>
        </row>
        <row r="47">
          <cell r="B47" t="str">
            <v>HP - Retro</v>
          </cell>
          <cell r="C47" t="str">
            <v/>
          </cell>
          <cell r="D47" t="str">
            <v/>
          </cell>
          <cell r="E47" t="str">
            <v/>
          </cell>
          <cell r="F47" t="str">
            <v/>
          </cell>
        </row>
        <row r="48">
          <cell r="B48" t="str">
            <v>DHP - New</v>
          </cell>
          <cell r="C48">
            <v>1</v>
          </cell>
          <cell r="D48">
            <v>1</v>
          </cell>
          <cell r="E48">
            <v>1</v>
          </cell>
          <cell r="F48">
            <v>1</v>
          </cell>
        </row>
        <row r="49">
          <cell r="B49" t="str">
            <v>DHP - NR</v>
          </cell>
          <cell r="C49">
            <v>6.6666666666666666E-2</v>
          </cell>
          <cell r="D49">
            <v>6.6666666666666666E-2</v>
          </cell>
          <cell r="E49">
            <v>6.6666666666666666E-2</v>
          </cell>
          <cell r="F49">
            <v>6.6666666666666666E-2</v>
          </cell>
        </row>
        <row r="50">
          <cell r="B50" t="str">
            <v>DHP - Retro</v>
          </cell>
          <cell r="C50" t="str">
            <v/>
          </cell>
          <cell r="D50" t="str">
            <v/>
          </cell>
          <cell r="E50" t="str">
            <v/>
          </cell>
          <cell r="F50" t="str">
            <v/>
          </cell>
        </row>
        <row r="51">
          <cell r="B51" t="str">
            <v>Duct Sealing - New</v>
          </cell>
          <cell r="C51">
            <v>1</v>
          </cell>
          <cell r="D51">
            <v>1</v>
          </cell>
          <cell r="E51">
            <v>1</v>
          </cell>
          <cell r="F51">
            <v>1</v>
          </cell>
        </row>
        <row r="52">
          <cell r="B52" t="str">
            <v>Duct Sealing - Retro</v>
          </cell>
          <cell r="C52" t="str">
            <v/>
          </cell>
          <cell r="D52" t="str">
            <v/>
          </cell>
          <cell r="E52" t="str">
            <v/>
          </cell>
          <cell r="F52" t="str">
            <v/>
          </cell>
        </row>
        <row r="53">
          <cell r="B53" t="str">
            <v>WIFI enabled tstats - New</v>
          </cell>
          <cell r="C53">
            <v>1</v>
          </cell>
          <cell r="D53">
            <v>1</v>
          </cell>
          <cell r="E53">
            <v>1</v>
          </cell>
          <cell r="F53">
            <v>1</v>
          </cell>
        </row>
        <row r="54">
          <cell r="B54" t="str">
            <v>WIFI enabled tstats - Retro</v>
          </cell>
          <cell r="C54" t="str">
            <v/>
          </cell>
          <cell r="D54" t="str">
            <v/>
          </cell>
          <cell r="E54" t="str">
            <v/>
          </cell>
          <cell r="F54" t="str">
            <v/>
          </cell>
        </row>
        <row r="55">
          <cell r="B55" t="str">
            <v>Combo DHP/HPWH units - New</v>
          </cell>
          <cell r="C55">
            <v>1</v>
          </cell>
          <cell r="D55">
            <v>1</v>
          </cell>
          <cell r="E55">
            <v>1</v>
          </cell>
          <cell r="F55">
            <v>1</v>
          </cell>
        </row>
        <row r="56">
          <cell r="B56" t="str">
            <v>Combo DHP/HPWH units - NR</v>
          </cell>
          <cell r="C56" t="e">
            <v>#DIV/0!</v>
          </cell>
          <cell r="D56" t="e">
            <v>#DIV/0!</v>
          </cell>
          <cell r="E56" t="e">
            <v>#DIV/0!</v>
          </cell>
          <cell r="F56" t="e">
            <v>#DIV/0!</v>
          </cell>
        </row>
        <row r="57">
          <cell r="B57" t="str">
            <v>Combo DHP/HPWH units - Retro</v>
          </cell>
          <cell r="C57" t="str">
            <v/>
          </cell>
          <cell r="D57" t="str">
            <v/>
          </cell>
          <cell r="E57" t="str">
            <v/>
          </cell>
          <cell r="F57" t="str">
            <v/>
          </cell>
        </row>
        <row r="58">
          <cell r="B58" t="str">
            <v>Aerator - New</v>
          </cell>
          <cell r="C58">
            <v>1</v>
          </cell>
          <cell r="D58">
            <v>1</v>
          </cell>
          <cell r="E58">
            <v>1</v>
          </cell>
          <cell r="F58">
            <v>1</v>
          </cell>
        </row>
        <row r="59">
          <cell r="B59" t="str">
            <v>Aerator - Retro</v>
          </cell>
          <cell r="C59" t="str">
            <v/>
          </cell>
          <cell r="D59" t="str">
            <v/>
          </cell>
          <cell r="E59" t="str">
            <v/>
          </cell>
          <cell r="F59" t="str">
            <v/>
          </cell>
        </row>
        <row r="60">
          <cell r="B60" t="str">
            <v>Behavior - Retro</v>
          </cell>
          <cell r="C60" t="str">
            <v/>
          </cell>
          <cell r="D60" t="str">
            <v/>
          </cell>
          <cell r="E60" t="str">
            <v/>
          </cell>
          <cell r="F60" t="str">
            <v/>
          </cell>
        </row>
        <row r="61">
          <cell r="B61" t="str">
            <v>Behavior - New</v>
          </cell>
          <cell r="C61">
            <v>1</v>
          </cell>
          <cell r="D61">
            <v>1</v>
          </cell>
          <cell r="E61">
            <v>1</v>
          </cell>
          <cell r="F61">
            <v>1</v>
          </cell>
        </row>
        <row r="62">
          <cell r="B62">
            <v>0</v>
          </cell>
          <cell r="C62" t="str">
            <v/>
          </cell>
          <cell r="D62" t="str">
            <v/>
          </cell>
          <cell r="E62" t="str">
            <v/>
          </cell>
          <cell r="F62" t="str">
            <v/>
          </cell>
        </row>
        <row r="63">
          <cell r="B63" t="str">
            <v>Heat Recovery Ventilation - New</v>
          </cell>
          <cell r="C63">
            <v>1</v>
          </cell>
          <cell r="D63">
            <v>1</v>
          </cell>
          <cell r="E63">
            <v>1</v>
          </cell>
          <cell r="F63">
            <v>1</v>
          </cell>
        </row>
        <row r="64">
          <cell r="B64" t="str">
            <v>GSHP - New</v>
          </cell>
          <cell r="C64">
            <v>1</v>
          </cell>
          <cell r="D64">
            <v>1</v>
          </cell>
          <cell r="E64">
            <v>1</v>
          </cell>
          <cell r="F64">
            <v>1</v>
          </cell>
        </row>
        <row r="65">
          <cell r="B65" t="str">
            <v>GSHP - NR</v>
          </cell>
          <cell r="C65">
            <v>6.6666666666666666E-2</v>
          </cell>
          <cell r="D65">
            <v>6.6666666666666666E-2</v>
          </cell>
          <cell r="E65">
            <v>6.6666666666666666E-2</v>
          </cell>
          <cell r="F65">
            <v>6.6666666666666666E-2</v>
          </cell>
        </row>
        <row r="66">
          <cell r="B66">
            <v>0</v>
          </cell>
          <cell r="C66" t="str">
            <v/>
          </cell>
          <cell r="D66" t="str">
            <v/>
          </cell>
          <cell r="E66" t="str">
            <v/>
          </cell>
          <cell r="F66" t="str">
            <v/>
          </cell>
        </row>
        <row r="67">
          <cell r="B67" t="str">
            <v>ECM for HVAC ventilation - New</v>
          </cell>
          <cell r="C67">
            <v>1</v>
          </cell>
          <cell r="D67">
            <v>1</v>
          </cell>
          <cell r="E67">
            <v>1</v>
          </cell>
          <cell r="F67">
            <v>1</v>
          </cell>
        </row>
        <row r="68">
          <cell r="B68" t="str">
            <v>ECM for HVAC ventilation - NR</v>
          </cell>
          <cell r="C68" t="e">
            <v>#DIV/0!</v>
          </cell>
          <cell r="D68" t="e">
            <v>#DIV/0!</v>
          </cell>
          <cell r="E68" t="e">
            <v>#DIV/0!</v>
          </cell>
          <cell r="F68" t="e">
            <v>#DIV/0!</v>
          </cell>
        </row>
        <row r="69">
          <cell r="B69" t="str">
            <v>Whole house/attic fan - New</v>
          </cell>
          <cell r="C69">
            <v>1</v>
          </cell>
          <cell r="D69">
            <v>1</v>
          </cell>
          <cell r="E69">
            <v>1</v>
          </cell>
          <cell r="F69">
            <v>1</v>
          </cell>
        </row>
        <row r="70">
          <cell r="B70" t="str">
            <v>Whole house/attic fan - Retro</v>
          </cell>
          <cell r="C70" t="str">
            <v/>
          </cell>
          <cell r="D70" t="str">
            <v/>
          </cell>
          <cell r="E70" t="str">
            <v/>
          </cell>
          <cell r="F70" t="str">
            <v/>
          </cell>
        </row>
        <row r="71">
          <cell r="B71" t="str">
            <v>WH Pipe insulation - Retro</v>
          </cell>
          <cell r="C71" t="str">
            <v/>
          </cell>
          <cell r="D71" t="str">
            <v/>
          </cell>
          <cell r="E71" t="str">
            <v/>
          </cell>
          <cell r="F71" t="str">
            <v/>
          </cell>
        </row>
        <row r="72">
          <cell r="B72" t="str">
            <v>DHP Ducted - NR</v>
          </cell>
          <cell r="C72">
            <v>6.6666666666666666E-2</v>
          </cell>
          <cell r="D72">
            <v>6.6666666666666666E-2</v>
          </cell>
          <cell r="E72">
            <v>6.6666666666666666E-2</v>
          </cell>
          <cell r="F72">
            <v>6.6666666666666666E-2</v>
          </cell>
        </row>
        <row r="73">
          <cell r="B73" t="str">
            <v>Advanced Power Strips - New</v>
          </cell>
          <cell r="C73">
            <v>1</v>
          </cell>
          <cell r="D73">
            <v>1</v>
          </cell>
          <cell r="E73">
            <v>1</v>
          </cell>
          <cell r="F73">
            <v>1</v>
          </cell>
        </row>
        <row r="74">
          <cell r="B74" t="str">
            <v>Advanced Power Strips - Retro</v>
          </cell>
          <cell r="C74" t="str">
            <v/>
          </cell>
          <cell r="D74" t="str">
            <v/>
          </cell>
          <cell r="E74" t="str">
            <v/>
          </cell>
          <cell r="F74" t="str">
            <v/>
          </cell>
        </row>
        <row r="75">
          <cell r="B75" t="str">
            <v>Controls Commissioning and Sizing - New</v>
          </cell>
          <cell r="C75">
            <v>1</v>
          </cell>
          <cell r="D75">
            <v>1</v>
          </cell>
          <cell r="E75">
            <v>1</v>
          </cell>
          <cell r="F75">
            <v>1</v>
          </cell>
        </row>
        <row r="76">
          <cell r="B76" t="str">
            <v>Controls Commissioning and Sizing - NR</v>
          </cell>
          <cell r="C76">
            <v>6.6666666666666666E-2</v>
          </cell>
          <cell r="D76">
            <v>6.6666666666666666E-2</v>
          </cell>
          <cell r="E76">
            <v>6.6666666666666666E-2</v>
          </cell>
          <cell r="F76">
            <v>6.6666666666666666E-2</v>
          </cell>
        </row>
        <row r="77">
          <cell r="B77" t="str">
            <v>ResWx - Retro</v>
          </cell>
          <cell r="C77" t="str">
            <v/>
          </cell>
          <cell r="D77" t="str">
            <v/>
          </cell>
          <cell r="E77" t="str">
            <v/>
          </cell>
          <cell r="F77" t="str">
            <v/>
          </cell>
        </row>
      </sheetData>
      <sheetData sheetId="9">
        <row r="9">
          <cell r="C9" t="str">
            <v>Retro12Med</v>
          </cell>
          <cell r="D9">
            <v>0.10937459468255628</v>
          </cell>
          <cell r="E9">
            <v>0.10937459468255628</v>
          </cell>
          <cell r="F9">
            <v>0.10937459468255628</v>
          </cell>
          <cell r="G9">
            <v>0.10937459468255628</v>
          </cell>
          <cell r="H9">
            <v>0.10937459468255628</v>
          </cell>
          <cell r="I9">
            <v>9.8437135214300656E-2</v>
          </cell>
          <cell r="J9">
            <v>7.874970817144053E-2</v>
          </cell>
          <cell r="K9">
            <v>6.2999766537152418E-2</v>
          </cell>
          <cell r="L9">
            <v>5.0399813229721938E-2</v>
          </cell>
          <cell r="M9">
            <v>4.0319850583777551E-2</v>
          </cell>
          <cell r="N9">
            <v>3.225588046702204E-2</v>
          </cell>
          <cell r="O9">
            <v>2.5804704373617631E-2</v>
          </cell>
          <cell r="P9">
            <v>2.0643763498894106E-2</v>
          </cell>
          <cell r="Q9">
            <v>1.6515010799115284E-2</v>
          </cell>
          <cell r="R9">
            <v>1.3212008639292228E-2</v>
          </cell>
          <cell r="S9">
            <v>1.0569606911433781E-2</v>
          </cell>
          <cell r="T9">
            <v>7.2092823794611682E-5</v>
          </cell>
          <cell r="U9">
            <v>2.5747437069512102E-5</v>
          </cell>
          <cell r="V9">
            <v>8.7775353646568632E-6</v>
          </cell>
          <cell r="W9">
            <v>2.8622397928446119E-6</v>
          </cell>
        </row>
        <row r="10">
          <cell r="C10" t="str">
            <v>Retro5Med</v>
          </cell>
          <cell r="D10">
            <v>4.2999999999999997E-2</v>
          </cell>
          <cell r="E10">
            <v>5.279714228027832E-2</v>
          </cell>
          <cell r="F10">
            <v>6.4608251467478173E-2</v>
          </cell>
          <cell r="G10">
            <v>7.4999999999999997E-2</v>
          </cell>
          <cell r="H10">
            <v>8.5546997470333563E-2</v>
          </cell>
          <cell r="I10">
            <v>0.10001472303820647</v>
          </cell>
          <cell r="J10">
            <v>0.10971770435235073</v>
          </cell>
          <cell r="K10">
            <v>0.11208438511970376</v>
          </cell>
          <cell r="L10">
            <v>0.10562608162722853</v>
          </cell>
          <cell r="M10">
            <v>9.0794563997872335E-2</v>
          </cell>
          <cell r="N10">
            <v>7.0260666991849297E-2</v>
          </cell>
          <cell r="O10">
            <v>4.8218360404944538E-2</v>
          </cell>
          <cell r="P10">
            <v>2.8854234614640095E-2</v>
          </cell>
          <cell r="Q10">
            <v>1.4773964924806759E-2</v>
          </cell>
          <cell r="R10">
            <v>6.3385343681182649E-3</v>
          </cell>
          <cell r="S10">
            <v>2.2268577196306039E-3</v>
          </cell>
          <cell r="T10">
            <v>6.2471001963848583E-4</v>
          </cell>
          <cell r="U10">
            <v>1.3615841889635938E-4</v>
          </cell>
          <cell r="V10">
            <v>2.2380636622298944E-5</v>
          </cell>
          <cell r="W10">
            <v>2.68643837586513E-6</v>
          </cell>
        </row>
        <row r="11">
          <cell r="C11" t="str">
            <v>Retro1Slow</v>
          </cell>
          <cell r="D11">
            <v>2.5643970768378654E-3</v>
          </cell>
          <cell r="E11">
            <v>5.1260615529385989E-3</v>
          </cell>
          <cell r="F11">
            <v>9.1015544176433795E-3</v>
          </cell>
          <cell r="G11">
            <v>1.4804925730045659E-2</v>
          </cell>
          <cell r="H11">
            <v>2.2471809420486211E-2</v>
          </cell>
          <cell r="I11">
            <v>3.2184432813882391E-2</v>
          </cell>
          <cell r="J11">
            <v>4.3779667172004086E-2</v>
          </cell>
          <cell r="K11">
            <v>5.675426075474499E-2</v>
          </cell>
          <cell r="L11">
            <v>7.0195239068707532E-2</v>
          </cell>
          <cell r="M11">
            <v>8.2776861842756788E-2</v>
          </cell>
          <cell r="N11">
            <v>9.2870259507494834E-2</v>
          </cell>
          <cell r="O11">
            <v>9.8796470678915727E-2</v>
          </cell>
          <cell r="P11">
            <v>9.9208932889988999E-2</v>
          </cell>
          <cell r="Q11">
            <v>9.3521150494244254E-2</v>
          </cell>
          <cell r="R11">
            <v>8.2226007896862296E-2</v>
          </cell>
          <cell r="S11">
            <v>6.6933566027365665E-2</v>
          </cell>
          <cell r="T11">
            <v>5.0029565143448806E-2</v>
          </cell>
          <cell r="U11">
            <v>3.402486521893211E-2</v>
          </cell>
          <cell r="V11">
            <v>2.0846059340774659E-2</v>
          </cell>
          <cell r="W11">
            <v>0.01</v>
          </cell>
        </row>
        <row r="12">
          <cell r="C12" t="str">
            <v>Retro50Fast</v>
          </cell>
          <cell r="D12">
            <v>0.45</v>
          </cell>
          <cell r="E12">
            <v>0.21</v>
          </cell>
          <cell r="F12">
            <v>0.14000000000000001</v>
          </cell>
          <cell r="G12">
            <v>0.09</v>
          </cell>
          <cell r="H12">
            <v>5.9540362609726505E-2</v>
          </cell>
          <cell r="I12">
            <v>2.9770181304863419E-2</v>
          </cell>
          <cell r="J12">
            <v>1.3231191691050248E-2</v>
          </cell>
          <cell r="K12">
            <v>5.2924766764202991E-3</v>
          </cell>
          <cell r="L12">
            <v>1.9245369732436846E-3</v>
          </cell>
          <cell r="M12">
            <v>6.415123244144505E-4</v>
          </cell>
          <cell r="N12">
            <v>1.9738840751215569E-4</v>
          </cell>
          <cell r="O12">
            <v>5.6396687860615913E-5</v>
          </cell>
          <cell r="P12">
            <v>1.5039116763038152E-5</v>
          </cell>
          <cell r="Q12">
            <v>3.7597791905374933E-6</v>
          </cell>
          <cell r="R12">
            <v>8.8465392733549919E-7</v>
          </cell>
          <cell r="S12">
            <v>1.9658976146974538E-7</v>
          </cell>
          <cell r="T12">
            <v>4.13873183502389E-8</v>
          </cell>
          <cell r="U12">
            <v>8.2774636034343985E-9</v>
          </cell>
          <cell r="V12">
            <v>1.5766598027155965E-9</v>
          </cell>
          <cell r="W12">
            <v>2.8666535811794347E-10</v>
          </cell>
        </row>
        <row r="13">
          <cell r="C13" t="str">
            <v>Retro20Fast</v>
          </cell>
          <cell r="D13">
            <v>0.22119921692859512</v>
          </cell>
          <cell r="E13">
            <v>0.15504311102289431</v>
          </cell>
          <cell r="F13">
            <v>0.10733128557729499</v>
          </cell>
          <cell r="G13">
            <v>8.3589689255657879E-2</v>
          </cell>
          <cell r="H13">
            <v>7.3237179880126971E-2</v>
          </cell>
          <cell r="I13">
            <v>6.3374636711760357E-2</v>
          </cell>
          <cell r="J13">
            <v>5.4291838367783084E-2</v>
          </cell>
          <cell r="K13">
            <v>4.612639225659896E-2</v>
          </cell>
          <cell r="L13">
            <v>3.8916876277172864E-2</v>
          </cell>
          <cell r="M13">
            <v>3.2639916313151704E-2</v>
          </cell>
          <cell r="N13">
            <v>2.7235706125786907E-2</v>
          </cell>
          <cell r="O13">
            <v>2.1211189258265428E-2</v>
          </cell>
          <cell r="P13">
            <v>1.6519290804212883E-2</v>
          </cell>
          <cell r="Q13">
            <v>1.2865236614105324E-2</v>
          </cell>
          <cell r="R13">
            <v>1.0019456349464106E-2</v>
          </cell>
          <cell r="S13">
            <v>7.8031604509122832E-3</v>
          </cell>
          <cell r="T13">
            <v>6.077107469602494E-3</v>
          </cell>
          <cell r="U13">
            <v>4.7328560561354371E-3</v>
          </cell>
          <cell r="V13">
            <v>3.6859520026825132E-3</v>
          </cell>
          <cell r="W13">
            <v>2.8706223060526725E-3</v>
          </cell>
        </row>
        <row r="14">
          <cell r="C14" t="str">
            <v>RetroEven20</v>
          </cell>
          <cell r="D14">
            <v>0.05</v>
          </cell>
          <cell r="E14">
            <v>0.05</v>
          </cell>
          <cell r="F14">
            <v>0.05</v>
          </cell>
          <cell r="G14">
            <v>0.05</v>
          </cell>
          <cell r="H14">
            <v>0.05</v>
          </cell>
          <cell r="I14">
            <v>0.05</v>
          </cell>
          <cell r="J14">
            <v>0.05</v>
          </cell>
          <cell r="K14">
            <v>0.05</v>
          </cell>
          <cell r="L14">
            <v>0.05</v>
          </cell>
          <cell r="M14">
            <v>0.05</v>
          </cell>
          <cell r="N14">
            <v>0.05</v>
          </cell>
          <cell r="O14">
            <v>0.05</v>
          </cell>
          <cell r="P14">
            <v>0.05</v>
          </cell>
          <cell r="Q14">
            <v>0.05</v>
          </cell>
          <cell r="R14">
            <v>0.05</v>
          </cell>
          <cell r="S14">
            <v>0.05</v>
          </cell>
          <cell r="T14">
            <v>0.05</v>
          </cell>
          <cell r="U14">
            <v>0.05</v>
          </cell>
          <cell r="V14">
            <v>0.05</v>
          </cell>
          <cell r="W14">
            <v>0.05</v>
          </cell>
        </row>
        <row r="15">
          <cell r="C15" t="str">
            <v>RetroMax60</v>
          </cell>
          <cell r="D15">
            <v>0.01</v>
          </cell>
          <cell r="E15">
            <v>1.9799999999999998E-2</v>
          </cell>
          <cell r="F15">
            <v>2.9106E-2</v>
          </cell>
          <cell r="G15">
            <v>3.7643759999999998E-2</v>
          </cell>
          <cell r="H15">
            <v>4.5172511999999984E-2</v>
          </cell>
          <cell r="I15">
            <v>4.8635737920000005E-2</v>
          </cell>
          <cell r="J15">
            <v>4.587971277120001E-2</v>
          </cell>
          <cell r="K15">
            <v>4.3279862380832007E-2</v>
          </cell>
          <cell r="L15">
            <v>4.0827336845918161E-2</v>
          </cell>
          <cell r="M15">
            <v>3.8513787757982809E-2</v>
          </cell>
          <cell r="N15">
            <v>3.6331339785030448E-2</v>
          </cell>
          <cell r="O15">
            <v>3.4272563863878724E-2</v>
          </cell>
          <cell r="P15">
            <v>3.2330451911592284E-2</v>
          </cell>
          <cell r="Q15">
            <v>3.0498392969935395E-2</v>
          </cell>
          <cell r="R15">
            <v>2.8770150701639075E-2</v>
          </cell>
          <cell r="S15">
            <v>2.7139842161879479E-2</v>
          </cell>
          <cell r="T15">
            <v>2.5601917772706373E-2</v>
          </cell>
          <cell r="U15">
            <v>2.4151142432252914E-2</v>
          </cell>
          <cell r="V15">
            <v>2.2782577694425266E-2</v>
          </cell>
          <cell r="W15">
            <v>2.1491564958407872E-2</v>
          </cell>
        </row>
        <row r="16">
          <cell r="C16" t="str">
            <v>Retro3Slow</v>
          </cell>
          <cell r="D16">
            <v>5.5320496977002724E-3</v>
          </cell>
          <cell r="E16">
            <v>8.6958686465615706E-3</v>
          </cell>
          <cell r="F16">
            <v>1.7391737293123145E-2</v>
          </cell>
          <cell r="G16">
            <v>3.0435540262965514E-2</v>
          </cell>
          <cell r="H16">
            <v>4.7344173742390784E-2</v>
          </cell>
          <cell r="I16">
            <v>6.6281843239347063E-2</v>
          </cell>
          <cell r="J16">
            <v>8.4358709577350838E-2</v>
          </cell>
          <cell r="K16">
            <v>9.8418494506909315E-2</v>
          </cell>
          <cell r="L16">
            <v>0.10598914793051767</v>
          </cell>
          <cell r="M16">
            <v>0.10598914793051767</v>
          </cell>
          <cell r="N16">
            <v>9.8923204735149928E-2</v>
          </cell>
          <cell r="O16">
            <v>8.655780414325609E-2</v>
          </cell>
          <cell r="P16">
            <v>7.1282897529740263E-2</v>
          </cell>
          <cell r="Q16">
            <v>5.5442253634242489E-2</v>
          </cell>
          <cell r="R16">
            <v>4.0852186888389319E-2</v>
          </cell>
          <cell r="S16">
            <v>2.8596530821872412E-2</v>
          </cell>
          <cell r="T16">
            <v>1.9064353881248275E-2</v>
          </cell>
          <cell r="U16">
            <v>1.2131861560794377E-2</v>
          </cell>
          <cell r="V16">
            <v>7.3846113848314854E-3</v>
          </cell>
          <cell r="W16">
            <v>4.3076899744848296E-3</v>
          </cell>
        </row>
        <row r="17">
          <cell r="C17" t="str">
            <v>LightingPPA</v>
          </cell>
          <cell r="D17">
            <v>0.5468729734127814</v>
          </cell>
          <cell r="E17">
            <v>0.43749837873022512</v>
          </cell>
          <cell r="F17">
            <v>0.32812378404766884</v>
          </cell>
          <cell r="G17">
            <v>0.21874918936511256</v>
          </cell>
          <cell r="H17">
            <v>0.10937459468255628</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A19" t="str">
            <v>End Use</v>
          </cell>
          <cell r="B19" t="str">
            <v>Measure Index Name</v>
          </cell>
          <cell r="C19" t="str">
            <v>Ramp</v>
          </cell>
          <cell r="D19">
            <v>2016</v>
          </cell>
          <cell r="E19">
            <v>2017</v>
          </cell>
          <cell r="F19">
            <v>2018</v>
          </cell>
          <cell r="G19">
            <v>2019</v>
          </cell>
          <cell r="H19">
            <v>2020</v>
          </cell>
          <cell r="I19">
            <v>2021</v>
          </cell>
          <cell r="J19">
            <v>2022</v>
          </cell>
          <cell r="K19">
            <v>2023</v>
          </cell>
          <cell r="L19">
            <v>2024</v>
          </cell>
          <cell r="M19">
            <v>2025</v>
          </cell>
          <cell r="N19">
            <v>2026</v>
          </cell>
          <cell r="O19">
            <v>2027</v>
          </cell>
          <cell r="P19">
            <v>2028</v>
          </cell>
          <cell r="Q19">
            <v>2029</v>
          </cell>
          <cell r="R19">
            <v>2030</v>
          </cell>
          <cell r="S19">
            <v>2031</v>
          </cell>
          <cell r="T19">
            <v>2032</v>
          </cell>
          <cell r="U19">
            <v>2033</v>
          </cell>
          <cell r="V19">
            <v>2034</v>
          </cell>
          <cell r="W19">
            <v>2035</v>
          </cell>
        </row>
        <row r="20">
          <cell r="A20" t="str">
            <v>Lighting</v>
          </cell>
          <cell r="B20" t="str">
            <v>Lighting - New</v>
          </cell>
          <cell r="C20" t="str">
            <v>LO20Fast</v>
          </cell>
          <cell r="D20">
            <v>0.22119921692859512</v>
          </cell>
          <cell r="E20">
            <v>0.37624232795148943</v>
          </cell>
          <cell r="F20">
            <v>0.48357361352878442</v>
          </cell>
          <cell r="G20">
            <v>0.56716330278444227</v>
          </cell>
          <cell r="H20">
            <v>0.64040048266456928</v>
          </cell>
          <cell r="I20">
            <v>0.70377511937632964</v>
          </cell>
          <cell r="J20">
            <v>0.7580669577441127</v>
          </cell>
          <cell r="K20">
            <v>0.80419335000071168</v>
          </cell>
          <cell r="L20">
            <v>0.84311022627788457</v>
          </cell>
          <cell r="M20">
            <v>0.87575014259103623</v>
          </cell>
          <cell r="N20">
            <v>0.90298584871682319</v>
          </cell>
          <cell r="O20">
            <v>0.92419703797508856</v>
          </cell>
          <cell r="P20">
            <v>0.94071632877930145</v>
          </cell>
          <cell r="Q20">
            <v>0.95358156539340677</v>
          </cell>
          <cell r="R20">
            <v>0.96360102174287088</v>
          </cell>
          <cell r="S20">
            <v>0.97140418219378311</v>
          </cell>
          <cell r="T20">
            <v>0.97748128966338554</v>
          </cell>
          <cell r="U20">
            <v>0.98221414571952104</v>
          </cell>
          <cell r="V20">
            <v>0.98590009772220355</v>
          </cell>
          <cell r="W20">
            <v>0.98877072002825628</v>
          </cell>
        </row>
        <row r="21">
          <cell r="A21" t="str">
            <v>Lighting</v>
          </cell>
          <cell r="B21" t="str">
            <v>Lighting - NR</v>
          </cell>
          <cell r="C21" t="str">
            <v>LO20Fast</v>
          </cell>
          <cell r="D21">
            <v>0.22119921692859512</v>
          </cell>
          <cell r="E21">
            <v>0.37624232795148943</v>
          </cell>
          <cell r="F21">
            <v>0.48357361352878442</v>
          </cell>
          <cell r="G21">
            <v>0.56716330278444227</v>
          </cell>
          <cell r="H21">
            <v>0.64040048266456928</v>
          </cell>
          <cell r="I21">
            <v>0.70377511937632964</v>
          </cell>
          <cell r="J21">
            <v>0.7580669577441127</v>
          </cell>
          <cell r="K21">
            <v>0.80419335000071168</v>
          </cell>
          <cell r="L21">
            <v>0.84311022627788457</v>
          </cell>
          <cell r="M21">
            <v>0.87575014259103623</v>
          </cell>
          <cell r="N21">
            <v>0.90298584871682319</v>
          </cell>
          <cell r="O21">
            <v>0.92419703797508856</v>
          </cell>
          <cell r="P21">
            <v>0.94071632877930145</v>
          </cell>
          <cell r="Q21">
            <v>0.95358156539340677</v>
          </cell>
          <cell r="R21">
            <v>0.96360102174287088</v>
          </cell>
          <cell r="S21">
            <v>0.97140418219378311</v>
          </cell>
          <cell r="T21">
            <v>0.97748128966338554</v>
          </cell>
          <cell r="U21">
            <v>0.98221414571952104</v>
          </cell>
          <cell r="V21">
            <v>0.98590009772220355</v>
          </cell>
          <cell r="W21">
            <v>0.98877072002825628</v>
          </cell>
        </row>
        <row r="22">
          <cell r="A22" t="str">
            <v>Lighting</v>
          </cell>
          <cell r="B22" t="str">
            <v>Lighting - PPA</v>
          </cell>
          <cell r="C22" t="str">
            <v>Retro20Fast</v>
          </cell>
          <cell r="D22">
            <v>0.22119921692859512</v>
          </cell>
          <cell r="E22">
            <v>0.15504311102289431</v>
          </cell>
          <cell r="F22">
            <v>0.10733128557729499</v>
          </cell>
          <cell r="G22">
            <v>8.3589689255657879E-2</v>
          </cell>
          <cell r="H22">
            <v>7.3237179880126971E-2</v>
          </cell>
          <cell r="I22">
            <v>6.3374636711760357E-2</v>
          </cell>
          <cell r="J22">
            <v>5.4291838367783084E-2</v>
          </cell>
          <cell r="K22">
            <v>4.612639225659896E-2</v>
          </cell>
          <cell r="L22">
            <v>3.8916876277172864E-2</v>
          </cell>
          <cell r="M22">
            <v>3.2639916313151704E-2</v>
          </cell>
          <cell r="N22">
            <v>2.7235706125786907E-2</v>
          </cell>
          <cell r="O22">
            <v>2.1211189258265428E-2</v>
          </cell>
          <cell r="P22">
            <v>1.6519290804212883E-2</v>
          </cell>
          <cell r="Q22">
            <v>1.2865236614105324E-2</v>
          </cell>
          <cell r="R22">
            <v>1.0019456349464106E-2</v>
          </cell>
          <cell r="S22">
            <v>7.8031604509122832E-3</v>
          </cell>
          <cell r="T22">
            <v>6.077107469602494E-3</v>
          </cell>
          <cell r="U22">
            <v>4.7328560561354371E-3</v>
          </cell>
          <cell r="V22">
            <v>3.6859520026825132E-3</v>
          </cell>
          <cell r="W22">
            <v>2.8706223060526725E-3</v>
          </cell>
        </row>
        <row r="23">
          <cell r="A23" t="str">
            <v>Lighting PPA</v>
          </cell>
          <cell r="B23" t="str">
            <v>Lighting PPA</v>
          </cell>
          <cell r="C23" t="str">
            <v>LightingPPA</v>
          </cell>
          <cell r="D23">
            <v>0.5468729734127814</v>
          </cell>
          <cell r="E23">
            <v>0.43749837873022512</v>
          </cell>
          <cell r="F23">
            <v>0.32812378404766884</v>
          </cell>
          <cell r="G23">
            <v>0.21874918936511256</v>
          </cell>
          <cell r="H23">
            <v>0.10937459468255628</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A24" t="str">
            <v>Water Heating</v>
          </cell>
          <cell r="B24" t="str">
            <v>Dishwasher - New</v>
          </cell>
          <cell r="C24" t="str">
            <v>LO12Med</v>
          </cell>
          <cell r="D24">
            <v>0.10937459468255628</v>
          </cell>
          <cell r="E24">
            <v>0.21874918936511256</v>
          </cell>
          <cell r="F24">
            <v>0.32812378404766884</v>
          </cell>
          <cell r="G24">
            <v>0.43749837873022512</v>
          </cell>
          <cell r="H24">
            <v>0.5468729734127814</v>
          </cell>
          <cell r="I24">
            <v>0.64531010862708205</v>
          </cell>
          <cell r="J24">
            <v>0.7240598167985226</v>
          </cell>
          <cell r="K24">
            <v>0.78705958333567505</v>
          </cell>
          <cell r="L24">
            <v>0.83745939656539703</v>
          </cell>
          <cell r="M24">
            <v>0.87777924714917455</v>
          </cell>
          <cell r="N24">
            <v>0.91003512761619654</v>
          </cell>
          <cell r="O24">
            <v>0.93583983198981413</v>
          </cell>
          <cell r="P24">
            <v>0.9564835954887082</v>
          </cell>
          <cell r="Q24">
            <v>0.97299860628782353</v>
          </cell>
          <cell r="R24">
            <v>0.9862106149271157</v>
          </cell>
          <cell r="S24">
            <v>0.99678022183854953</v>
          </cell>
          <cell r="T24">
            <v>0.99685231466234414</v>
          </cell>
          <cell r="U24">
            <v>0.99687806209941365</v>
          </cell>
          <cell r="V24">
            <v>0.99688683963477831</v>
          </cell>
          <cell r="W24">
            <v>0.99688970187457115</v>
          </cell>
        </row>
        <row r="25">
          <cell r="A25" t="str">
            <v>Water Heating</v>
          </cell>
          <cell r="B25" t="str">
            <v>Dishwasher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row>
        <row r="26">
          <cell r="A26" t="str">
            <v>Water Heating</v>
          </cell>
          <cell r="B26" t="str">
            <v>Clothes Washer - New</v>
          </cell>
          <cell r="C26" t="str">
            <v>LO12Med</v>
          </cell>
          <cell r="D26">
            <v>0.10937459468255628</v>
          </cell>
          <cell r="E26">
            <v>0.21874918936511256</v>
          </cell>
          <cell r="F26">
            <v>0.32812378404766884</v>
          </cell>
          <cell r="G26">
            <v>0.43749837873022512</v>
          </cell>
          <cell r="H26">
            <v>0.5468729734127814</v>
          </cell>
          <cell r="I26">
            <v>0.64531010862708205</v>
          </cell>
          <cell r="J26">
            <v>0.7240598167985226</v>
          </cell>
          <cell r="K26">
            <v>0.78705958333567505</v>
          </cell>
          <cell r="L26">
            <v>0.83745939656539703</v>
          </cell>
          <cell r="M26">
            <v>0.87777924714917455</v>
          </cell>
          <cell r="N26">
            <v>0.91003512761619654</v>
          </cell>
          <cell r="O26">
            <v>0.93583983198981413</v>
          </cell>
          <cell r="P26">
            <v>0.9564835954887082</v>
          </cell>
          <cell r="Q26">
            <v>0.97299860628782353</v>
          </cell>
          <cell r="R26">
            <v>0.9862106149271157</v>
          </cell>
          <cell r="S26">
            <v>0.99678022183854953</v>
          </cell>
          <cell r="T26">
            <v>0.99685231466234414</v>
          </cell>
          <cell r="U26">
            <v>0.99687806209941365</v>
          </cell>
          <cell r="V26">
            <v>0.99688683963477831</v>
          </cell>
          <cell r="W26">
            <v>0.99688970187457115</v>
          </cell>
        </row>
        <row r="27">
          <cell r="A27" t="str">
            <v>Water Heating</v>
          </cell>
          <cell r="B27" t="str">
            <v>Clothes Washer - NR</v>
          </cell>
          <cell r="C27" t="str">
            <v>LO12Med</v>
          </cell>
          <cell r="D27">
            <v>0.10937459468255628</v>
          </cell>
          <cell r="E27">
            <v>0.21874918936511256</v>
          </cell>
          <cell r="F27">
            <v>0.32812378404766884</v>
          </cell>
          <cell r="G27">
            <v>0.43749837873022512</v>
          </cell>
          <cell r="H27">
            <v>0.5468729734127814</v>
          </cell>
          <cell r="I27">
            <v>0.64531010862708205</v>
          </cell>
          <cell r="J27">
            <v>0.7240598167985226</v>
          </cell>
          <cell r="K27">
            <v>0.78705958333567505</v>
          </cell>
          <cell r="L27">
            <v>0.83745939656539703</v>
          </cell>
          <cell r="M27">
            <v>0.87777924714917455</v>
          </cell>
          <cell r="N27">
            <v>0.91003512761619654</v>
          </cell>
          <cell r="O27">
            <v>0.93583983198981413</v>
          </cell>
          <cell r="P27">
            <v>0.9564835954887082</v>
          </cell>
          <cell r="Q27">
            <v>0.97299860628782353</v>
          </cell>
          <cell r="R27">
            <v>0.9862106149271157</v>
          </cell>
          <cell r="S27">
            <v>0.99678022183854953</v>
          </cell>
          <cell r="T27">
            <v>0.99685231466234414</v>
          </cell>
          <cell r="U27">
            <v>0.99687806209941365</v>
          </cell>
          <cell r="V27">
            <v>0.99688683963477831</v>
          </cell>
          <cell r="W27">
            <v>0.99688970187457115</v>
          </cell>
        </row>
        <row r="28">
          <cell r="A28" t="str">
            <v>Water Heating</v>
          </cell>
          <cell r="B28" t="str">
            <v>WasteWater Heat Recovery - New</v>
          </cell>
          <cell r="C28" t="str">
            <v>LO1Slow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row>
        <row r="29">
          <cell r="A29" t="str">
            <v>Water Heating</v>
          </cell>
          <cell r="B29" t="str">
            <v>Showerheads - New</v>
          </cell>
          <cell r="C29" t="str">
            <v>LO12MEd</v>
          </cell>
          <cell r="D29">
            <v>0.10937459468255628</v>
          </cell>
          <cell r="E29">
            <v>0.21874918936511256</v>
          </cell>
          <cell r="F29">
            <v>0.32812378404766884</v>
          </cell>
          <cell r="G29">
            <v>0.43749837873022512</v>
          </cell>
          <cell r="H29">
            <v>0.5468729734127814</v>
          </cell>
          <cell r="I29">
            <v>0.64531010862708205</v>
          </cell>
          <cell r="J29">
            <v>0.7240598167985226</v>
          </cell>
          <cell r="K29">
            <v>0.78705958333567505</v>
          </cell>
          <cell r="L29">
            <v>0.83745939656539703</v>
          </cell>
          <cell r="M29">
            <v>0.87777924714917455</v>
          </cell>
          <cell r="N29">
            <v>0.91003512761619654</v>
          </cell>
          <cell r="O29">
            <v>0.93583983198981413</v>
          </cell>
          <cell r="P29">
            <v>0.9564835954887082</v>
          </cell>
          <cell r="Q29">
            <v>0.97299860628782353</v>
          </cell>
          <cell r="R29">
            <v>0.9862106149271157</v>
          </cell>
          <cell r="S29">
            <v>0.99678022183854953</v>
          </cell>
          <cell r="T29">
            <v>0.99685231466234414</v>
          </cell>
          <cell r="U29">
            <v>0.99687806209941365</v>
          </cell>
          <cell r="V29">
            <v>0.99688683963477831</v>
          </cell>
          <cell r="W29">
            <v>0.99688970187457115</v>
          </cell>
        </row>
        <row r="30">
          <cell r="A30" t="str">
            <v>Water Heating</v>
          </cell>
          <cell r="B30" t="str">
            <v>Showerheads - Retro</v>
          </cell>
          <cell r="C30" t="str">
            <v>Retro12Med</v>
          </cell>
          <cell r="D30">
            <v>0.10937459468255628</v>
          </cell>
          <cell r="E30">
            <v>0.10937459468255628</v>
          </cell>
          <cell r="F30">
            <v>0.10937459468255628</v>
          </cell>
          <cell r="G30">
            <v>0.10937459468255628</v>
          </cell>
          <cell r="H30">
            <v>0.10937459468255628</v>
          </cell>
          <cell r="I30">
            <v>9.8437135214300656E-2</v>
          </cell>
          <cell r="J30">
            <v>7.874970817144053E-2</v>
          </cell>
          <cell r="K30">
            <v>6.2999766537152418E-2</v>
          </cell>
          <cell r="L30">
            <v>5.0399813229721938E-2</v>
          </cell>
          <cell r="M30">
            <v>4.0319850583777551E-2</v>
          </cell>
          <cell r="N30">
            <v>3.225588046702204E-2</v>
          </cell>
          <cell r="O30">
            <v>2.5804704373617631E-2</v>
          </cell>
          <cell r="P30">
            <v>2.0643763498894106E-2</v>
          </cell>
          <cell r="Q30">
            <v>1.6515010799115284E-2</v>
          </cell>
          <cell r="R30">
            <v>1.3212008639292228E-2</v>
          </cell>
          <cell r="S30">
            <v>1.0569606911433781E-2</v>
          </cell>
          <cell r="T30">
            <v>7.2092823794611682E-5</v>
          </cell>
          <cell r="U30">
            <v>2.5747437069512102E-5</v>
          </cell>
          <cell r="V30">
            <v>8.7775353646568632E-6</v>
          </cell>
          <cell r="W30">
            <v>2.8622397928446119E-6</v>
          </cell>
        </row>
        <row r="31">
          <cell r="A31" t="str">
            <v>Water Heating</v>
          </cell>
          <cell r="B31" t="str">
            <v>HPWH - New</v>
          </cell>
          <cell r="C31" t="str">
            <v>LO3Slow</v>
          </cell>
          <cell r="D31">
            <v>5.5320496977002724E-3</v>
          </cell>
          <cell r="E31">
            <v>1.4227918344261844E-2</v>
          </cell>
          <cell r="F31">
            <v>3.1619655637384989E-2</v>
          </cell>
          <cell r="G31">
            <v>6.2055195900350503E-2</v>
          </cell>
          <cell r="H31">
            <v>0.10939936964274129</v>
          </cell>
          <cell r="I31">
            <v>0.17568121288208835</v>
          </cell>
          <cell r="J31">
            <v>0.26003992245943919</v>
          </cell>
          <cell r="K31">
            <v>0.3584584169663485</v>
          </cell>
          <cell r="L31">
            <v>0.46444756489686617</v>
          </cell>
          <cell r="M31">
            <v>0.57043671282738384</v>
          </cell>
          <cell r="N31">
            <v>0.66935991756253377</v>
          </cell>
          <cell r="O31">
            <v>0.75591772170578986</v>
          </cell>
          <cell r="P31">
            <v>0.82720061923553012</v>
          </cell>
          <cell r="Q31">
            <v>0.88264287286977261</v>
          </cell>
          <cell r="R31">
            <v>0.92349505975816193</v>
          </cell>
          <cell r="S31">
            <v>0.95209159058003434</v>
          </cell>
          <cell r="T31">
            <v>0.97115594446128262</v>
          </cell>
          <cell r="U31">
            <v>0.98328780602207699</v>
          </cell>
          <cell r="V31">
            <v>0.99067241740690848</v>
          </cell>
          <cell r="W31">
            <v>0.99498010738139331</v>
          </cell>
        </row>
        <row r="32">
          <cell r="A32" t="str">
            <v>Water Heating</v>
          </cell>
          <cell r="B32" t="str">
            <v>HPWH - NR</v>
          </cell>
          <cell r="C32" t="str">
            <v>LO3Slow</v>
          </cell>
          <cell r="D32">
            <v>5.5320496977002724E-3</v>
          </cell>
          <cell r="E32">
            <v>1.4227918344261844E-2</v>
          </cell>
          <cell r="F32">
            <v>3.1619655637384989E-2</v>
          </cell>
          <cell r="G32">
            <v>6.2055195900350503E-2</v>
          </cell>
          <cell r="H32">
            <v>0.10939936964274129</v>
          </cell>
          <cell r="I32">
            <v>0.17568121288208835</v>
          </cell>
          <cell r="J32">
            <v>0.26003992245943919</v>
          </cell>
          <cell r="K32">
            <v>0.3584584169663485</v>
          </cell>
          <cell r="L32">
            <v>0.46444756489686617</v>
          </cell>
          <cell r="M32">
            <v>0.57043671282738384</v>
          </cell>
          <cell r="N32">
            <v>0.66935991756253377</v>
          </cell>
          <cell r="O32">
            <v>0.75591772170578986</v>
          </cell>
          <cell r="P32">
            <v>0.82720061923553012</v>
          </cell>
          <cell r="Q32">
            <v>0.88264287286977261</v>
          </cell>
          <cell r="R32">
            <v>0.92349505975816193</v>
          </cell>
          <cell r="S32">
            <v>0.95209159058003434</v>
          </cell>
          <cell r="T32">
            <v>0.97115594446128262</v>
          </cell>
          <cell r="U32">
            <v>0.98328780602207699</v>
          </cell>
          <cell r="V32">
            <v>0.99067241740690848</v>
          </cell>
          <cell r="W32">
            <v>0.99498010738139331</v>
          </cell>
        </row>
        <row r="33">
          <cell r="A33" t="str">
            <v>Whole Bldg/Meter Level</v>
          </cell>
          <cell r="B33" t="str">
            <v>EV Supply Equip - NR</v>
          </cell>
          <cell r="C33" t="str">
            <v>LOMax60</v>
          </cell>
          <cell r="D33">
            <v>0.01</v>
          </cell>
          <cell r="E33">
            <v>2.98E-2</v>
          </cell>
          <cell r="F33">
            <v>5.8906E-2</v>
          </cell>
          <cell r="G33">
            <v>9.6549759999999998E-2</v>
          </cell>
          <cell r="H33">
            <v>0.14172227199999998</v>
          </cell>
          <cell r="I33">
            <v>0.19035800991999999</v>
          </cell>
          <cell r="J33">
            <v>0.2362377226912</v>
          </cell>
          <cell r="K33">
            <v>0.279517585072032</v>
          </cell>
          <cell r="L33">
            <v>0.32034492191795017</v>
          </cell>
          <cell r="M33">
            <v>0.35885870967593297</v>
          </cell>
          <cell r="N33">
            <v>0.39519004946096342</v>
          </cell>
          <cell r="O33">
            <v>0.42946261332484215</v>
          </cell>
          <cell r="P33">
            <v>0.46179306523643443</v>
          </cell>
          <cell r="Q33">
            <v>0.49229145820636983</v>
          </cell>
          <cell r="R33">
            <v>0.5210616089080089</v>
          </cell>
          <cell r="S33">
            <v>0.54820145106988838</v>
          </cell>
          <cell r="T33">
            <v>0.57380336884259475</v>
          </cell>
          <cell r="U33">
            <v>0.59795451127484767</v>
          </cell>
          <cell r="V33">
            <v>0.62073708896927293</v>
          </cell>
          <cell r="W33">
            <v>0.6422286539276808</v>
          </cell>
        </row>
        <row r="34">
          <cell r="A34" t="str">
            <v>Dryer</v>
          </cell>
          <cell r="B34" t="str">
            <v>Clothes Dryer - New</v>
          </cell>
          <cell r="C34" t="str">
            <v>LOMax60</v>
          </cell>
          <cell r="D34">
            <v>0.01</v>
          </cell>
          <cell r="E34">
            <v>2.98E-2</v>
          </cell>
          <cell r="F34">
            <v>5.8906E-2</v>
          </cell>
          <cell r="G34">
            <v>9.6549759999999998E-2</v>
          </cell>
          <cell r="H34">
            <v>0.14172227199999998</v>
          </cell>
          <cell r="I34">
            <v>0.19035800991999999</v>
          </cell>
          <cell r="J34">
            <v>0.2362377226912</v>
          </cell>
          <cell r="K34">
            <v>0.279517585072032</v>
          </cell>
          <cell r="L34">
            <v>0.32034492191795017</v>
          </cell>
          <cell r="M34">
            <v>0.35885870967593297</v>
          </cell>
          <cell r="N34">
            <v>0.39519004946096342</v>
          </cell>
          <cell r="O34">
            <v>0.42946261332484215</v>
          </cell>
          <cell r="P34">
            <v>0.46179306523643443</v>
          </cell>
          <cell r="Q34">
            <v>0.49229145820636983</v>
          </cell>
          <cell r="R34">
            <v>0.5210616089080089</v>
          </cell>
          <cell r="S34">
            <v>0.54820145106988838</v>
          </cell>
          <cell r="T34">
            <v>0.57380336884259475</v>
          </cell>
          <cell r="U34">
            <v>0.59795451127484767</v>
          </cell>
          <cell r="V34">
            <v>0.62073708896927293</v>
          </cell>
          <cell r="W34">
            <v>0.6422286539276808</v>
          </cell>
        </row>
        <row r="35">
          <cell r="A35" t="str">
            <v>Dryer</v>
          </cell>
          <cell r="B35" t="str">
            <v>Clothes Dryer - NR</v>
          </cell>
          <cell r="C35" t="str">
            <v>LOMax60</v>
          </cell>
          <cell r="D35">
            <v>0.01</v>
          </cell>
          <cell r="E35">
            <v>2.98E-2</v>
          </cell>
          <cell r="F35">
            <v>5.8906E-2</v>
          </cell>
          <cell r="G35">
            <v>9.6549759999999998E-2</v>
          </cell>
          <cell r="H35">
            <v>0.14172227199999998</v>
          </cell>
          <cell r="I35">
            <v>0.19035800991999999</v>
          </cell>
          <cell r="J35">
            <v>0.2362377226912</v>
          </cell>
          <cell r="K35">
            <v>0.279517585072032</v>
          </cell>
          <cell r="L35">
            <v>0.32034492191795017</v>
          </cell>
          <cell r="M35">
            <v>0.35885870967593297</v>
          </cell>
          <cell r="N35">
            <v>0.39519004946096342</v>
          </cell>
          <cell r="O35">
            <v>0.42946261332484215</v>
          </cell>
          <cell r="P35">
            <v>0.46179306523643443</v>
          </cell>
          <cell r="Q35">
            <v>0.49229145820636983</v>
          </cell>
          <cell r="R35">
            <v>0.5210616089080089</v>
          </cell>
          <cell r="S35">
            <v>0.54820145106988838</v>
          </cell>
          <cell r="T35">
            <v>0.57380336884259475</v>
          </cell>
          <cell r="U35">
            <v>0.59795451127484767</v>
          </cell>
          <cell r="V35">
            <v>0.62073708896927293</v>
          </cell>
          <cell r="W35">
            <v>0.6422286539276808</v>
          </cell>
        </row>
        <row r="36">
          <cell r="A36" t="str">
            <v>Refrigeration</v>
          </cell>
          <cell r="B36" t="str">
            <v>Refrigerator - New</v>
          </cell>
          <cell r="C36" t="str">
            <v>LO1Slow</v>
          </cell>
          <cell r="D36">
            <v>2.5643970768378654E-3</v>
          </cell>
          <cell r="E36">
            <v>7.6904586297764643E-3</v>
          </cell>
          <cell r="F36">
            <v>1.6792013047419844E-2</v>
          </cell>
          <cell r="G36">
            <v>3.15969387774655E-2</v>
          </cell>
          <cell r="H36">
            <v>5.406874819795171E-2</v>
          </cell>
          <cell r="I36">
            <v>8.6253181011834101E-2</v>
          </cell>
          <cell r="J36">
            <v>0.1300328481838382</v>
          </cell>
          <cell r="K36">
            <v>0.18678710893858319</v>
          </cell>
          <cell r="L36">
            <v>0.2569823480072907</v>
          </cell>
          <cell r="M36">
            <v>0.33975920985004748</v>
          </cell>
          <cell r="N36">
            <v>0.43262946935754232</v>
          </cell>
          <cell r="O36">
            <v>0.53142594003645804</v>
          </cell>
          <cell r="P36">
            <v>0.63063487292644704</v>
          </cell>
          <cell r="Q36">
            <v>0.7241560234206913</v>
          </cell>
          <cell r="R36">
            <v>0.80638203131755359</v>
          </cell>
          <cell r="S36">
            <v>0.87331559734491926</v>
          </cell>
          <cell r="T36">
            <v>0.92334516248836807</v>
          </cell>
          <cell r="U36">
            <v>0.95737002770730018</v>
          </cell>
          <cell r="V36">
            <v>0.97821608704807483</v>
          </cell>
          <cell r="W36">
            <v>0.98821608704807484</v>
          </cell>
        </row>
        <row r="37">
          <cell r="A37" t="str">
            <v>Refrigeration</v>
          </cell>
          <cell r="B37" t="str">
            <v>Refrigerator - NR</v>
          </cell>
          <cell r="C37" t="str">
            <v>LO1Slow</v>
          </cell>
          <cell r="D37">
            <v>2.5643970768378654E-3</v>
          </cell>
          <cell r="E37">
            <v>7.6904586297764643E-3</v>
          </cell>
          <cell r="F37">
            <v>1.6792013047419844E-2</v>
          </cell>
          <cell r="G37">
            <v>3.15969387774655E-2</v>
          </cell>
          <cell r="H37">
            <v>5.406874819795171E-2</v>
          </cell>
          <cell r="I37">
            <v>8.6253181011834101E-2</v>
          </cell>
          <cell r="J37">
            <v>0.1300328481838382</v>
          </cell>
          <cell r="K37">
            <v>0.18678710893858319</v>
          </cell>
          <cell r="L37">
            <v>0.2569823480072907</v>
          </cell>
          <cell r="M37">
            <v>0.33975920985004748</v>
          </cell>
          <cell r="N37">
            <v>0.43262946935754232</v>
          </cell>
          <cell r="O37">
            <v>0.53142594003645804</v>
          </cell>
          <cell r="P37">
            <v>0.63063487292644704</v>
          </cell>
          <cell r="Q37">
            <v>0.7241560234206913</v>
          </cell>
          <cell r="R37">
            <v>0.80638203131755359</v>
          </cell>
          <cell r="S37">
            <v>0.87331559734491926</v>
          </cell>
          <cell r="T37">
            <v>0.92334516248836807</v>
          </cell>
          <cell r="U37">
            <v>0.95737002770730018</v>
          </cell>
          <cell r="V37">
            <v>0.97821608704807483</v>
          </cell>
          <cell r="W37">
            <v>0.98821608704807484</v>
          </cell>
        </row>
        <row r="38">
          <cell r="A38" t="str">
            <v>Refrigeration</v>
          </cell>
          <cell r="B38" t="str">
            <v>Freezer - New</v>
          </cell>
          <cell r="C38" t="str">
            <v>LO1Slow</v>
          </cell>
          <cell r="D38">
            <v>2.5643970768378654E-3</v>
          </cell>
          <cell r="E38">
            <v>7.6904586297764643E-3</v>
          </cell>
          <cell r="F38">
            <v>1.6792013047419844E-2</v>
          </cell>
          <cell r="G38">
            <v>3.15969387774655E-2</v>
          </cell>
          <cell r="H38">
            <v>5.406874819795171E-2</v>
          </cell>
          <cell r="I38">
            <v>8.6253181011834101E-2</v>
          </cell>
          <cell r="J38">
            <v>0.1300328481838382</v>
          </cell>
          <cell r="K38">
            <v>0.18678710893858319</v>
          </cell>
          <cell r="L38">
            <v>0.2569823480072907</v>
          </cell>
          <cell r="M38">
            <v>0.33975920985004748</v>
          </cell>
          <cell r="N38">
            <v>0.43262946935754232</v>
          </cell>
          <cell r="O38">
            <v>0.53142594003645804</v>
          </cell>
          <cell r="P38">
            <v>0.63063487292644704</v>
          </cell>
          <cell r="Q38">
            <v>0.7241560234206913</v>
          </cell>
          <cell r="R38">
            <v>0.80638203131755359</v>
          </cell>
          <cell r="S38">
            <v>0.87331559734491926</v>
          </cell>
          <cell r="T38">
            <v>0.92334516248836807</v>
          </cell>
          <cell r="U38">
            <v>0.95737002770730018</v>
          </cell>
          <cell r="V38">
            <v>0.97821608704807483</v>
          </cell>
          <cell r="W38">
            <v>0.98821608704807484</v>
          </cell>
        </row>
        <row r="39">
          <cell r="A39" t="str">
            <v>Refrigeration</v>
          </cell>
          <cell r="B39" t="str">
            <v>Freezer - NR</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row>
        <row r="40">
          <cell r="A40" t="str">
            <v>Water Heating</v>
          </cell>
          <cell r="B40" t="str">
            <v>Solar Water Heater - New</v>
          </cell>
          <cell r="C40" t="str">
            <v>LOMax60</v>
          </cell>
          <cell r="D40">
            <v>0.01</v>
          </cell>
          <cell r="E40">
            <v>2.98E-2</v>
          </cell>
          <cell r="F40">
            <v>5.8906E-2</v>
          </cell>
          <cell r="G40">
            <v>9.6549759999999998E-2</v>
          </cell>
          <cell r="H40">
            <v>0.14172227199999998</v>
          </cell>
          <cell r="I40">
            <v>0.19035800991999999</v>
          </cell>
          <cell r="J40">
            <v>0.2362377226912</v>
          </cell>
          <cell r="K40">
            <v>0.279517585072032</v>
          </cell>
          <cell r="L40">
            <v>0.32034492191795017</v>
          </cell>
          <cell r="M40">
            <v>0.35885870967593297</v>
          </cell>
          <cell r="N40">
            <v>0.39519004946096342</v>
          </cell>
          <cell r="O40">
            <v>0.42946261332484215</v>
          </cell>
          <cell r="P40">
            <v>0.46179306523643443</v>
          </cell>
          <cell r="Q40">
            <v>0.49229145820636983</v>
          </cell>
          <cell r="R40">
            <v>0.5210616089080089</v>
          </cell>
          <cell r="S40">
            <v>0.54820145106988838</v>
          </cell>
          <cell r="T40">
            <v>0.57380336884259475</v>
          </cell>
          <cell r="U40">
            <v>0.59795451127484767</v>
          </cell>
          <cell r="V40">
            <v>0.62073708896927293</v>
          </cell>
          <cell r="W40">
            <v>0.6422286539276808</v>
          </cell>
        </row>
        <row r="41">
          <cell r="A41" t="str">
            <v>Water Heating</v>
          </cell>
          <cell r="B41" t="str">
            <v>Solar Water Heater - NR</v>
          </cell>
          <cell r="C41" t="str">
            <v>LOMax60</v>
          </cell>
          <cell r="D41">
            <v>0.01</v>
          </cell>
          <cell r="E41">
            <v>2.98E-2</v>
          </cell>
          <cell r="F41">
            <v>5.8906E-2</v>
          </cell>
          <cell r="G41">
            <v>9.6549759999999998E-2</v>
          </cell>
          <cell r="H41">
            <v>0.14172227199999998</v>
          </cell>
          <cell r="I41">
            <v>0.19035800991999999</v>
          </cell>
          <cell r="J41">
            <v>0.2362377226912</v>
          </cell>
          <cell r="K41">
            <v>0.279517585072032</v>
          </cell>
          <cell r="L41">
            <v>0.32034492191795017</v>
          </cell>
          <cell r="M41">
            <v>0.35885870967593297</v>
          </cell>
          <cell r="N41">
            <v>0.39519004946096342</v>
          </cell>
          <cell r="O41">
            <v>0.42946261332484215</v>
          </cell>
          <cell r="P41">
            <v>0.46179306523643443</v>
          </cell>
          <cell r="Q41">
            <v>0.49229145820636983</v>
          </cell>
          <cell r="R41">
            <v>0.5210616089080089</v>
          </cell>
          <cell r="S41">
            <v>0.54820145106988838</v>
          </cell>
          <cell r="T41">
            <v>0.57380336884259475</v>
          </cell>
          <cell r="U41">
            <v>0.59795451127484767</v>
          </cell>
          <cell r="V41">
            <v>0.62073708896927293</v>
          </cell>
          <cell r="W41">
            <v>0.6422286539276808</v>
          </cell>
        </row>
        <row r="42">
          <cell r="A42" t="str">
            <v>Water Heating</v>
          </cell>
          <cell r="B42" t="str">
            <v>Solar Water Heater - Retro</v>
          </cell>
          <cell r="C42" t="str">
            <v>RetroMax60</v>
          </cell>
          <cell r="D42">
            <v>0.01</v>
          </cell>
          <cell r="E42">
            <v>1.9799999999999998E-2</v>
          </cell>
          <cell r="F42">
            <v>2.9106E-2</v>
          </cell>
          <cell r="G42">
            <v>3.7643759999999998E-2</v>
          </cell>
          <cell r="H42">
            <v>4.5172511999999984E-2</v>
          </cell>
          <cell r="I42">
            <v>4.8635737920000005E-2</v>
          </cell>
          <cell r="J42">
            <v>4.587971277120001E-2</v>
          </cell>
          <cell r="K42">
            <v>4.3279862380832007E-2</v>
          </cell>
          <cell r="L42">
            <v>4.0827336845918161E-2</v>
          </cell>
          <cell r="M42">
            <v>3.8513787757982809E-2</v>
          </cell>
          <cell r="N42">
            <v>3.6331339785030448E-2</v>
          </cell>
          <cell r="O42">
            <v>3.4272563863878724E-2</v>
          </cell>
          <cell r="P42">
            <v>3.2330451911592284E-2</v>
          </cell>
          <cell r="Q42">
            <v>3.0498392969935395E-2</v>
          </cell>
          <cell r="R42">
            <v>2.8770150701639075E-2</v>
          </cell>
          <cell r="S42">
            <v>2.7139842161879479E-2</v>
          </cell>
          <cell r="T42">
            <v>2.5601917772706373E-2</v>
          </cell>
          <cell r="U42">
            <v>2.4151142432252914E-2</v>
          </cell>
          <cell r="V42">
            <v>2.2782577694425266E-2</v>
          </cell>
          <cell r="W42">
            <v>2.1491564958407872E-2</v>
          </cell>
        </row>
        <row r="43">
          <cell r="A43">
            <v>0</v>
          </cell>
          <cell r="B43">
            <v>0</v>
          </cell>
          <cell r="C43" t="str">
            <v>LOMax60</v>
          </cell>
          <cell r="D43">
            <v>0.01</v>
          </cell>
          <cell r="E43">
            <v>2.98E-2</v>
          </cell>
          <cell r="F43">
            <v>5.8906E-2</v>
          </cell>
          <cell r="G43">
            <v>9.6549759999999998E-2</v>
          </cell>
          <cell r="H43">
            <v>0.14172227199999998</v>
          </cell>
          <cell r="I43">
            <v>0.19035800991999999</v>
          </cell>
          <cell r="J43">
            <v>0.2362377226912</v>
          </cell>
          <cell r="K43">
            <v>0.279517585072032</v>
          </cell>
          <cell r="L43">
            <v>0.32034492191795017</v>
          </cell>
          <cell r="M43">
            <v>0.35885870967593297</v>
          </cell>
          <cell r="N43">
            <v>0.39519004946096342</v>
          </cell>
          <cell r="O43">
            <v>0.42946261332484215</v>
          </cell>
          <cell r="P43">
            <v>0.46179306523643443</v>
          </cell>
          <cell r="Q43">
            <v>0.49229145820636983</v>
          </cell>
          <cell r="R43">
            <v>0.5210616089080089</v>
          </cell>
          <cell r="S43">
            <v>0.54820145106988838</v>
          </cell>
          <cell r="T43">
            <v>0.57380336884259475</v>
          </cell>
          <cell r="U43">
            <v>0.59795451127484767</v>
          </cell>
          <cell r="V43">
            <v>0.62073708896927293</v>
          </cell>
          <cell r="W43">
            <v>0.6422286539276808</v>
          </cell>
        </row>
        <row r="44">
          <cell r="A44">
            <v>0</v>
          </cell>
          <cell r="B44">
            <v>0</v>
          </cell>
          <cell r="C44" t="str">
            <v>RetroMax60</v>
          </cell>
          <cell r="D44">
            <v>0.01</v>
          </cell>
          <cell r="E44">
            <v>1.9799999999999998E-2</v>
          </cell>
          <cell r="F44">
            <v>2.9106E-2</v>
          </cell>
          <cell r="G44">
            <v>3.7643759999999998E-2</v>
          </cell>
          <cell r="H44">
            <v>4.5172511999999984E-2</v>
          </cell>
          <cell r="I44">
            <v>4.8635737920000005E-2</v>
          </cell>
          <cell r="J44">
            <v>4.587971277120001E-2</v>
          </cell>
          <cell r="K44">
            <v>4.3279862380832007E-2</v>
          </cell>
          <cell r="L44">
            <v>4.0827336845918161E-2</v>
          </cell>
          <cell r="M44">
            <v>3.8513787757982809E-2</v>
          </cell>
          <cell r="N44">
            <v>3.6331339785030448E-2</v>
          </cell>
          <cell r="O44">
            <v>3.4272563863878724E-2</v>
          </cell>
          <cell r="P44">
            <v>3.2330451911592284E-2</v>
          </cell>
          <cell r="Q44">
            <v>3.0498392969935395E-2</v>
          </cell>
          <cell r="R44">
            <v>2.8770150701639075E-2</v>
          </cell>
          <cell r="S44">
            <v>2.7139842161879479E-2</v>
          </cell>
          <cell r="T44">
            <v>2.5601917772706373E-2</v>
          </cell>
          <cell r="U44">
            <v>2.4151142432252914E-2</v>
          </cell>
          <cell r="V44">
            <v>2.2782577694425266E-2</v>
          </cell>
          <cell r="W44">
            <v>2.1491564958407872E-2</v>
          </cell>
        </row>
        <row r="45">
          <cell r="A45" t="str">
            <v>Food Preparation</v>
          </cell>
          <cell r="B45" t="str">
            <v>Electric Oven - New</v>
          </cell>
          <cell r="C45" t="str">
            <v>LO20Fast</v>
          </cell>
          <cell r="D45">
            <v>0.22119921692859512</v>
          </cell>
          <cell r="E45">
            <v>0.37624232795148943</v>
          </cell>
          <cell r="F45">
            <v>0.48357361352878442</v>
          </cell>
          <cell r="G45">
            <v>0.56716330278444227</v>
          </cell>
          <cell r="H45">
            <v>0.64040048266456928</v>
          </cell>
          <cell r="I45">
            <v>0.70377511937632964</v>
          </cell>
          <cell r="J45">
            <v>0.7580669577441127</v>
          </cell>
          <cell r="K45">
            <v>0.80419335000071168</v>
          </cell>
          <cell r="L45">
            <v>0.84311022627788457</v>
          </cell>
          <cell r="M45">
            <v>0.87575014259103623</v>
          </cell>
          <cell r="N45">
            <v>0.90298584871682319</v>
          </cell>
          <cell r="O45">
            <v>0.92419703797508856</v>
          </cell>
          <cell r="P45">
            <v>0.94071632877930145</v>
          </cell>
          <cell r="Q45">
            <v>0.95358156539340677</v>
          </cell>
          <cell r="R45">
            <v>0.96360102174287088</v>
          </cell>
          <cell r="S45">
            <v>0.97140418219378311</v>
          </cell>
          <cell r="T45">
            <v>0.97748128966338554</v>
          </cell>
          <cell r="U45">
            <v>0.98221414571952104</v>
          </cell>
          <cell r="V45">
            <v>0.98590009772220355</v>
          </cell>
          <cell r="W45">
            <v>0.98877072002825628</v>
          </cell>
        </row>
        <row r="46">
          <cell r="A46" t="str">
            <v>Food Preparation</v>
          </cell>
          <cell r="B46" t="str">
            <v>Electric Oven - NR</v>
          </cell>
          <cell r="C46" t="str">
            <v>LO20Fast</v>
          </cell>
          <cell r="D46">
            <v>0.22119921692859512</v>
          </cell>
          <cell r="E46">
            <v>0.37624232795148943</v>
          </cell>
          <cell r="F46">
            <v>0.48357361352878442</v>
          </cell>
          <cell r="G46">
            <v>0.56716330278444227</v>
          </cell>
          <cell r="H46">
            <v>0.64040048266456928</v>
          </cell>
          <cell r="I46">
            <v>0.70377511937632964</v>
          </cell>
          <cell r="J46">
            <v>0.7580669577441127</v>
          </cell>
          <cell r="K46">
            <v>0.80419335000071168</v>
          </cell>
          <cell r="L46">
            <v>0.84311022627788457</v>
          </cell>
          <cell r="M46">
            <v>0.87575014259103623</v>
          </cell>
          <cell r="N46">
            <v>0.90298584871682319</v>
          </cell>
          <cell r="O46">
            <v>0.92419703797508856</v>
          </cell>
          <cell r="P46">
            <v>0.94071632877930145</v>
          </cell>
          <cell r="Q46">
            <v>0.95358156539340677</v>
          </cell>
          <cell r="R46">
            <v>0.96360102174287088</v>
          </cell>
          <cell r="S46">
            <v>0.97140418219378311</v>
          </cell>
          <cell r="T46">
            <v>0.97748128966338554</v>
          </cell>
          <cell r="U46">
            <v>0.98221414571952104</v>
          </cell>
          <cell r="V46">
            <v>0.98590009772220355</v>
          </cell>
          <cell r="W46">
            <v>0.98877072002825628</v>
          </cell>
        </row>
        <row r="47">
          <cell r="A47" t="str">
            <v>Food Preparation</v>
          </cell>
          <cell r="B47" t="str">
            <v>Microwave - New</v>
          </cell>
          <cell r="C47" t="str">
            <v>LO12Med</v>
          </cell>
          <cell r="D47">
            <v>0.10937459468255628</v>
          </cell>
          <cell r="E47">
            <v>0.21874918936511256</v>
          </cell>
          <cell r="F47">
            <v>0.32812378404766884</v>
          </cell>
          <cell r="G47">
            <v>0.43749837873022512</v>
          </cell>
          <cell r="H47">
            <v>0.5468729734127814</v>
          </cell>
          <cell r="I47">
            <v>0.64531010862708205</v>
          </cell>
          <cell r="J47">
            <v>0.7240598167985226</v>
          </cell>
          <cell r="K47">
            <v>0.78705958333567505</v>
          </cell>
          <cell r="L47">
            <v>0.83745939656539703</v>
          </cell>
          <cell r="M47">
            <v>0.87777924714917455</v>
          </cell>
          <cell r="N47">
            <v>0.91003512761619654</v>
          </cell>
          <cell r="O47">
            <v>0.93583983198981413</v>
          </cell>
          <cell r="P47">
            <v>0.9564835954887082</v>
          </cell>
          <cell r="Q47">
            <v>0.97299860628782353</v>
          </cell>
          <cell r="R47">
            <v>0.9862106149271157</v>
          </cell>
          <cell r="S47">
            <v>0.99678022183854953</v>
          </cell>
          <cell r="T47">
            <v>0.99685231466234414</v>
          </cell>
          <cell r="U47">
            <v>0.99687806209941365</v>
          </cell>
          <cell r="V47">
            <v>0.99688683963477831</v>
          </cell>
          <cell r="W47">
            <v>0.99688970187457115</v>
          </cell>
        </row>
        <row r="48">
          <cell r="A48" t="str">
            <v>Food Preparation</v>
          </cell>
          <cell r="B48" t="str">
            <v>Microwave - NR</v>
          </cell>
          <cell r="C48" t="str">
            <v>LO12Med</v>
          </cell>
          <cell r="D48">
            <v>0.10937459468255628</v>
          </cell>
          <cell r="E48">
            <v>0.21874918936511256</v>
          </cell>
          <cell r="F48">
            <v>0.32812378404766884</v>
          </cell>
          <cell r="G48">
            <v>0.43749837873022512</v>
          </cell>
          <cell r="H48">
            <v>0.5468729734127814</v>
          </cell>
          <cell r="I48">
            <v>0.64531010862708205</v>
          </cell>
          <cell r="J48">
            <v>0.7240598167985226</v>
          </cell>
          <cell r="K48">
            <v>0.78705958333567505</v>
          </cell>
          <cell r="L48">
            <v>0.83745939656539703</v>
          </cell>
          <cell r="M48">
            <v>0.87777924714917455</v>
          </cell>
          <cell r="N48">
            <v>0.91003512761619654</v>
          </cell>
          <cell r="O48">
            <v>0.93583983198981413</v>
          </cell>
          <cell r="P48">
            <v>0.9564835954887082</v>
          </cell>
          <cell r="Q48">
            <v>0.97299860628782353</v>
          </cell>
          <cell r="R48">
            <v>0.9862106149271157</v>
          </cell>
          <cell r="S48">
            <v>0.99678022183854953</v>
          </cell>
          <cell r="T48">
            <v>0.99685231466234414</v>
          </cell>
          <cell r="U48">
            <v>0.99687806209941365</v>
          </cell>
          <cell r="V48">
            <v>0.99688683963477831</v>
          </cell>
          <cell r="W48">
            <v>0.99688970187457115</v>
          </cell>
        </row>
        <row r="49">
          <cell r="A49" t="str">
            <v>Electronics</v>
          </cell>
          <cell r="B49" t="str">
            <v>Monitor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row>
        <row r="50">
          <cell r="A50" t="str">
            <v>Electronics</v>
          </cell>
          <cell r="B50" t="str">
            <v>Monitor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row>
        <row r="51">
          <cell r="A51" t="str">
            <v>Electronics</v>
          </cell>
          <cell r="B51" t="str">
            <v>Desktop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row>
        <row r="52">
          <cell r="A52" t="str">
            <v>Electronics</v>
          </cell>
          <cell r="B52" t="str">
            <v>Desktop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row>
        <row r="53">
          <cell r="A53" t="str">
            <v>Electronics</v>
          </cell>
          <cell r="B53" t="str">
            <v>Laptop - New</v>
          </cell>
          <cell r="C53" t="str">
            <v>LO50Fast</v>
          </cell>
          <cell r="D53">
            <v>0.45</v>
          </cell>
          <cell r="E53">
            <v>0.66</v>
          </cell>
          <cell r="F53">
            <v>0.8</v>
          </cell>
          <cell r="G53">
            <v>0.89</v>
          </cell>
          <cell r="H53">
            <v>0.94954036260972652</v>
          </cell>
          <cell r="I53">
            <v>0.97931054391458994</v>
          </cell>
          <cell r="J53">
            <v>0.99254173560564019</v>
          </cell>
          <cell r="K53">
            <v>0.99783421228206048</v>
          </cell>
          <cell r="L53">
            <v>0.99975874925530417</v>
          </cell>
          <cell r="M53">
            <v>1.0004002615797187</v>
          </cell>
          <cell r="N53">
            <v>1.0005976499872309</v>
          </cell>
          <cell r="O53">
            <v>1.0006540466750915</v>
          </cell>
          <cell r="P53">
            <v>1.0006690857918545</v>
          </cell>
          <cell r="Q53">
            <v>1.000672845571045</v>
          </cell>
          <cell r="R53">
            <v>1.0006737302249724</v>
          </cell>
          <cell r="S53">
            <v>1.0006739268147338</v>
          </cell>
          <cell r="T53">
            <v>1.0006739682020522</v>
          </cell>
          <cell r="U53">
            <v>1.0006739764795158</v>
          </cell>
          <cell r="V53">
            <v>1.0006739780561755</v>
          </cell>
          <cell r="W53">
            <v>1.0006739783428409</v>
          </cell>
        </row>
        <row r="54">
          <cell r="A54" t="str">
            <v>Electronics</v>
          </cell>
          <cell r="B54" t="str">
            <v>Laptop - NR</v>
          </cell>
          <cell r="C54" t="str">
            <v>LO50Fast</v>
          </cell>
          <cell r="D54">
            <v>0.45</v>
          </cell>
          <cell r="E54">
            <v>0.66</v>
          </cell>
          <cell r="F54">
            <v>0.8</v>
          </cell>
          <cell r="G54">
            <v>0.89</v>
          </cell>
          <cell r="H54">
            <v>0.94954036260972652</v>
          </cell>
          <cell r="I54">
            <v>0.97931054391458994</v>
          </cell>
          <cell r="J54">
            <v>0.99254173560564019</v>
          </cell>
          <cell r="K54">
            <v>0.99783421228206048</v>
          </cell>
          <cell r="L54">
            <v>0.99975874925530417</v>
          </cell>
          <cell r="M54">
            <v>1.0004002615797187</v>
          </cell>
          <cell r="N54">
            <v>1.0005976499872309</v>
          </cell>
          <cell r="O54">
            <v>1.0006540466750915</v>
          </cell>
          <cell r="P54">
            <v>1.0006690857918545</v>
          </cell>
          <cell r="Q54">
            <v>1.000672845571045</v>
          </cell>
          <cell r="R54">
            <v>1.0006737302249724</v>
          </cell>
          <cell r="S54">
            <v>1.0006739268147338</v>
          </cell>
          <cell r="T54">
            <v>1.0006739682020522</v>
          </cell>
          <cell r="U54">
            <v>1.0006739764795158</v>
          </cell>
          <cell r="V54">
            <v>1.0006739780561755</v>
          </cell>
          <cell r="W54">
            <v>1.0006739783428409</v>
          </cell>
        </row>
        <row r="55">
          <cell r="A55" t="str">
            <v>Electronics</v>
          </cell>
          <cell r="B55" t="str">
            <v>Computer - New</v>
          </cell>
          <cell r="C55" t="str">
            <v>LO50Fast</v>
          </cell>
          <cell r="D55">
            <v>0.45</v>
          </cell>
          <cell r="E55">
            <v>0.66</v>
          </cell>
          <cell r="F55">
            <v>0.8</v>
          </cell>
          <cell r="G55">
            <v>0.89</v>
          </cell>
          <cell r="H55">
            <v>0.94954036260972652</v>
          </cell>
          <cell r="I55">
            <v>0.97931054391458994</v>
          </cell>
          <cell r="J55">
            <v>0.99254173560564019</v>
          </cell>
          <cell r="K55">
            <v>0.99783421228206048</v>
          </cell>
          <cell r="L55">
            <v>0.99975874925530417</v>
          </cell>
          <cell r="M55">
            <v>1.0004002615797187</v>
          </cell>
          <cell r="N55">
            <v>1.0005976499872309</v>
          </cell>
          <cell r="O55">
            <v>1.0006540466750915</v>
          </cell>
          <cell r="P55">
            <v>1.0006690857918545</v>
          </cell>
          <cell r="Q55">
            <v>1.000672845571045</v>
          </cell>
          <cell r="R55">
            <v>1.0006737302249724</v>
          </cell>
          <cell r="S55">
            <v>1.0006739268147338</v>
          </cell>
          <cell r="T55">
            <v>1.0006739682020522</v>
          </cell>
          <cell r="U55">
            <v>1.0006739764795158</v>
          </cell>
          <cell r="V55">
            <v>1.0006739780561755</v>
          </cell>
          <cell r="W55">
            <v>1.0006739783428409</v>
          </cell>
        </row>
        <row r="56">
          <cell r="A56" t="str">
            <v>Electronics</v>
          </cell>
          <cell r="B56" t="str">
            <v>Computer - NR</v>
          </cell>
          <cell r="C56" t="str">
            <v>LO50Fast</v>
          </cell>
          <cell r="D56">
            <v>0.45</v>
          </cell>
          <cell r="E56">
            <v>0.66</v>
          </cell>
          <cell r="F56">
            <v>0.8</v>
          </cell>
          <cell r="G56">
            <v>0.89</v>
          </cell>
          <cell r="H56">
            <v>0.94954036260972652</v>
          </cell>
          <cell r="I56">
            <v>0.97931054391458994</v>
          </cell>
          <cell r="J56">
            <v>0.99254173560564019</v>
          </cell>
          <cell r="K56">
            <v>0.99783421228206048</v>
          </cell>
          <cell r="L56">
            <v>0.99975874925530417</v>
          </cell>
          <cell r="M56">
            <v>1.0004002615797187</v>
          </cell>
          <cell r="N56">
            <v>1.0005976499872309</v>
          </cell>
          <cell r="O56">
            <v>1.0006540466750915</v>
          </cell>
          <cell r="P56">
            <v>1.0006690857918545</v>
          </cell>
          <cell r="Q56">
            <v>1.000672845571045</v>
          </cell>
          <cell r="R56">
            <v>1.0006737302249724</v>
          </cell>
          <cell r="S56">
            <v>1.0006739268147338</v>
          </cell>
          <cell r="T56">
            <v>1.0006739682020522</v>
          </cell>
          <cell r="U56">
            <v>1.0006739764795158</v>
          </cell>
          <cell r="V56">
            <v>1.0006739780561755</v>
          </cell>
          <cell r="W56">
            <v>1.0006739783428409</v>
          </cell>
        </row>
        <row r="57">
          <cell r="A57" t="str">
            <v>HVAC</v>
          </cell>
          <cell r="B57" t="str">
            <v>ASHP - New</v>
          </cell>
          <cell r="C57" t="str">
            <v>LO5Med</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row>
        <row r="58">
          <cell r="A58" t="str">
            <v>HVAC</v>
          </cell>
          <cell r="B58" t="str">
            <v>ASHP - NR</v>
          </cell>
          <cell r="C58" t="str">
            <v>LO5Med</v>
          </cell>
          <cell r="D58">
            <v>4.2999999999999997E-2</v>
          </cell>
          <cell r="E58">
            <v>9.5797142280278316E-2</v>
          </cell>
          <cell r="F58">
            <v>0.16040539374775648</v>
          </cell>
          <cell r="G58">
            <v>0.23540539374775649</v>
          </cell>
          <cell r="H58">
            <v>0.32095239121809005</v>
          </cell>
          <cell r="I58">
            <v>0.42096711425629652</v>
          </cell>
          <cell r="J58">
            <v>0.53068481860864725</v>
          </cell>
          <cell r="K58">
            <v>0.642769203728351</v>
          </cell>
          <cell r="L58">
            <v>0.74839528535557953</v>
          </cell>
          <cell r="M58">
            <v>0.83918984935345187</v>
          </cell>
          <cell r="N58">
            <v>0.90945051634530116</v>
          </cell>
          <cell r="O58">
            <v>0.9576688767502457</v>
          </cell>
          <cell r="P58">
            <v>0.9865231113648858</v>
          </cell>
          <cell r="Q58">
            <v>1.0012970762896924</v>
          </cell>
          <cell r="R58">
            <v>1.0076356106578106</v>
          </cell>
          <cell r="S58">
            <v>1.0098624683774413</v>
          </cell>
          <cell r="T58">
            <v>1.0104871783970797</v>
          </cell>
          <cell r="U58">
            <v>1.010623336815976</v>
          </cell>
          <cell r="V58">
            <v>1.0106457174525985</v>
          </cell>
          <cell r="W58">
            <v>1.0106484038909742</v>
          </cell>
        </row>
        <row r="59">
          <cell r="A59" t="str">
            <v>HVAC</v>
          </cell>
          <cell r="B59" t="str">
            <v>HP - Retro</v>
          </cell>
          <cell r="C59" t="str">
            <v>Retro12Med</v>
          </cell>
          <cell r="D59">
            <v>0.10937459468255628</v>
          </cell>
          <cell r="E59">
            <v>0.10937459468255628</v>
          </cell>
          <cell r="F59">
            <v>0.10937459468255628</v>
          </cell>
          <cell r="G59">
            <v>0.10937459468255628</v>
          </cell>
          <cell r="H59">
            <v>0.10937459468255628</v>
          </cell>
          <cell r="I59">
            <v>9.8437135214300656E-2</v>
          </cell>
          <cell r="J59">
            <v>7.874970817144053E-2</v>
          </cell>
          <cell r="K59">
            <v>6.2999766537152418E-2</v>
          </cell>
          <cell r="L59">
            <v>5.0399813229721938E-2</v>
          </cell>
          <cell r="M59">
            <v>4.0319850583777551E-2</v>
          </cell>
          <cell r="N59">
            <v>3.225588046702204E-2</v>
          </cell>
          <cell r="O59">
            <v>2.5804704373617631E-2</v>
          </cell>
          <cell r="P59">
            <v>2.0643763498894106E-2</v>
          </cell>
          <cell r="Q59">
            <v>1.6515010799115284E-2</v>
          </cell>
          <cell r="R59">
            <v>1.3212008639292228E-2</v>
          </cell>
          <cell r="S59">
            <v>1.0569606911433781E-2</v>
          </cell>
          <cell r="T59">
            <v>7.2092823794611682E-5</v>
          </cell>
          <cell r="U59">
            <v>2.5747437069512102E-5</v>
          </cell>
          <cell r="V59">
            <v>8.7775353646568632E-6</v>
          </cell>
          <cell r="W59">
            <v>2.8622397928446119E-6</v>
          </cell>
        </row>
        <row r="60">
          <cell r="A60" t="str">
            <v>HVAC</v>
          </cell>
          <cell r="B60" t="str">
            <v>DHP - New</v>
          </cell>
          <cell r="C60" t="str">
            <v>LO5Med</v>
          </cell>
          <cell r="D60">
            <v>4.2999999999999997E-2</v>
          </cell>
          <cell r="E60">
            <v>9.5797142280278316E-2</v>
          </cell>
          <cell r="F60">
            <v>0.16040539374775648</v>
          </cell>
          <cell r="G60">
            <v>0.23540539374775649</v>
          </cell>
          <cell r="H60">
            <v>0.32095239121809005</v>
          </cell>
          <cell r="I60">
            <v>0.42096711425629652</v>
          </cell>
          <cell r="J60">
            <v>0.53068481860864725</v>
          </cell>
          <cell r="K60">
            <v>0.642769203728351</v>
          </cell>
          <cell r="L60">
            <v>0.74839528535557953</v>
          </cell>
          <cell r="M60">
            <v>0.83918984935345187</v>
          </cell>
          <cell r="N60">
            <v>0.90945051634530116</v>
          </cell>
          <cell r="O60">
            <v>0.9576688767502457</v>
          </cell>
          <cell r="P60">
            <v>0.9865231113648858</v>
          </cell>
          <cell r="Q60">
            <v>1.0012970762896924</v>
          </cell>
          <cell r="R60">
            <v>1.0076356106578106</v>
          </cell>
          <cell r="S60">
            <v>1.0098624683774413</v>
          </cell>
          <cell r="T60">
            <v>1.0104871783970797</v>
          </cell>
          <cell r="U60">
            <v>1.010623336815976</v>
          </cell>
          <cell r="V60">
            <v>1.0106457174525985</v>
          </cell>
          <cell r="W60">
            <v>1.0106484038909742</v>
          </cell>
        </row>
        <row r="61">
          <cell r="A61" t="str">
            <v>HVAC</v>
          </cell>
          <cell r="B61" t="str">
            <v>DHP - NR</v>
          </cell>
          <cell r="C61" t="str">
            <v>LO5Med</v>
          </cell>
          <cell r="D61">
            <v>4.2999999999999997E-2</v>
          </cell>
          <cell r="E61">
            <v>9.5797142280278316E-2</v>
          </cell>
          <cell r="F61">
            <v>0.16040539374775648</v>
          </cell>
          <cell r="G61">
            <v>0.23540539374775649</v>
          </cell>
          <cell r="H61">
            <v>0.32095239121809005</v>
          </cell>
          <cell r="I61">
            <v>0.42096711425629652</v>
          </cell>
          <cell r="J61">
            <v>0.53068481860864725</v>
          </cell>
          <cell r="K61">
            <v>0.642769203728351</v>
          </cell>
          <cell r="L61">
            <v>0.74839528535557953</v>
          </cell>
          <cell r="M61">
            <v>0.83918984935345187</v>
          </cell>
          <cell r="N61">
            <v>0.90945051634530116</v>
          </cell>
          <cell r="O61">
            <v>0.9576688767502457</v>
          </cell>
          <cell r="P61">
            <v>0.9865231113648858</v>
          </cell>
          <cell r="Q61">
            <v>1.0012970762896924</v>
          </cell>
          <cell r="R61">
            <v>1.0076356106578106</v>
          </cell>
          <cell r="S61">
            <v>1.0098624683774413</v>
          </cell>
          <cell r="T61">
            <v>1.0104871783970797</v>
          </cell>
          <cell r="U61">
            <v>1.010623336815976</v>
          </cell>
          <cell r="V61">
            <v>1.0106457174525985</v>
          </cell>
          <cell r="W61">
            <v>1.0106484038909742</v>
          </cell>
        </row>
        <row r="62">
          <cell r="A62" t="str">
            <v>HVAC</v>
          </cell>
          <cell r="B62" t="str">
            <v>DHP - Retro</v>
          </cell>
          <cell r="C62" t="str">
            <v>Retro5Med</v>
          </cell>
          <cell r="D62">
            <v>4.2999999999999997E-2</v>
          </cell>
          <cell r="E62">
            <v>5.279714228027832E-2</v>
          </cell>
          <cell r="F62">
            <v>6.4608251467478173E-2</v>
          </cell>
          <cell r="G62">
            <v>7.4999999999999997E-2</v>
          </cell>
          <cell r="H62">
            <v>8.5546997470333563E-2</v>
          </cell>
          <cell r="I62">
            <v>0.10001472303820647</v>
          </cell>
          <cell r="J62">
            <v>0.10971770435235073</v>
          </cell>
          <cell r="K62">
            <v>0.11208438511970376</v>
          </cell>
          <cell r="L62">
            <v>0.10562608162722853</v>
          </cell>
          <cell r="M62">
            <v>9.0794563997872335E-2</v>
          </cell>
          <cell r="N62">
            <v>7.0260666991849297E-2</v>
          </cell>
          <cell r="O62">
            <v>4.8218360404944538E-2</v>
          </cell>
          <cell r="P62">
            <v>2.8854234614640095E-2</v>
          </cell>
          <cell r="Q62">
            <v>1.4773964924806759E-2</v>
          </cell>
          <cell r="R62">
            <v>6.3385343681182649E-3</v>
          </cell>
          <cell r="S62">
            <v>2.2268577196306039E-3</v>
          </cell>
          <cell r="T62">
            <v>6.2471001963848583E-4</v>
          </cell>
          <cell r="U62">
            <v>1.3615841889635938E-4</v>
          </cell>
          <cell r="V62">
            <v>2.2380636622298944E-5</v>
          </cell>
          <cell r="W62">
            <v>2.68643837586513E-6</v>
          </cell>
        </row>
        <row r="63">
          <cell r="A63" t="str">
            <v>HVAC</v>
          </cell>
          <cell r="B63" t="str">
            <v>Duct Sealing - New</v>
          </cell>
          <cell r="C63" t="str">
            <v>LO12Med</v>
          </cell>
          <cell r="D63">
            <v>0.10937459468255628</v>
          </cell>
          <cell r="E63">
            <v>0.21874918936511256</v>
          </cell>
          <cell r="F63">
            <v>0.32812378404766884</v>
          </cell>
          <cell r="G63">
            <v>0.43749837873022512</v>
          </cell>
          <cell r="H63">
            <v>0.5468729734127814</v>
          </cell>
          <cell r="I63">
            <v>0.64531010862708205</v>
          </cell>
          <cell r="J63">
            <v>0.7240598167985226</v>
          </cell>
          <cell r="K63">
            <v>0.78705958333567505</v>
          </cell>
          <cell r="L63">
            <v>0.83745939656539703</v>
          </cell>
          <cell r="M63">
            <v>0.87777924714917455</v>
          </cell>
          <cell r="N63">
            <v>0.91003512761619654</v>
          </cell>
          <cell r="O63">
            <v>0.93583983198981413</v>
          </cell>
          <cell r="P63">
            <v>0.9564835954887082</v>
          </cell>
          <cell r="Q63">
            <v>0.97299860628782353</v>
          </cell>
          <cell r="R63">
            <v>0.9862106149271157</v>
          </cell>
          <cell r="S63">
            <v>0.99678022183854953</v>
          </cell>
          <cell r="T63">
            <v>0.99685231466234414</v>
          </cell>
          <cell r="U63">
            <v>0.99687806209941365</v>
          </cell>
          <cell r="V63">
            <v>0.99688683963477831</v>
          </cell>
          <cell r="W63">
            <v>0.99688970187457115</v>
          </cell>
        </row>
        <row r="64">
          <cell r="A64" t="str">
            <v>HVAC</v>
          </cell>
          <cell r="B64" t="str">
            <v>Duct Sealing - Retro</v>
          </cell>
          <cell r="C64" t="str">
            <v>Retro12Med</v>
          </cell>
          <cell r="D64">
            <v>0.10937459468255628</v>
          </cell>
          <cell r="E64">
            <v>0.10937459468255628</v>
          </cell>
          <cell r="F64">
            <v>0.10937459468255628</v>
          </cell>
          <cell r="G64">
            <v>0.10937459468255628</v>
          </cell>
          <cell r="H64">
            <v>0.10937459468255628</v>
          </cell>
          <cell r="I64">
            <v>9.8437135214300656E-2</v>
          </cell>
          <cell r="J64">
            <v>7.874970817144053E-2</v>
          </cell>
          <cell r="K64">
            <v>6.2999766537152418E-2</v>
          </cell>
          <cell r="L64">
            <v>5.0399813229721938E-2</v>
          </cell>
          <cell r="M64">
            <v>4.0319850583777551E-2</v>
          </cell>
          <cell r="N64">
            <v>3.225588046702204E-2</v>
          </cell>
          <cell r="O64">
            <v>2.5804704373617631E-2</v>
          </cell>
          <cell r="P64">
            <v>2.0643763498894106E-2</v>
          </cell>
          <cell r="Q64">
            <v>1.6515010799115284E-2</v>
          </cell>
          <cell r="R64">
            <v>1.3212008639292228E-2</v>
          </cell>
          <cell r="S64">
            <v>1.0569606911433781E-2</v>
          </cell>
          <cell r="T64">
            <v>7.2092823794611682E-5</v>
          </cell>
          <cell r="U64">
            <v>2.5747437069512102E-5</v>
          </cell>
          <cell r="V64">
            <v>8.7775353646568632E-6</v>
          </cell>
          <cell r="W64">
            <v>2.8622397928446119E-6</v>
          </cell>
        </row>
        <row r="65">
          <cell r="A65" t="str">
            <v>HVAC</v>
          </cell>
          <cell r="B65" t="str">
            <v>WIFI enabled tstats - New</v>
          </cell>
          <cell r="C65" t="str">
            <v>LO5Med</v>
          </cell>
          <cell r="D65">
            <v>4.2999999999999997E-2</v>
          </cell>
          <cell r="E65">
            <v>9.5797142280278316E-2</v>
          </cell>
          <cell r="F65">
            <v>0.16040539374775648</v>
          </cell>
          <cell r="G65">
            <v>0.23540539374775649</v>
          </cell>
          <cell r="H65">
            <v>0.32095239121809005</v>
          </cell>
          <cell r="I65">
            <v>0.42096711425629652</v>
          </cell>
          <cell r="J65">
            <v>0.53068481860864725</v>
          </cell>
          <cell r="K65">
            <v>0.642769203728351</v>
          </cell>
          <cell r="L65">
            <v>0.74839528535557953</v>
          </cell>
          <cell r="M65">
            <v>0.83918984935345187</v>
          </cell>
          <cell r="N65">
            <v>0.90945051634530116</v>
          </cell>
          <cell r="O65">
            <v>0.9576688767502457</v>
          </cell>
          <cell r="P65">
            <v>0.9865231113648858</v>
          </cell>
          <cell r="Q65">
            <v>1.0012970762896924</v>
          </cell>
          <cell r="R65">
            <v>1.0076356106578106</v>
          </cell>
          <cell r="S65">
            <v>1.0098624683774413</v>
          </cell>
          <cell r="T65">
            <v>1.0104871783970797</v>
          </cell>
          <cell r="U65">
            <v>1.010623336815976</v>
          </cell>
          <cell r="V65">
            <v>1.0106457174525985</v>
          </cell>
          <cell r="W65">
            <v>1.0106484038909742</v>
          </cell>
        </row>
        <row r="66">
          <cell r="A66" t="str">
            <v>HVAC</v>
          </cell>
          <cell r="B66" t="str">
            <v>WIFI enabled tstats - Retro</v>
          </cell>
          <cell r="C66" t="str">
            <v>Retro5Med</v>
          </cell>
          <cell r="D66">
            <v>4.2999999999999997E-2</v>
          </cell>
          <cell r="E66">
            <v>5.279714228027832E-2</v>
          </cell>
          <cell r="F66">
            <v>6.4608251467478173E-2</v>
          </cell>
          <cell r="G66">
            <v>7.4999999999999997E-2</v>
          </cell>
          <cell r="H66">
            <v>8.5546997470333563E-2</v>
          </cell>
          <cell r="I66">
            <v>0.10001472303820647</v>
          </cell>
          <cell r="J66">
            <v>0.10971770435235073</v>
          </cell>
          <cell r="K66">
            <v>0.11208438511970376</v>
          </cell>
          <cell r="L66">
            <v>0.10562608162722853</v>
          </cell>
          <cell r="M66">
            <v>9.0794563997872335E-2</v>
          </cell>
          <cell r="N66">
            <v>7.0260666991849297E-2</v>
          </cell>
          <cell r="O66">
            <v>4.8218360404944538E-2</v>
          </cell>
          <cell r="P66">
            <v>2.8854234614640095E-2</v>
          </cell>
          <cell r="Q66">
            <v>1.4773964924806759E-2</v>
          </cell>
          <cell r="R66">
            <v>6.3385343681182649E-3</v>
          </cell>
          <cell r="S66">
            <v>2.2268577196306039E-3</v>
          </cell>
          <cell r="T66">
            <v>6.2471001963848583E-4</v>
          </cell>
          <cell r="U66">
            <v>1.3615841889635938E-4</v>
          </cell>
          <cell r="V66">
            <v>2.2380636622298944E-5</v>
          </cell>
          <cell r="W66">
            <v>2.68643837586513E-6</v>
          </cell>
        </row>
        <row r="67">
          <cell r="A67" t="str">
            <v>HVAC</v>
          </cell>
          <cell r="B67" t="str">
            <v>Combo DHP/HPWH units - New</v>
          </cell>
          <cell r="C67" t="str">
            <v>LO5Med</v>
          </cell>
          <cell r="D67">
            <v>4.2999999999999997E-2</v>
          </cell>
          <cell r="E67">
            <v>9.5797142280278316E-2</v>
          </cell>
          <cell r="F67">
            <v>0.16040539374775648</v>
          </cell>
          <cell r="G67">
            <v>0.23540539374775649</v>
          </cell>
          <cell r="H67">
            <v>0.32095239121809005</v>
          </cell>
          <cell r="I67">
            <v>0.42096711425629652</v>
          </cell>
          <cell r="J67">
            <v>0.53068481860864725</v>
          </cell>
          <cell r="K67">
            <v>0.642769203728351</v>
          </cell>
          <cell r="L67">
            <v>0.74839528535557953</v>
          </cell>
          <cell r="M67">
            <v>0.83918984935345187</v>
          </cell>
          <cell r="N67">
            <v>0.90945051634530116</v>
          </cell>
          <cell r="O67">
            <v>0.9576688767502457</v>
          </cell>
          <cell r="P67">
            <v>0.9865231113648858</v>
          </cell>
          <cell r="Q67">
            <v>1.0012970762896924</v>
          </cell>
          <cell r="R67">
            <v>1.0076356106578106</v>
          </cell>
          <cell r="S67">
            <v>1.0098624683774413</v>
          </cell>
          <cell r="T67">
            <v>1.0104871783970797</v>
          </cell>
          <cell r="U67">
            <v>1.010623336815976</v>
          </cell>
          <cell r="V67">
            <v>1.0106457174525985</v>
          </cell>
          <cell r="W67">
            <v>1.0106484038909742</v>
          </cell>
        </row>
        <row r="68">
          <cell r="A68" t="str">
            <v>HVAC</v>
          </cell>
          <cell r="B68" t="str">
            <v>Combo DHP/HPWH units - NR</v>
          </cell>
          <cell r="C68" t="str">
            <v>LO5Med</v>
          </cell>
          <cell r="D68">
            <v>4.2999999999999997E-2</v>
          </cell>
          <cell r="E68">
            <v>9.5797142280278316E-2</v>
          </cell>
          <cell r="F68">
            <v>0.16040539374775648</v>
          </cell>
          <cell r="G68">
            <v>0.23540539374775649</v>
          </cell>
          <cell r="H68">
            <v>0.32095239121809005</v>
          </cell>
          <cell r="I68">
            <v>0.42096711425629652</v>
          </cell>
          <cell r="J68">
            <v>0.53068481860864725</v>
          </cell>
          <cell r="K68">
            <v>0.642769203728351</v>
          </cell>
          <cell r="L68">
            <v>0.74839528535557953</v>
          </cell>
          <cell r="M68">
            <v>0.83918984935345187</v>
          </cell>
          <cell r="N68">
            <v>0.90945051634530116</v>
          </cell>
          <cell r="O68">
            <v>0.9576688767502457</v>
          </cell>
          <cell r="P68">
            <v>0.9865231113648858</v>
          </cell>
          <cell r="Q68">
            <v>1.0012970762896924</v>
          </cell>
          <cell r="R68">
            <v>1.0076356106578106</v>
          </cell>
          <cell r="S68">
            <v>1.0098624683774413</v>
          </cell>
          <cell r="T68">
            <v>1.0104871783970797</v>
          </cell>
          <cell r="U68">
            <v>1.010623336815976</v>
          </cell>
          <cell r="V68">
            <v>1.0106457174525985</v>
          </cell>
          <cell r="W68">
            <v>1.0106484038909742</v>
          </cell>
        </row>
        <row r="69">
          <cell r="A69" t="str">
            <v>HVAC</v>
          </cell>
          <cell r="B69" t="str">
            <v>Combo DHP/HPWH units - Retro</v>
          </cell>
          <cell r="C69" t="str">
            <v>Retro5Med</v>
          </cell>
          <cell r="D69">
            <v>4.2999999999999997E-2</v>
          </cell>
          <cell r="E69">
            <v>5.279714228027832E-2</v>
          </cell>
          <cell r="F69">
            <v>6.4608251467478173E-2</v>
          </cell>
          <cell r="G69">
            <v>7.4999999999999997E-2</v>
          </cell>
          <cell r="H69">
            <v>8.5546997470333563E-2</v>
          </cell>
          <cell r="I69">
            <v>0.10001472303820647</v>
          </cell>
          <cell r="J69">
            <v>0.10971770435235073</v>
          </cell>
          <cell r="K69">
            <v>0.11208438511970376</v>
          </cell>
          <cell r="L69">
            <v>0.10562608162722853</v>
          </cell>
          <cell r="M69">
            <v>9.0794563997872335E-2</v>
          </cell>
          <cell r="N69">
            <v>7.0260666991849297E-2</v>
          </cell>
          <cell r="O69">
            <v>4.8218360404944538E-2</v>
          </cell>
          <cell r="P69">
            <v>2.8854234614640095E-2</v>
          </cell>
          <cell r="Q69">
            <v>1.4773964924806759E-2</v>
          </cell>
          <cell r="R69">
            <v>6.3385343681182649E-3</v>
          </cell>
          <cell r="S69">
            <v>2.2268577196306039E-3</v>
          </cell>
          <cell r="T69">
            <v>6.2471001963848583E-4</v>
          </cell>
          <cell r="U69">
            <v>1.3615841889635938E-4</v>
          </cell>
          <cell r="V69">
            <v>2.2380636622298944E-5</v>
          </cell>
          <cell r="W69">
            <v>2.68643837586513E-6</v>
          </cell>
        </row>
        <row r="70">
          <cell r="A70" t="str">
            <v>Water Heating</v>
          </cell>
          <cell r="B70" t="str">
            <v>Aerator - New</v>
          </cell>
          <cell r="C70" t="str">
            <v>LO3Slow</v>
          </cell>
          <cell r="D70">
            <v>5.5320496977002724E-3</v>
          </cell>
          <cell r="E70">
            <v>1.4227918344261844E-2</v>
          </cell>
          <cell r="F70">
            <v>3.1619655637384989E-2</v>
          </cell>
          <cell r="G70">
            <v>6.2055195900350503E-2</v>
          </cell>
          <cell r="H70">
            <v>0.10939936964274129</v>
          </cell>
          <cell r="I70">
            <v>0.17568121288208835</v>
          </cell>
          <cell r="J70">
            <v>0.26003992245943919</v>
          </cell>
          <cell r="K70">
            <v>0.3584584169663485</v>
          </cell>
          <cell r="L70">
            <v>0.46444756489686617</v>
          </cell>
          <cell r="M70">
            <v>0.57043671282738384</v>
          </cell>
          <cell r="N70">
            <v>0.66935991756253377</v>
          </cell>
          <cell r="O70">
            <v>0.75591772170578986</v>
          </cell>
          <cell r="P70">
            <v>0.82720061923553012</v>
          </cell>
          <cell r="Q70">
            <v>0.88264287286977261</v>
          </cell>
          <cell r="R70">
            <v>0.92349505975816193</v>
          </cell>
          <cell r="S70">
            <v>0.95209159058003434</v>
          </cell>
          <cell r="T70">
            <v>0.97115594446128262</v>
          </cell>
          <cell r="U70">
            <v>0.98328780602207699</v>
          </cell>
          <cell r="V70">
            <v>0.99067241740690848</v>
          </cell>
          <cell r="W70">
            <v>0.99498010738139331</v>
          </cell>
        </row>
        <row r="71">
          <cell r="A71" t="str">
            <v>Water Heating</v>
          </cell>
          <cell r="B71" t="str">
            <v>Aerator - Retro</v>
          </cell>
          <cell r="C71" t="str">
            <v>Retro3Slow</v>
          </cell>
          <cell r="D71">
            <v>5.5320496977002724E-3</v>
          </cell>
          <cell r="E71">
            <v>8.6958686465615706E-3</v>
          </cell>
          <cell r="F71">
            <v>1.7391737293123145E-2</v>
          </cell>
          <cell r="G71">
            <v>3.0435540262965514E-2</v>
          </cell>
          <cell r="H71">
            <v>4.7344173742390784E-2</v>
          </cell>
          <cell r="I71">
            <v>6.6281843239347063E-2</v>
          </cell>
          <cell r="J71">
            <v>8.4358709577350838E-2</v>
          </cell>
          <cell r="K71">
            <v>9.8418494506909315E-2</v>
          </cell>
          <cell r="L71">
            <v>0.10598914793051767</v>
          </cell>
          <cell r="M71">
            <v>0.10598914793051767</v>
          </cell>
          <cell r="N71">
            <v>9.8923204735149928E-2</v>
          </cell>
          <cell r="O71">
            <v>8.655780414325609E-2</v>
          </cell>
          <cell r="P71">
            <v>7.1282897529740263E-2</v>
          </cell>
          <cell r="Q71">
            <v>5.5442253634242489E-2</v>
          </cell>
          <cell r="R71">
            <v>4.0852186888389319E-2</v>
          </cell>
          <cell r="S71">
            <v>2.8596530821872412E-2</v>
          </cell>
          <cell r="T71">
            <v>1.9064353881248275E-2</v>
          </cell>
          <cell r="U71">
            <v>1.2131861560794377E-2</v>
          </cell>
          <cell r="V71">
            <v>7.3846113848314854E-3</v>
          </cell>
          <cell r="W71">
            <v>4.3076899744848296E-3</v>
          </cell>
        </row>
        <row r="72">
          <cell r="A72" t="str">
            <v>Water Heating</v>
          </cell>
          <cell r="B72" t="str">
            <v>Behavior - Retro</v>
          </cell>
          <cell r="C72" t="str">
            <v>Retro5Med</v>
          </cell>
          <cell r="D72">
            <v>4.2999999999999997E-2</v>
          </cell>
          <cell r="E72">
            <v>5.279714228027832E-2</v>
          </cell>
          <cell r="F72">
            <v>6.4608251467478173E-2</v>
          </cell>
          <cell r="G72">
            <v>7.4999999999999997E-2</v>
          </cell>
          <cell r="H72">
            <v>8.5546997470333563E-2</v>
          </cell>
          <cell r="I72">
            <v>0.10001472303820647</v>
          </cell>
          <cell r="J72">
            <v>0.10971770435235073</v>
          </cell>
          <cell r="K72">
            <v>0.11208438511970376</v>
          </cell>
          <cell r="L72">
            <v>0.10562608162722853</v>
          </cell>
          <cell r="M72">
            <v>9.0794563997872335E-2</v>
          </cell>
          <cell r="N72">
            <v>7.0260666991849297E-2</v>
          </cell>
          <cell r="O72">
            <v>4.8218360404944538E-2</v>
          </cell>
          <cell r="P72">
            <v>2.8854234614640095E-2</v>
          </cell>
          <cell r="Q72">
            <v>1.4773964924806759E-2</v>
          </cell>
          <cell r="R72">
            <v>6.3385343681182649E-3</v>
          </cell>
          <cell r="S72">
            <v>2.2268577196306039E-3</v>
          </cell>
          <cell r="T72">
            <v>6.2471001963848583E-4</v>
          </cell>
          <cell r="U72">
            <v>1.3615841889635938E-4</v>
          </cell>
          <cell r="V72">
            <v>2.2380636622298944E-5</v>
          </cell>
          <cell r="W72">
            <v>2.68643837586513E-6</v>
          </cell>
        </row>
        <row r="73">
          <cell r="A73" t="str">
            <v>Water Heating</v>
          </cell>
          <cell r="B73" t="str">
            <v>Behavior - New</v>
          </cell>
          <cell r="C73" t="str">
            <v>LO5Med</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row>
        <row r="74">
          <cell r="A74">
            <v>0</v>
          </cell>
          <cell r="B74">
            <v>0</v>
          </cell>
          <cell r="C74" t="str">
            <v>Retro1Slow</v>
          </cell>
          <cell r="D74">
            <v>2.5643970768378654E-3</v>
          </cell>
          <cell r="E74">
            <v>5.1260615529385989E-3</v>
          </cell>
          <cell r="F74">
            <v>9.1015544176433795E-3</v>
          </cell>
          <cell r="G74">
            <v>1.4804925730045659E-2</v>
          </cell>
          <cell r="H74">
            <v>2.2471809420486211E-2</v>
          </cell>
          <cell r="I74">
            <v>3.2184432813882391E-2</v>
          </cell>
          <cell r="J74">
            <v>4.3779667172004086E-2</v>
          </cell>
          <cell r="K74">
            <v>5.675426075474499E-2</v>
          </cell>
          <cell r="L74">
            <v>7.0195239068707532E-2</v>
          </cell>
          <cell r="M74">
            <v>8.2776861842756788E-2</v>
          </cell>
          <cell r="N74">
            <v>9.2870259507494834E-2</v>
          </cell>
          <cell r="O74">
            <v>9.8796470678915727E-2</v>
          </cell>
          <cell r="P74">
            <v>9.9208932889988999E-2</v>
          </cell>
          <cell r="Q74">
            <v>9.3521150494244254E-2</v>
          </cell>
          <cell r="R74">
            <v>8.2226007896862296E-2</v>
          </cell>
          <cell r="S74">
            <v>6.6933566027365665E-2</v>
          </cell>
          <cell r="T74">
            <v>5.0029565143448806E-2</v>
          </cell>
          <cell r="U74">
            <v>3.402486521893211E-2</v>
          </cell>
          <cell r="V74">
            <v>2.0846059340774659E-2</v>
          </cell>
          <cell r="W74">
            <v>0.01</v>
          </cell>
        </row>
        <row r="75">
          <cell r="A75" t="str">
            <v>HVAC</v>
          </cell>
          <cell r="B75" t="str">
            <v>Heat Recovery Ventilation - New</v>
          </cell>
          <cell r="C75" t="str">
            <v>LO1Slow</v>
          </cell>
          <cell r="D75">
            <v>2.5643970768378654E-3</v>
          </cell>
          <cell r="E75">
            <v>7.6904586297764643E-3</v>
          </cell>
          <cell r="F75">
            <v>1.6792013047419844E-2</v>
          </cell>
          <cell r="G75">
            <v>3.15969387774655E-2</v>
          </cell>
          <cell r="H75">
            <v>5.406874819795171E-2</v>
          </cell>
          <cell r="I75">
            <v>8.6253181011834101E-2</v>
          </cell>
          <cell r="J75">
            <v>0.1300328481838382</v>
          </cell>
          <cell r="K75">
            <v>0.18678710893858319</v>
          </cell>
          <cell r="L75">
            <v>0.2569823480072907</v>
          </cell>
          <cell r="M75">
            <v>0.33975920985004748</v>
          </cell>
          <cell r="N75">
            <v>0.43262946935754232</v>
          </cell>
          <cell r="O75">
            <v>0.53142594003645804</v>
          </cell>
          <cell r="P75">
            <v>0.63063487292644704</v>
          </cell>
          <cell r="Q75">
            <v>0.7241560234206913</v>
          </cell>
          <cell r="R75">
            <v>0.80638203131755359</v>
          </cell>
          <cell r="S75">
            <v>0.87331559734491926</v>
          </cell>
          <cell r="T75">
            <v>0.92334516248836807</v>
          </cell>
          <cell r="U75">
            <v>0.95737002770730018</v>
          </cell>
          <cell r="V75">
            <v>0.97821608704807483</v>
          </cell>
          <cell r="W75">
            <v>0.98821608704807484</v>
          </cell>
        </row>
        <row r="76">
          <cell r="A76" t="str">
            <v>HVAC</v>
          </cell>
          <cell r="B76" t="str">
            <v>GSHP - New</v>
          </cell>
          <cell r="C76" t="str">
            <v>LO1Slow</v>
          </cell>
          <cell r="D76">
            <v>2.5643970768378654E-3</v>
          </cell>
          <cell r="E76">
            <v>7.6904586297764643E-3</v>
          </cell>
          <cell r="F76">
            <v>1.6792013047419844E-2</v>
          </cell>
          <cell r="G76">
            <v>3.15969387774655E-2</v>
          </cell>
          <cell r="H76">
            <v>5.406874819795171E-2</v>
          </cell>
          <cell r="I76">
            <v>8.6253181011834101E-2</v>
          </cell>
          <cell r="J76">
            <v>0.1300328481838382</v>
          </cell>
          <cell r="K76">
            <v>0.18678710893858319</v>
          </cell>
          <cell r="L76">
            <v>0.2569823480072907</v>
          </cell>
          <cell r="M76">
            <v>0.33975920985004748</v>
          </cell>
          <cell r="N76">
            <v>0.43262946935754232</v>
          </cell>
          <cell r="O76">
            <v>0.53142594003645804</v>
          </cell>
          <cell r="P76">
            <v>0.63063487292644704</v>
          </cell>
          <cell r="Q76">
            <v>0.7241560234206913</v>
          </cell>
          <cell r="R76">
            <v>0.80638203131755359</v>
          </cell>
          <cell r="S76">
            <v>0.87331559734491926</v>
          </cell>
          <cell r="T76">
            <v>0.92334516248836807</v>
          </cell>
          <cell r="U76">
            <v>0.95737002770730018</v>
          </cell>
          <cell r="V76">
            <v>0.97821608704807483</v>
          </cell>
          <cell r="W76">
            <v>0.98821608704807484</v>
          </cell>
        </row>
        <row r="77">
          <cell r="A77" t="str">
            <v>HVAC</v>
          </cell>
          <cell r="B77" t="str">
            <v>GSHP - NR</v>
          </cell>
          <cell r="C77" t="str">
            <v>LO1Slow</v>
          </cell>
          <cell r="D77">
            <v>2.5643970768378654E-3</v>
          </cell>
          <cell r="E77">
            <v>7.6904586297764643E-3</v>
          </cell>
          <cell r="F77">
            <v>1.6792013047419844E-2</v>
          </cell>
          <cell r="G77">
            <v>3.15969387774655E-2</v>
          </cell>
          <cell r="H77">
            <v>5.406874819795171E-2</v>
          </cell>
          <cell r="I77">
            <v>8.6253181011834101E-2</v>
          </cell>
          <cell r="J77">
            <v>0.1300328481838382</v>
          </cell>
          <cell r="K77">
            <v>0.18678710893858319</v>
          </cell>
          <cell r="L77">
            <v>0.2569823480072907</v>
          </cell>
          <cell r="M77">
            <v>0.33975920985004748</v>
          </cell>
          <cell r="N77">
            <v>0.43262946935754232</v>
          </cell>
          <cell r="O77">
            <v>0.53142594003645804</v>
          </cell>
          <cell r="P77">
            <v>0.63063487292644704</v>
          </cell>
          <cell r="Q77">
            <v>0.7241560234206913</v>
          </cell>
          <cell r="R77">
            <v>0.80638203131755359</v>
          </cell>
          <cell r="S77">
            <v>0.87331559734491926</v>
          </cell>
          <cell r="T77">
            <v>0.92334516248836807</v>
          </cell>
          <cell r="U77">
            <v>0.95737002770730018</v>
          </cell>
          <cell r="V77">
            <v>0.97821608704807483</v>
          </cell>
          <cell r="W77">
            <v>0.98821608704807484</v>
          </cell>
        </row>
        <row r="78">
          <cell r="A78">
            <v>0</v>
          </cell>
          <cell r="B78">
            <v>0</v>
          </cell>
          <cell r="C78" t="str">
            <v>Retro5Med</v>
          </cell>
          <cell r="D78">
            <v>4.2999999999999997E-2</v>
          </cell>
          <cell r="E78">
            <v>5.279714228027832E-2</v>
          </cell>
          <cell r="F78">
            <v>6.4608251467478173E-2</v>
          </cell>
          <cell r="G78">
            <v>7.4999999999999997E-2</v>
          </cell>
          <cell r="H78">
            <v>8.5546997470333563E-2</v>
          </cell>
          <cell r="I78">
            <v>0.10001472303820647</v>
          </cell>
          <cell r="J78">
            <v>0.10971770435235073</v>
          </cell>
          <cell r="K78">
            <v>0.11208438511970376</v>
          </cell>
          <cell r="L78">
            <v>0.10562608162722853</v>
          </cell>
          <cell r="M78">
            <v>9.0794563997872335E-2</v>
          </cell>
          <cell r="N78">
            <v>7.0260666991849297E-2</v>
          </cell>
          <cell r="O78">
            <v>4.8218360404944538E-2</v>
          </cell>
          <cell r="P78">
            <v>2.8854234614640095E-2</v>
          </cell>
          <cell r="Q78">
            <v>1.4773964924806759E-2</v>
          </cell>
          <cell r="R78">
            <v>6.3385343681182649E-3</v>
          </cell>
          <cell r="S78">
            <v>2.2268577196306039E-3</v>
          </cell>
          <cell r="T78">
            <v>6.2471001963848583E-4</v>
          </cell>
          <cell r="U78">
            <v>1.3615841889635938E-4</v>
          </cell>
          <cell r="V78">
            <v>2.2380636622298944E-5</v>
          </cell>
          <cell r="W78">
            <v>2.68643837586513E-6</v>
          </cell>
        </row>
        <row r="79">
          <cell r="A79" t="str">
            <v>HVAC</v>
          </cell>
          <cell r="B79" t="str">
            <v>ECM for HVAC ventilation - New</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row>
        <row r="80">
          <cell r="A80" t="str">
            <v>HVAC</v>
          </cell>
          <cell r="B80" t="str">
            <v>ECM for HVAC ventilation - NR</v>
          </cell>
          <cell r="C80" t="str">
            <v>LO12Med</v>
          </cell>
          <cell r="D80">
            <v>0.10937459468255628</v>
          </cell>
          <cell r="E80">
            <v>0.21874918936511256</v>
          </cell>
          <cell r="F80">
            <v>0.32812378404766884</v>
          </cell>
        </row>
        <row r="81">
          <cell r="A81" t="str">
            <v>HVAC</v>
          </cell>
          <cell r="B81" t="str">
            <v>Whole house/attic fan - New</v>
          </cell>
          <cell r="C81" t="str">
            <v>LO12Med</v>
          </cell>
          <cell r="D81">
            <v>0.10937459468255628</v>
          </cell>
          <cell r="E81">
            <v>0.21874918936511256</v>
          </cell>
          <cell r="F81">
            <v>0.32812378404766884</v>
          </cell>
        </row>
        <row r="82">
          <cell r="A82" t="str">
            <v>HVAC</v>
          </cell>
          <cell r="B82" t="str">
            <v>Whole house/attic fan - Retro</v>
          </cell>
          <cell r="C82" t="str">
            <v>Retro12Med</v>
          </cell>
        </row>
        <row r="83">
          <cell r="A83" t="str">
            <v>Water heating</v>
          </cell>
          <cell r="B83" t="str">
            <v>WH Pipe insulation - Retro</v>
          </cell>
          <cell r="C83" t="str">
            <v>Retro12Med</v>
          </cell>
        </row>
        <row r="84">
          <cell r="A84" t="str">
            <v>HVAC</v>
          </cell>
          <cell r="B84" t="str">
            <v>DHP Ducted - NR</v>
          </cell>
          <cell r="C84" t="str">
            <v>LO12Med</v>
          </cell>
        </row>
        <row r="85">
          <cell r="A85" t="str">
            <v>Electronics</v>
          </cell>
          <cell r="B85" t="str">
            <v>Advanced Power Strips - New</v>
          </cell>
          <cell r="C85" t="str">
            <v>LO3Slow</v>
          </cell>
        </row>
        <row r="86">
          <cell r="A86" t="str">
            <v>Electronics</v>
          </cell>
          <cell r="B86" t="str">
            <v>Advanced Power Strips - Retro</v>
          </cell>
          <cell r="C86" t="str">
            <v>Retro3Slow</v>
          </cell>
        </row>
        <row r="87">
          <cell r="A87" t="str">
            <v>HVAC</v>
          </cell>
          <cell r="B87" t="str">
            <v>Controls Commissioning and Sizing - New</v>
          </cell>
          <cell r="C87" t="str">
            <v>LO5Med</v>
          </cell>
        </row>
        <row r="88">
          <cell r="A88" t="str">
            <v>HVAC</v>
          </cell>
          <cell r="B88" t="str">
            <v>Controls Commissioning and Sizing - NR</v>
          </cell>
          <cell r="C88" t="str">
            <v>LO5Med</v>
          </cell>
        </row>
        <row r="89">
          <cell r="A89" t="str">
            <v>HVAC</v>
          </cell>
          <cell r="B89" t="str">
            <v>ResWx - Retro</v>
          </cell>
          <cell r="C89" t="str">
            <v>Retro12Med</v>
          </cell>
        </row>
      </sheetData>
      <sheetData sheetId="10" refreshError="1"/>
      <sheetData sheetId="11">
        <row r="9">
          <cell r="B9" t="str">
            <v>All Cohorts RBSA 2012</v>
          </cell>
          <cell r="C9" t="str">
            <v>BLDGTYPE</v>
          </cell>
        </row>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 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F67">
            <v>1216.4209797598855</v>
          </cell>
        </row>
        <row r="68">
          <cell r="B68" t="str">
            <v>AtticSqft</v>
          </cell>
          <cell r="C68">
            <v>1431.3235818765609</v>
          </cell>
          <cell r="D68">
            <v>407</v>
          </cell>
          <cell r="F68">
            <v>1280</v>
          </cell>
        </row>
        <row r="69">
          <cell r="B69" t="str">
            <v>FloorSqft</v>
          </cell>
          <cell r="C69">
            <v>1431.3235818765609</v>
          </cell>
          <cell r="D69">
            <v>390</v>
          </cell>
          <cell r="F69">
            <v>1280</v>
          </cell>
        </row>
        <row r="70">
          <cell r="B70" t="str">
            <v>WindowSqft</v>
          </cell>
          <cell r="C70">
            <v>178.91544773457011</v>
          </cell>
          <cell r="D70">
            <v>174</v>
          </cell>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86">
          <cell r="B86" t="str">
            <v>FORECAST</v>
          </cell>
          <cell r="C86" t="str">
            <v>BLDGTYPE</v>
          </cell>
        </row>
        <row r="87">
          <cell r="B87" t="str">
            <v>Vars</v>
          </cell>
          <cell r="C87" t="str">
            <v>Single Family</v>
          </cell>
          <cell r="D87" t="str">
            <v>Multifamily - Low Rise</v>
          </cell>
          <cell r="E87" t="str">
            <v>Multifamily - High Rise</v>
          </cell>
          <cell r="F87" t="str">
            <v>Manufactured</v>
          </cell>
        </row>
        <row r="88">
          <cell r="B88" t="str">
            <v>Electric FAF - HZ1CZ1</v>
          </cell>
          <cell r="C88">
            <v>1.8379055706406227E-2</v>
          </cell>
          <cell r="D88">
            <v>2.9671514740017984E-2</v>
          </cell>
          <cell r="E88">
            <v>2.9671514740017984E-2</v>
          </cell>
          <cell r="F88">
            <v>0.68310644913823848</v>
          </cell>
        </row>
        <row r="89">
          <cell r="B89" t="str">
            <v>Electric FAF - HZ1CZ23</v>
          </cell>
          <cell r="C89">
            <v>2.412923495568365E-2</v>
          </cell>
          <cell r="D89">
            <v>0</v>
          </cell>
          <cell r="E89">
            <v>0</v>
          </cell>
          <cell r="F89">
            <v>0.53068387215316171</v>
          </cell>
        </row>
        <row r="90">
          <cell r="B90" t="str">
            <v>Electric FAF - HZ23CZ1</v>
          </cell>
          <cell r="C90">
            <v>1.4117647058823532E-2</v>
          </cell>
          <cell r="D90">
            <v>0</v>
          </cell>
          <cell r="E90">
            <v>0</v>
          </cell>
          <cell r="F90">
            <v>0.29641575914254098</v>
          </cell>
        </row>
        <row r="91">
          <cell r="B91" t="str">
            <v>Electric FAF - HZ23CZ23</v>
          </cell>
          <cell r="C91">
            <v>0.14117647058823535</v>
          </cell>
          <cell r="D91">
            <v>0</v>
          </cell>
          <cell r="E91">
            <v>0</v>
          </cell>
          <cell r="F91">
            <v>0.49242118699820225</v>
          </cell>
        </row>
        <row r="92">
          <cell r="B92" t="str">
            <v>Electric FAF - HZ1</v>
          </cell>
          <cell r="C92">
            <v>2.0048426314096562E-2</v>
          </cell>
          <cell r="D92">
            <v>2.279607208754721E-2</v>
          </cell>
          <cell r="E92">
            <v>2.279607208754721E-2</v>
          </cell>
          <cell r="F92">
            <v>0.6103855317692306</v>
          </cell>
        </row>
        <row r="93">
          <cell r="B93" t="str">
            <v>Electric FAF - HZ23</v>
          </cell>
          <cell r="C93">
            <v>8.8458324594873558E-2</v>
          </cell>
          <cell r="D93">
            <v>0</v>
          </cell>
          <cell r="E93">
            <v>0</v>
          </cell>
          <cell r="F93">
            <v>0.42117367880782697</v>
          </cell>
        </row>
        <row r="94">
          <cell r="B94" t="str">
            <v>Electric FAF - Region</v>
          </cell>
          <cell r="C94">
            <v>2.1766292465668989E-2</v>
          </cell>
          <cell r="D94">
            <v>1.96145349060163E-2</v>
          </cell>
          <cell r="E94">
            <v>1.96145349060163E-2</v>
          </cell>
          <cell r="F94">
            <v>0.54052539788177201</v>
          </cell>
        </row>
        <row r="95">
          <cell r="B95" t="str">
            <v>Electric FAF w/ CAC - HZ1CZ1</v>
          </cell>
          <cell r="C95">
            <v>0.13310430527104683</v>
          </cell>
          <cell r="D95">
            <v>0</v>
          </cell>
          <cell r="E95">
            <v>0</v>
          </cell>
          <cell r="F95">
            <v>0.15868069027846163</v>
          </cell>
        </row>
        <row r="96">
          <cell r="B96" t="str">
            <v>Electric FAF w/ CAC - HZ1CZ23</v>
          </cell>
          <cell r="C96">
            <v>0.12117534162825606</v>
          </cell>
          <cell r="D96">
            <v>0</v>
          </cell>
          <cell r="E96">
            <v>0</v>
          </cell>
          <cell r="F96">
            <v>4.8523578535561704E-2</v>
          </cell>
        </row>
        <row r="97">
          <cell r="B97" t="str">
            <v>Electric FAF w/ CAC - HZ23CZ1</v>
          </cell>
          <cell r="C97">
            <v>1.9503476240466618E-2</v>
          </cell>
          <cell r="D97">
            <v>0</v>
          </cell>
          <cell r="E97">
            <v>0</v>
          </cell>
          <cell r="F97">
            <v>8.6847892074621388E-2</v>
          </cell>
        </row>
        <row r="98">
          <cell r="B98" t="str">
            <v>Electric FAF w/ CAC - HZ23CZ23</v>
          </cell>
          <cell r="C98">
            <v>3.0407952417464763E-2</v>
          </cell>
          <cell r="D98">
            <v>0</v>
          </cell>
          <cell r="E98">
            <v>0</v>
          </cell>
          <cell r="F98">
            <v>6.4577174474630405E-2</v>
          </cell>
        </row>
        <row r="99">
          <cell r="B99" t="str">
            <v>Heat Pump - HZ1CZ1</v>
          </cell>
          <cell r="C99">
            <v>7.4095770994953139E-2</v>
          </cell>
          <cell r="D99">
            <v>1.0945836048995988E-3</v>
          </cell>
          <cell r="E99">
            <v>1.0945836048995988E-3</v>
          </cell>
          <cell r="F99">
            <v>0.11042200533666623</v>
          </cell>
        </row>
        <row r="100">
          <cell r="B100" t="str">
            <v>Heat Pump - HZ1CZ23</v>
          </cell>
          <cell r="C100">
            <v>0.1235678638282882</v>
          </cell>
          <cell r="D100">
            <v>4.9999998343195358E-2</v>
          </cell>
          <cell r="E100">
            <v>4.9999998343195358E-2</v>
          </cell>
          <cell r="F100">
            <v>0.3014354043468136</v>
          </cell>
        </row>
        <row r="101">
          <cell r="B101" t="str">
            <v>Heat Pump - HZ23CZ1</v>
          </cell>
          <cell r="C101">
            <v>0.11294117647058827</v>
          </cell>
          <cell r="D101">
            <v>0</v>
          </cell>
          <cell r="E101">
            <v>0</v>
          </cell>
          <cell r="F101">
            <v>1.6598912836278519E-2</v>
          </cell>
        </row>
        <row r="102">
          <cell r="B102" t="str">
            <v>Heat Pump - HZ23CZ23</v>
          </cell>
          <cell r="C102">
            <v>0</v>
          </cell>
          <cell r="D102">
            <v>0</v>
          </cell>
          <cell r="E102">
            <v>0</v>
          </cell>
          <cell r="F102">
            <v>7.8940309013942875E-2</v>
          </cell>
        </row>
        <row r="103">
          <cell r="B103" t="str">
            <v>Heat Pump - HZ1</v>
          </cell>
          <cell r="C103">
            <v>8.8458324594873558E-2</v>
          </cell>
          <cell r="D103">
            <v>1.2426879154171162E-2</v>
          </cell>
          <cell r="E103">
            <v>1.2426879154171162E-2</v>
          </cell>
          <cell r="F103">
            <v>0.20155463070325005</v>
          </cell>
        </row>
        <row r="104">
          <cell r="B104" t="str">
            <v>Heat Pump - HZ23</v>
          </cell>
          <cell r="C104">
            <v>9.6333066453162572E-2</v>
          </cell>
          <cell r="D104">
            <v>0</v>
          </cell>
          <cell r="E104">
            <v>0</v>
          </cell>
          <cell r="F104">
            <v>5.6279359348618191E-2</v>
          </cell>
        </row>
        <row r="105">
          <cell r="B105" t="str">
            <v>Heat Pump - Region</v>
          </cell>
          <cell r="C105">
            <v>8.9373362312324317E-2</v>
          </cell>
          <cell r="D105">
            <v>1.0692519922126772E-2</v>
          </cell>
          <cell r="E105">
            <v>1.0692519922126772E-2</v>
          </cell>
          <cell r="F105">
            <v>0.14791660671834839</v>
          </cell>
        </row>
        <row r="106">
          <cell r="B106" t="str">
            <v>Electric Zonal - HZ1CZ1</v>
          </cell>
          <cell r="C106">
            <v>6.1965327738795109E-2</v>
          </cell>
          <cell r="D106">
            <v>0.85383980263040493</v>
          </cell>
          <cell r="E106">
            <v>0.85383980263040493</v>
          </cell>
          <cell r="F106">
            <v>3.0024948086295324E-2</v>
          </cell>
        </row>
        <row r="107">
          <cell r="B107" t="str">
            <v>Electric Zonal - HZ1CZ23</v>
          </cell>
          <cell r="C107">
            <v>6.7430556561826104E-3</v>
          </cell>
          <cell r="D107">
            <v>0.73333333554240632</v>
          </cell>
          <cell r="E107">
            <v>0.73333333554240632</v>
          </cell>
          <cell r="F107">
            <v>2.9788775817665265E-2</v>
          </cell>
        </row>
        <row r="108">
          <cell r="B108" t="str">
            <v>Electric Zonal - HZ23CZ1</v>
          </cell>
          <cell r="C108">
            <v>1.4117647058823532E-2</v>
          </cell>
          <cell r="D108">
            <v>0.59999998409467525</v>
          </cell>
          <cell r="E108">
            <v>0.59999998409467525</v>
          </cell>
          <cell r="F108">
            <v>3.3197825672557038E-2</v>
          </cell>
        </row>
        <row r="109">
          <cell r="B109" t="str">
            <v>Electric Zonal - HZ23CZ23</v>
          </cell>
          <cell r="C109">
            <v>0</v>
          </cell>
          <cell r="D109">
            <v>0.77777778759587934</v>
          </cell>
          <cell r="E109">
            <v>0.77777778759587934</v>
          </cell>
          <cell r="F109">
            <v>3.9084849826646118E-2</v>
          </cell>
        </row>
        <row r="110">
          <cell r="B110" t="str">
            <v>Electric Zonal - HZ1</v>
          </cell>
          <cell r="C110">
            <v>2.0048426314096562E-2</v>
          </cell>
          <cell r="D110">
            <v>0.82591620954879041</v>
          </cell>
          <cell r="E110">
            <v>0.82591620954879041</v>
          </cell>
          <cell r="F110">
            <v>2.9912270132860779E-2</v>
          </cell>
        </row>
        <row r="111">
          <cell r="B111" t="str">
            <v>Electric Zonal - HZ23</v>
          </cell>
          <cell r="C111">
            <v>1.204163330664532E-2</v>
          </cell>
          <cell r="D111">
            <v>0.71428571563820797</v>
          </cell>
          <cell r="E111">
            <v>0.71428571563820797</v>
          </cell>
          <cell r="F111">
            <v>3.6944930507961368E-2</v>
          </cell>
        </row>
        <row r="112">
          <cell r="B112" t="str">
            <v>Electric Zonal - Region</v>
          </cell>
          <cell r="C112">
            <v>4.1178226016708668E-2</v>
          </cell>
          <cell r="D112">
            <v>0.81033648311148054</v>
          </cell>
          <cell r="E112">
            <v>0.81033648311148054</v>
          </cell>
          <cell r="F112">
            <v>3.2508844225339915E-2</v>
          </cell>
        </row>
        <row r="113">
          <cell r="B113" t="str">
            <v>DHP - HZ1CZ1</v>
          </cell>
          <cell r="C113">
            <v>0</v>
          </cell>
          <cell r="D113">
            <v>2.3692380398754449E-2</v>
          </cell>
          <cell r="E113">
            <v>2.3692380398754449E-2</v>
          </cell>
          <cell r="F113">
            <v>1.2931050080460879E-2</v>
          </cell>
        </row>
        <row r="114">
          <cell r="B114" t="str">
            <v>DHP - HZ1CZ23</v>
          </cell>
          <cell r="C114">
            <v>0</v>
          </cell>
          <cell r="D114">
            <v>0</v>
          </cell>
          <cell r="E114">
            <v>0</v>
          </cell>
          <cell r="F114">
            <v>0</v>
          </cell>
        </row>
        <row r="115">
          <cell r="B115" t="str">
            <v>DHP - HZ23CZ1</v>
          </cell>
          <cell r="C115">
            <v>0</v>
          </cell>
          <cell r="D115">
            <v>0</v>
          </cell>
          <cell r="E115">
            <v>0</v>
          </cell>
          <cell r="F115">
            <v>2.3801185576297144E-2</v>
          </cell>
        </row>
        <row r="116">
          <cell r="B116" t="str">
            <v>DHP - HZ23CZ23</v>
          </cell>
          <cell r="C116">
            <v>0</v>
          </cell>
          <cell r="D116">
            <v>0</v>
          </cell>
          <cell r="E116">
            <v>0</v>
          </cell>
          <cell r="F116">
            <v>9.4794076514498494E-3</v>
          </cell>
        </row>
        <row r="117">
          <cell r="B117" t="str">
            <v>DHP - HZ1</v>
          </cell>
          <cell r="C117">
            <v>0</v>
          </cell>
          <cell r="D117">
            <v>1.8202414545664333E-2</v>
          </cell>
          <cell r="E117">
            <v>1.8202414545664333E-2</v>
          </cell>
          <cell r="F117">
            <v>6.761637103748332E-3</v>
          </cell>
        </row>
        <row r="118">
          <cell r="B118" t="str">
            <v>DHP - HZ23</v>
          </cell>
          <cell r="C118">
            <v>0</v>
          </cell>
          <cell r="D118">
            <v>0</v>
          </cell>
          <cell r="E118">
            <v>0</v>
          </cell>
          <cell r="F118">
            <v>1.4685339962430082E-2</v>
          </cell>
        </row>
        <row r="119">
          <cell r="B119" t="str">
            <v>DHP - Region</v>
          </cell>
          <cell r="C119">
            <v>0</v>
          </cell>
          <cell r="D119">
            <v>1.5661991860200661E-2</v>
          </cell>
          <cell r="E119">
            <v>1.5661991860200661E-2</v>
          </cell>
          <cell r="F119">
            <v>9.6871987634867523E-3</v>
          </cell>
        </row>
        <row r="120">
          <cell r="B120" t="str">
            <v>Central AC - CZ1</v>
          </cell>
          <cell r="C120">
            <v>0.99177648564154341</v>
          </cell>
          <cell r="D120">
            <v>1.2325175673207357E-2</v>
          </cell>
          <cell r="E120">
            <v>1.2325175673207357E-2</v>
          </cell>
          <cell r="F120">
            <v>0.14076353391268348</v>
          </cell>
        </row>
        <row r="121">
          <cell r="B121" t="str">
            <v>Central AC - CZ23</v>
          </cell>
          <cell r="C121">
            <v>0.97720135258324703</v>
          </cell>
          <cell r="D121">
            <v>6.8965519290222155E-2</v>
          </cell>
          <cell r="E121">
            <v>6.8965519290222155E-2</v>
          </cell>
          <cell r="F121">
            <v>0.17641272113455647</v>
          </cell>
        </row>
        <row r="122">
          <cell r="B122" t="str">
            <v>Room A/C - CZ1</v>
          </cell>
          <cell r="C122">
            <v>8.2235143584565747E-3</v>
          </cell>
          <cell r="D122">
            <v>5.3226756579866766E-2</v>
          </cell>
          <cell r="E122">
            <v>5.3226756579866766E-2</v>
          </cell>
          <cell r="F122">
            <v>0.21069287259219041</v>
          </cell>
        </row>
        <row r="123">
          <cell r="B123" t="str">
            <v>Room A/C - CZ23</v>
          </cell>
          <cell r="C123">
            <v>2.2798647416753057E-2</v>
          </cell>
          <cell r="D123">
            <v>0.10344827665008544</v>
          </cell>
          <cell r="E123">
            <v>0.10344827665008544</v>
          </cell>
          <cell r="F123">
            <v>0.16156829862253547</v>
          </cell>
        </row>
        <row r="124">
          <cell r="B124" t="str">
            <v>Electric WH</v>
          </cell>
          <cell r="C124">
            <v>0.55200000000000005</v>
          </cell>
          <cell r="D124">
            <v>0.94699999999999995</v>
          </cell>
          <cell r="E124">
            <v>0.94699999999999995</v>
          </cell>
          <cell r="F124">
            <v>0.88900000000000001</v>
          </cell>
        </row>
        <row r="125">
          <cell r="B125" t="str">
            <v xml:space="preserve">DHW &lt;55 </v>
          </cell>
          <cell r="C125">
            <v>0.58017916240221834</v>
          </cell>
        </row>
        <row r="126">
          <cell r="B126" t="str">
            <v>DHW &gt;55</v>
          </cell>
          <cell r="C126">
            <v>0.4198208375977816</v>
          </cell>
        </row>
        <row r="127">
          <cell r="B127" t="str">
            <v>Refrigerator</v>
          </cell>
          <cell r="C127">
            <v>1.2831400506742725</v>
          </cell>
          <cell r="D127">
            <v>1.0236201688615751</v>
          </cell>
          <cell r="E127">
            <v>1.0236201688615751</v>
          </cell>
          <cell r="F127">
            <v>1.1963734390534748</v>
          </cell>
        </row>
        <row r="128">
          <cell r="B128" t="str">
            <v>Freezer</v>
          </cell>
          <cell r="C128">
            <v>0.52766223341265472</v>
          </cell>
          <cell r="D128">
            <v>4.7085148422193572E-2</v>
          </cell>
          <cell r="E128">
            <v>4.7085148422193572E-2</v>
          </cell>
          <cell r="F128">
            <v>0.44147575101117187</v>
          </cell>
        </row>
        <row r="129">
          <cell r="B129" t="str">
            <v>Clothes Washer</v>
          </cell>
          <cell r="C129">
            <v>0.98546930096285335</v>
          </cell>
          <cell r="D129">
            <v>0.46477658924872384</v>
          </cell>
          <cell r="E129">
            <v>0.46477658924872384</v>
          </cell>
          <cell r="F129">
            <v>0.95368270905809616</v>
          </cell>
        </row>
        <row r="130">
          <cell r="B130" t="str">
            <v>Clothes Dryer</v>
          </cell>
          <cell r="C130">
            <v>0.93640551858187504</v>
          </cell>
          <cell r="D130">
            <v>0.46266057162974022</v>
          </cell>
          <cell r="E130">
            <v>0.46266057162974022</v>
          </cell>
          <cell r="F130">
            <v>0.88480083438048951</v>
          </cell>
        </row>
        <row r="131">
          <cell r="B131" t="str">
            <v>Dishwasher</v>
          </cell>
          <cell r="C131">
            <v>0.87764489634961651</v>
          </cell>
          <cell r="D131">
            <v>0.78113749066870952</v>
          </cell>
          <cell r="E131">
            <v>0.78113749066870952</v>
          </cell>
          <cell r="F131">
            <v>0.76196535734220561</v>
          </cell>
        </row>
        <row r="132">
          <cell r="B132" t="str">
            <v>Microwave</v>
          </cell>
          <cell r="C132">
            <v>0.95</v>
          </cell>
          <cell r="D132">
            <v>0.95</v>
          </cell>
          <cell r="E132">
            <v>0.95</v>
          </cell>
          <cell r="F132">
            <v>0.95</v>
          </cell>
        </row>
        <row r="133">
          <cell r="B133" t="str">
            <v>Electric Oven</v>
          </cell>
          <cell r="C133">
            <v>0.86895503473004965</v>
          </cell>
          <cell r="D133">
            <v>0.96585088459989477</v>
          </cell>
          <cell r="E133">
            <v>0.96585088459989477</v>
          </cell>
          <cell r="F133">
            <v>0.89920410170315002</v>
          </cell>
        </row>
        <row r="134">
          <cell r="B134" t="str">
            <v>TV</v>
          </cell>
          <cell r="C134">
            <v>2.6054137843968896</v>
          </cell>
          <cell r="D134">
            <v>1.5145007606068333</v>
          </cell>
          <cell r="E134">
            <v>1.5145007606068333</v>
          </cell>
          <cell r="F134">
            <v>2.0454162110233622</v>
          </cell>
        </row>
        <row r="135">
          <cell r="B135" t="str">
            <v>Set top box</v>
          </cell>
          <cell r="C135">
            <v>1.0654190989347723</v>
          </cell>
          <cell r="D135">
            <v>1.038434724492763</v>
          </cell>
          <cell r="E135">
            <v>1.038434724492763</v>
          </cell>
          <cell r="F135">
            <v>1.3170555258448295</v>
          </cell>
        </row>
        <row r="136">
          <cell r="B136" t="str">
            <v>Computer</v>
          </cell>
          <cell r="C136">
            <v>1.6074234662188889</v>
          </cell>
          <cell r="D136">
            <v>0.71239882016544165</v>
          </cell>
          <cell r="E136">
            <v>0.71239882016544165</v>
          </cell>
          <cell r="F136">
            <v>1.1331497454290105</v>
          </cell>
        </row>
        <row r="137">
          <cell r="B137" t="str">
            <v>Monitor</v>
          </cell>
          <cell r="C137">
            <v>1.0109839382712824</v>
          </cell>
          <cell r="D137">
            <v>0.45062457275939666</v>
          </cell>
          <cell r="E137">
            <v>0.45062457275939666</v>
          </cell>
          <cell r="F137">
            <v>0.72198913200149617</v>
          </cell>
        </row>
        <row r="138">
          <cell r="B138" t="str">
            <v>EISA nx</v>
          </cell>
          <cell r="C138">
            <v>0.73183262488926393</v>
          </cell>
          <cell r="D138">
            <v>0.41826483853544827</v>
          </cell>
          <cell r="E138">
            <v>0.41826483853544827</v>
          </cell>
          <cell r="F138">
            <v>0.81140182193357802</v>
          </cell>
        </row>
        <row r="139">
          <cell r="B139" t="str">
            <v>EISA x</v>
          </cell>
          <cell r="C139">
            <v>0.26816737511073607</v>
          </cell>
          <cell r="D139">
            <v>0.58148897029728519</v>
          </cell>
          <cell r="E139">
            <v>0.58148897029728519</v>
          </cell>
          <cell r="F139">
            <v>0.18859817806642193</v>
          </cell>
        </row>
        <row r="140">
          <cell r="B140" t="str">
            <v>WallSqft</v>
          </cell>
          <cell r="C140">
            <v>583.40896061568401</v>
          </cell>
        </row>
        <row r="141">
          <cell r="B141" t="str">
            <v>AtticSqft</v>
          </cell>
          <cell r="C141">
            <v>1177.7370772549227</v>
          </cell>
        </row>
        <row r="142">
          <cell r="B142" t="str">
            <v>FloorSqft</v>
          </cell>
          <cell r="C142">
            <v>1177.7370772549227</v>
          </cell>
        </row>
        <row r="143">
          <cell r="B143" t="str">
            <v>WindowSqft</v>
          </cell>
          <cell r="C143">
            <v>147.21713465686534</v>
          </cell>
        </row>
        <row r="144">
          <cell r="B144" t="str">
            <v>HomeSqft</v>
          </cell>
          <cell r="C144">
            <v>2355.4741545098454</v>
          </cell>
        </row>
        <row r="145">
          <cell r="B145" t="str">
            <v>Lighting</v>
          </cell>
          <cell r="C145">
            <v>77</v>
          </cell>
          <cell r="D145">
            <v>23</v>
          </cell>
          <cell r="E145">
            <v>23</v>
          </cell>
          <cell r="F145">
            <v>34.5</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energystar.gov/index.cfm?c=cfls.pr_crit_cfl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bpa.gov/energy/n/reports/evaluation/pdf/Residential_CFL_Final.pdf" TargetMode="External"/><Relationship Id="rId2" Type="http://schemas.openxmlformats.org/officeDocument/2006/relationships/hyperlink" Target="http://neea.org/docs/default-source/reports/residential-building-stock-assessment-single-family-characteristics-and-energy-use.pdf?sfvrsn=10" TargetMode="External"/><Relationship Id="rId1" Type="http://schemas.openxmlformats.org/officeDocument/2006/relationships/hyperlink" Target="http://neea.org/docs/reports/energy-star-consumer-products-market-progress-evaluation-report-e07-174.pdf?sfvrsn=7" TargetMode="External"/><Relationship Id="rId5" Type="http://schemas.openxmlformats.org/officeDocument/2006/relationships/drawing" Target="../drawings/drawing7.xml"/><Relationship Id="rId4" Type="http://schemas.openxmlformats.org/officeDocument/2006/relationships/hyperlink" Target="http://neea.org/docs/default-source/reports/2012-2013-northwest-residential-lighting-market-tracking-study.pdf?sfvrsn=10"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codeName="Sheet4"/>
  <dimension ref="C1:F13"/>
  <sheetViews>
    <sheetView workbookViewId="0">
      <selection activeCell="D13" sqref="D13"/>
    </sheetView>
  </sheetViews>
  <sheetFormatPr defaultRowHeight="12.75"/>
  <cols>
    <col min="1" max="1" width="9.140625" style="91"/>
    <col min="2" max="2" width="26.7109375" style="91" customWidth="1"/>
    <col min="3" max="3" width="37.85546875" style="91" customWidth="1"/>
    <col min="4" max="4" width="39.140625" style="91" customWidth="1"/>
    <col min="5" max="5" width="31" style="91" customWidth="1"/>
    <col min="6" max="6" width="20.7109375" style="91" customWidth="1"/>
    <col min="7" max="257" width="9.140625" style="91"/>
    <col min="258" max="258" width="26.7109375" style="91" customWidth="1"/>
    <col min="259" max="259" width="73.7109375" style="91" customWidth="1"/>
    <col min="260" max="260" width="58.42578125" style="91" customWidth="1"/>
    <col min="261" max="261" width="28.85546875" style="91" customWidth="1"/>
    <col min="262" max="513" width="9.140625" style="91"/>
    <col min="514" max="514" width="26.7109375" style="91" customWidth="1"/>
    <col min="515" max="515" width="73.7109375" style="91" customWidth="1"/>
    <col min="516" max="516" width="58.42578125" style="91" customWidth="1"/>
    <col min="517" max="517" width="28.85546875" style="91" customWidth="1"/>
    <col min="518" max="769" width="9.140625" style="91"/>
    <col min="770" max="770" width="26.7109375" style="91" customWidth="1"/>
    <col min="771" max="771" width="73.7109375" style="91" customWidth="1"/>
    <col min="772" max="772" width="58.42578125" style="91" customWidth="1"/>
    <col min="773" max="773" width="28.85546875" style="91" customWidth="1"/>
    <col min="774" max="1025" width="9.140625" style="91"/>
    <col min="1026" max="1026" width="26.7109375" style="91" customWidth="1"/>
    <col min="1027" max="1027" width="73.7109375" style="91" customWidth="1"/>
    <col min="1028" max="1028" width="58.42578125" style="91" customWidth="1"/>
    <col min="1029" max="1029" width="28.85546875" style="91" customWidth="1"/>
    <col min="1030" max="1281" width="9.140625" style="91"/>
    <col min="1282" max="1282" width="26.7109375" style="91" customWidth="1"/>
    <col min="1283" max="1283" width="73.7109375" style="91" customWidth="1"/>
    <col min="1284" max="1284" width="58.42578125" style="91" customWidth="1"/>
    <col min="1285" max="1285" width="28.85546875" style="91" customWidth="1"/>
    <col min="1286" max="1537" width="9.140625" style="91"/>
    <col min="1538" max="1538" width="26.7109375" style="91" customWidth="1"/>
    <col min="1539" max="1539" width="73.7109375" style="91" customWidth="1"/>
    <col min="1540" max="1540" width="58.42578125" style="91" customWidth="1"/>
    <col min="1541" max="1541" width="28.85546875" style="91" customWidth="1"/>
    <col min="1542" max="1793" width="9.140625" style="91"/>
    <col min="1794" max="1794" width="26.7109375" style="91" customWidth="1"/>
    <col min="1795" max="1795" width="73.7109375" style="91" customWidth="1"/>
    <col min="1796" max="1796" width="58.42578125" style="91" customWidth="1"/>
    <col min="1797" max="1797" width="28.85546875" style="91" customWidth="1"/>
    <col min="1798" max="2049" width="9.140625" style="91"/>
    <col min="2050" max="2050" width="26.7109375" style="91" customWidth="1"/>
    <col min="2051" max="2051" width="73.7109375" style="91" customWidth="1"/>
    <col min="2052" max="2052" width="58.42578125" style="91" customWidth="1"/>
    <col min="2053" max="2053" width="28.85546875" style="91" customWidth="1"/>
    <col min="2054" max="2305" width="9.140625" style="91"/>
    <col min="2306" max="2306" width="26.7109375" style="91" customWidth="1"/>
    <col min="2307" max="2307" width="73.7109375" style="91" customWidth="1"/>
    <col min="2308" max="2308" width="58.42578125" style="91" customWidth="1"/>
    <col min="2309" max="2309" width="28.85546875" style="91" customWidth="1"/>
    <col min="2310" max="2561" width="9.140625" style="91"/>
    <col min="2562" max="2562" width="26.7109375" style="91" customWidth="1"/>
    <col min="2563" max="2563" width="73.7109375" style="91" customWidth="1"/>
    <col min="2564" max="2564" width="58.42578125" style="91" customWidth="1"/>
    <col min="2565" max="2565" width="28.85546875" style="91" customWidth="1"/>
    <col min="2566" max="2817" width="9.140625" style="91"/>
    <col min="2818" max="2818" width="26.7109375" style="91" customWidth="1"/>
    <col min="2819" max="2819" width="73.7109375" style="91" customWidth="1"/>
    <col min="2820" max="2820" width="58.42578125" style="91" customWidth="1"/>
    <col min="2821" max="2821" width="28.85546875" style="91" customWidth="1"/>
    <col min="2822" max="3073" width="9.140625" style="91"/>
    <col min="3074" max="3074" width="26.7109375" style="91" customWidth="1"/>
    <col min="3075" max="3075" width="73.7109375" style="91" customWidth="1"/>
    <col min="3076" max="3076" width="58.42578125" style="91" customWidth="1"/>
    <col min="3077" max="3077" width="28.85546875" style="91" customWidth="1"/>
    <col min="3078" max="3329" width="9.140625" style="91"/>
    <col min="3330" max="3330" width="26.7109375" style="91" customWidth="1"/>
    <col min="3331" max="3331" width="73.7109375" style="91" customWidth="1"/>
    <col min="3332" max="3332" width="58.42578125" style="91" customWidth="1"/>
    <col min="3333" max="3333" width="28.85546875" style="91" customWidth="1"/>
    <col min="3334" max="3585" width="9.140625" style="91"/>
    <col min="3586" max="3586" width="26.7109375" style="91" customWidth="1"/>
    <col min="3587" max="3587" width="73.7109375" style="91" customWidth="1"/>
    <col min="3588" max="3588" width="58.42578125" style="91" customWidth="1"/>
    <col min="3589" max="3589" width="28.85546875" style="91" customWidth="1"/>
    <col min="3590" max="3841" width="9.140625" style="91"/>
    <col min="3842" max="3842" width="26.7109375" style="91" customWidth="1"/>
    <col min="3843" max="3843" width="73.7109375" style="91" customWidth="1"/>
    <col min="3844" max="3844" width="58.42578125" style="91" customWidth="1"/>
    <col min="3845" max="3845" width="28.85546875" style="91" customWidth="1"/>
    <col min="3846" max="4097" width="9.140625" style="91"/>
    <col min="4098" max="4098" width="26.7109375" style="91" customWidth="1"/>
    <col min="4099" max="4099" width="73.7109375" style="91" customWidth="1"/>
    <col min="4100" max="4100" width="58.42578125" style="91" customWidth="1"/>
    <col min="4101" max="4101" width="28.85546875" style="91" customWidth="1"/>
    <col min="4102" max="4353" width="9.140625" style="91"/>
    <col min="4354" max="4354" width="26.7109375" style="91" customWidth="1"/>
    <col min="4355" max="4355" width="73.7109375" style="91" customWidth="1"/>
    <col min="4356" max="4356" width="58.42578125" style="91" customWidth="1"/>
    <col min="4357" max="4357" width="28.85546875" style="91" customWidth="1"/>
    <col min="4358" max="4609" width="9.140625" style="91"/>
    <col min="4610" max="4610" width="26.7109375" style="91" customWidth="1"/>
    <col min="4611" max="4611" width="73.7109375" style="91" customWidth="1"/>
    <col min="4612" max="4612" width="58.42578125" style="91" customWidth="1"/>
    <col min="4613" max="4613" width="28.85546875" style="91" customWidth="1"/>
    <col min="4614" max="4865" width="9.140625" style="91"/>
    <col min="4866" max="4866" width="26.7109375" style="91" customWidth="1"/>
    <col min="4867" max="4867" width="73.7109375" style="91" customWidth="1"/>
    <col min="4868" max="4868" width="58.42578125" style="91" customWidth="1"/>
    <col min="4869" max="4869" width="28.85546875" style="91" customWidth="1"/>
    <col min="4870" max="5121" width="9.140625" style="91"/>
    <col min="5122" max="5122" width="26.7109375" style="91" customWidth="1"/>
    <col min="5123" max="5123" width="73.7109375" style="91" customWidth="1"/>
    <col min="5124" max="5124" width="58.42578125" style="91" customWidth="1"/>
    <col min="5125" max="5125" width="28.85546875" style="91" customWidth="1"/>
    <col min="5126" max="5377" width="9.140625" style="91"/>
    <col min="5378" max="5378" width="26.7109375" style="91" customWidth="1"/>
    <col min="5379" max="5379" width="73.7109375" style="91" customWidth="1"/>
    <col min="5380" max="5380" width="58.42578125" style="91" customWidth="1"/>
    <col min="5381" max="5381" width="28.85546875" style="91" customWidth="1"/>
    <col min="5382" max="5633" width="9.140625" style="91"/>
    <col min="5634" max="5634" width="26.7109375" style="91" customWidth="1"/>
    <col min="5635" max="5635" width="73.7109375" style="91" customWidth="1"/>
    <col min="5636" max="5636" width="58.42578125" style="91" customWidth="1"/>
    <col min="5637" max="5637" width="28.85546875" style="91" customWidth="1"/>
    <col min="5638" max="5889" width="9.140625" style="91"/>
    <col min="5890" max="5890" width="26.7109375" style="91" customWidth="1"/>
    <col min="5891" max="5891" width="73.7109375" style="91" customWidth="1"/>
    <col min="5892" max="5892" width="58.42578125" style="91" customWidth="1"/>
    <col min="5893" max="5893" width="28.85546875" style="91" customWidth="1"/>
    <col min="5894" max="6145" width="9.140625" style="91"/>
    <col min="6146" max="6146" width="26.7109375" style="91" customWidth="1"/>
    <col min="6147" max="6147" width="73.7109375" style="91" customWidth="1"/>
    <col min="6148" max="6148" width="58.42578125" style="91" customWidth="1"/>
    <col min="6149" max="6149" width="28.85546875" style="91" customWidth="1"/>
    <col min="6150" max="6401" width="9.140625" style="91"/>
    <col min="6402" max="6402" width="26.7109375" style="91" customWidth="1"/>
    <col min="6403" max="6403" width="73.7109375" style="91" customWidth="1"/>
    <col min="6404" max="6404" width="58.42578125" style="91" customWidth="1"/>
    <col min="6405" max="6405" width="28.85546875" style="91" customWidth="1"/>
    <col min="6406" max="6657" width="9.140625" style="91"/>
    <col min="6658" max="6658" width="26.7109375" style="91" customWidth="1"/>
    <col min="6659" max="6659" width="73.7109375" style="91" customWidth="1"/>
    <col min="6660" max="6660" width="58.42578125" style="91" customWidth="1"/>
    <col min="6661" max="6661" width="28.85546875" style="91" customWidth="1"/>
    <col min="6662" max="6913" width="9.140625" style="91"/>
    <col min="6914" max="6914" width="26.7109375" style="91" customWidth="1"/>
    <col min="6915" max="6915" width="73.7109375" style="91" customWidth="1"/>
    <col min="6916" max="6916" width="58.42578125" style="91" customWidth="1"/>
    <col min="6917" max="6917" width="28.85546875" style="91" customWidth="1"/>
    <col min="6918" max="7169" width="9.140625" style="91"/>
    <col min="7170" max="7170" width="26.7109375" style="91" customWidth="1"/>
    <col min="7171" max="7171" width="73.7109375" style="91" customWidth="1"/>
    <col min="7172" max="7172" width="58.42578125" style="91" customWidth="1"/>
    <col min="7173" max="7173" width="28.85546875" style="91" customWidth="1"/>
    <col min="7174" max="7425" width="9.140625" style="91"/>
    <col min="7426" max="7426" width="26.7109375" style="91" customWidth="1"/>
    <col min="7427" max="7427" width="73.7109375" style="91" customWidth="1"/>
    <col min="7428" max="7428" width="58.42578125" style="91" customWidth="1"/>
    <col min="7429" max="7429" width="28.85546875" style="91" customWidth="1"/>
    <col min="7430" max="7681" width="9.140625" style="91"/>
    <col min="7682" max="7682" width="26.7109375" style="91" customWidth="1"/>
    <col min="7683" max="7683" width="73.7109375" style="91" customWidth="1"/>
    <col min="7684" max="7684" width="58.42578125" style="91" customWidth="1"/>
    <col min="7685" max="7685" width="28.85546875" style="91" customWidth="1"/>
    <col min="7686" max="7937" width="9.140625" style="91"/>
    <col min="7938" max="7938" width="26.7109375" style="91" customWidth="1"/>
    <col min="7939" max="7939" width="73.7109375" style="91" customWidth="1"/>
    <col min="7940" max="7940" width="58.42578125" style="91" customWidth="1"/>
    <col min="7941" max="7941" width="28.85546875" style="91" customWidth="1"/>
    <col min="7942" max="8193" width="9.140625" style="91"/>
    <col min="8194" max="8194" width="26.7109375" style="91" customWidth="1"/>
    <col min="8195" max="8195" width="73.7109375" style="91" customWidth="1"/>
    <col min="8196" max="8196" width="58.42578125" style="91" customWidth="1"/>
    <col min="8197" max="8197" width="28.85546875" style="91" customWidth="1"/>
    <col min="8198" max="8449" width="9.140625" style="91"/>
    <col min="8450" max="8450" width="26.7109375" style="91" customWidth="1"/>
    <col min="8451" max="8451" width="73.7109375" style="91" customWidth="1"/>
    <col min="8452" max="8452" width="58.42578125" style="91" customWidth="1"/>
    <col min="8453" max="8453" width="28.85546875" style="91" customWidth="1"/>
    <col min="8454" max="8705" width="9.140625" style="91"/>
    <col min="8706" max="8706" width="26.7109375" style="91" customWidth="1"/>
    <col min="8707" max="8707" width="73.7109375" style="91" customWidth="1"/>
    <col min="8708" max="8708" width="58.42578125" style="91" customWidth="1"/>
    <col min="8709" max="8709" width="28.85546875" style="91" customWidth="1"/>
    <col min="8710" max="8961" width="9.140625" style="91"/>
    <col min="8962" max="8962" width="26.7109375" style="91" customWidth="1"/>
    <col min="8963" max="8963" width="73.7109375" style="91" customWidth="1"/>
    <col min="8964" max="8964" width="58.42578125" style="91" customWidth="1"/>
    <col min="8965" max="8965" width="28.85546875" style="91" customWidth="1"/>
    <col min="8966" max="9217" width="9.140625" style="91"/>
    <col min="9218" max="9218" width="26.7109375" style="91" customWidth="1"/>
    <col min="9219" max="9219" width="73.7109375" style="91" customWidth="1"/>
    <col min="9220" max="9220" width="58.42578125" style="91" customWidth="1"/>
    <col min="9221" max="9221" width="28.85546875" style="91" customWidth="1"/>
    <col min="9222" max="9473" width="9.140625" style="91"/>
    <col min="9474" max="9474" width="26.7109375" style="91" customWidth="1"/>
    <col min="9475" max="9475" width="73.7109375" style="91" customWidth="1"/>
    <col min="9476" max="9476" width="58.42578125" style="91" customWidth="1"/>
    <col min="9477" max="9477" width="28.85546875" style="91" customWidth="1"/>
    <col min="9478" max="9729" width="9.140625" style="91"/>
    <col min="9730" max="9730" width="26.7109375" style="91" customWidth="1"/>
    <col min="9731" max="9731" width="73.7109375" style="91" customWidth="1"/>
    <col min="9732" max="9732" width="58.42578125" style="91" customWidth="1"/>
    <col min="9733" max="9733" width="28.85546875" style="91" customWidth="1"/>
    <col min="9734" max="9985" width="9.140625" style="91"/>
    <col min="9986" max="9986" width="26.7109375" style="91" customWidth="1"/>
    <col min="9987" max="9987" width="73.7109375" style="91" customWidth="1"/>
    <col min="9988" max="9988" width="58.42578125" style="91" customWidth="1"/>
    <col min="9989" max="9989" width="28.85546875" style="91" customWidth="1"/>
    <col min="9990" max="10241" width="9.140625" style="91"/>
    <col min="10242" max="10242" width="26.7109375" style="91" customWidth="1"/>
    <col min="10243" max="10243" width="73.7109375" style="91" customWidth="1"/>
    <col min="10244" max="10244" width="58.42578125" style="91" customWidth="1"/>
    <col min="10245" max="10245" width="28.85546875" style="91" customWidth="1"/>
    <col min="10246" max="10497" width="9.140625" style="91"/>
    <col min="10498" max="10498" width="26.7109375" style="91" customWidth="1"/>
    <col min="10499" max="10499" width="73.7109375" style="91" customWidth="1"/>
    <col min="10500" max="10500" width="58.42578125" style="91" customWidth="1"/>
    <col min="10501" max="10501" width="28.85546875" style="91" customWidth="1"/>
    <col min="10502" max="10753" width="9.140625" style="91"/>
    <col min="10754" max="10754" width="26.7109375" style="91" customWidth="1"/>
    <col min="10755" max="10755" width="73.7109375" style="91" customWidth="1"/>
    <col min="10756" max="10756" width="58.42578125" style="91" customWidth="1"/>
    <col min="10757" max="10757" width="28.85546875" style="91" customWidth="1"/>
    <col min="10758" max="11009" width="9.140625" style="91"/>
    <col min="11010" max="11010" width="26.7109375" style="91" customWidth="1"/>
    <col min="11011" max="11011" width="73.7109375" style="91" customWidth="1"/>
    <col min="11012" max="11012" width="58.42578125" style="91" customWidth="1"/>
    <col min="11013" max="11013" width="28.85546875" style="91" customWidth="1"/>
    <col min="11014" max="11265" width="9.140625" style="91"/>
    <col min="11266" max="11266" width="26.7109375" style="91" customWidth="1"/>
    <col min="11267" max="11267" width="73.7109375" style="91" customWidth="1"/>
    <col min="11268" max="11268" width="58.42578125" style="91" customWidth="1"/>
    <col min="11269" max="11269" width="28.85546875" style="91" customWidth="1"/>
    <col min="11270" max="11521" width="9.140625" style="91"/>
    <col min="11522" max="11522" width="26.7109375" style="91" customWidth="1"/>
    <col min="11523" max="11523" width="73.7109375" style="91" customWidth="1"/>
    <col min="11524" max="11524" width="58.42578125" style="91" customWidth="1"/>
    <col min="11525" max="11525" width="28.85546875" style="91" customWidth="1"/>
    <col min="11526" max="11777" width="9.140625" style="91"/>
    <col min="11778" max="11778" width="26.7109375" style="91" customWidth="1"/>
    <col min="11779" max="11779" width="73.7109375" style="91" customWidth="1"/>
    <col min="11780" max="11780" width="58.42578125" style="91" customWidth="1"/>
    <col min="11781" max="11781" width="28.85546875" style="91" customWidth="1"/>
    <col min="11782" max="12033" width="9.140625" style="91"/>
    <col min="12034" max="12034" width="26.7109375" style="91" customWidth="1"/>
    <col min="12035" max="12035" width="73.7109375" style="91" customWidth="1"/>
    <col min="12036" max="12036" width="58.42578125" style="91" customWidth="1"/>
    <col min="12037" max="12037" width="28.85546875" style="91" customWidth="1"/>
    <col min="12038" max="12289" width="9.140625" style="91"/>
    <col min="12290" max="12290" width="26.7109375" style="91" customWidth="1"/>
    <col min="12291" max="12291" width="73.7109375" style="91" customWidth="1"/>
    <col min="12292" max="12292" width="58.42578125" style="91" customWidth="1"/>
    <col min="12293" max="12293" width="28.85546875" style="91" customWidth="1"/>
    <col min="12294" max="12545" width="9.140625" style="91"/>
    <col min="12546" max="12546" width="26.7109375" style="91" customWidth="1"/>
    <col min="12547" max="12547" width="73.7109375" style="91" customWidth="1"/>
    <col min="12548" max="12548" width="58.42578125" style="91" customWidth="1"/>
    <col min="12549" max="12549" width="28.85546875" style="91" customWidth="1"/>
    <col min="12550" max="12801" width="9.140625" style="91"/>
    <col min="12802" max="12802" width="26.7109375" style="91" customWidth="1"/>
    <col min="12803" max="12803" width="73.7109375" style="91" customWidth="1"/>
    <col min="12804" max="12804" width="58.42578125" style="91" customWidth="1"/>
    <col min="12805" max="12805" width="28.85546875" style="91" customWidth="1"/>
    <col min="12806" max="13057" width="9.140625" style="91"/>
    <col min="13058" max="13058" width="26.7109375" style="91" customWidth="1"/>
    <col min="13059" max="13059" width="73.7109375" style="91" customWidth="1"/>
    <col min="13060" max="13060" width="58.42578125" style="91" customWidth="1"/>
    <col min="13061" max="13061" width="28.85546875" style="91" customWidth="1"/>
    <col min="13062" max="13313" width="9.140625" style="91"/>
    <col min="13314" max="13314" width="26.7109375" style="91" customWidth="1"/>
    <col min="13315" max="13315" width="73.7109375" style="91" customWidth="1"/>
    <col min="13316" max="13316" width="58.42578125" style="91" customWidth="1"/>
    <col min="13317" max="13317" width="28.85546875" style="91" customWidth="1"/>
    <col min="13318" max="13569" width="9.140625" style="91"/>
    <col min="13570" max="13570" width="26.7109375" style="91" customWidth="1"/>
    <col min="13571" max="13571" width="73.7109375" style="91" customWidth="1"/>
    <col min="13572" max="13572" width="58.42578125" style="91" customWidth="1"/>
    <col min="13573" max="13573" width="28.85546875" style="91" customWidth="1"/>
    <col min="13574" max="13825" width="9.140625" style="91"/>
    <col min="13826" max="13826" width="26.7109375" style="91" customWidth="1"/>
    <col min="13827" max="13827" width="73.7109375" style="91" customWidth="1"/>
    <col min="13828" max="13828" width="58.42578125" style="91" customWidth="1"/>
    <col min="13829" max="13829" width="28.85546875" style="91" customWidth="1"/>
    <col min="13830" max="14081" width="9.140625" style="91"/>
    <col min="14082" max="14082" width="26.7109375" style="91" customWidth="1"/>
    <col min="14083" max="14083" width="73.7109375" style="91" customWidth="1"/>
    <col min="14084" max="14084" width="58.42578125" style="91" customWidth="1"/>
    <col min="14085" max="14085" width="28.85546875" style="91" customWidth="1"/>
    <col min="14086" max="14337" width="9.140625" style="91"/>
    <col min="14338" max="14338" width="26.7109375" style="91" customWidth="1"/>
    <col min="14339" max="14339" width="73.7109375" style="91" customWidth="1"/>
    <col min="14340" max="14340" width="58.42578125" style="91" customWidth="1"/>
    <col min="14341" max="14341" width="28.85546875" style="91" customWidth="1"/>
    <col min="14342" max="14593" width="9.140625" style="91"/>
    <col min="14594" max="14594" width="26.7109375" style="91" customWidth="1"/>
    <col min="14595" max="14595" width="73.7109375" style="91" customWidth="1"/>
    <col min="14596" max="14596" width="58.42578125" style="91" customWidth="1"/>
    <col min="14597" max="14597" width="28.85546875" style="91" customWidth="1"/>
    <col min="14598" max="14849" width="9.140625" style="91"/>
    <col min="14850" max="14850" width="26.7109375" style="91" customWidth="1"/>
    <col min="14851" max="14851" width="73.7109375" style="91" customWidth="1"/>
    <col min="14852" max="14852" width="58.42578125" style="91" customWidth="1"/>
    <col min="14853" max="14853" width="28.85546875" style="91" customWidth="1"/>
    <col min="14854" max="15105" width="9.140625" style="91"/>
    <col min="15106" max="15106" width="26.7109375" style="91" customWidth="1"/>
    <col min="15107" max="15107" width="73.7109375" style="91" customWidth="1"/>
    <col min="15108" max="15108" width="58.42578125" style="91" customWidth="1"/>
    <col min="15109" max="15109" width="28.85546875" style="91" customWidth="1"/>
    <col min="15110" max="15361" width="9.140625" style="91"/>
    <col min="15362" max="15362" width="26.7109375" style="91" customWidth="1"/>
    <col min="15363" max="15363" width="73.7109375" style="91" customWidth="1"/>
    <col min="15364" max="15364" width="58.42578125" style="91" customWidth="1"/>
    <col min="15365" max="15365" width="28.85546875" style="91" customWidth="1"/>
    <col min="15366" max="15617" width="9.140625" style="91"/>
    <col min="15618" max="15618" width="26.7109375" style="91" customWidth="1"/>
    <col min="15619" max="15619" width="73.7109375" style="91" customWidth="1"/>
    <col min="15620" max="15620" width="58.42578125" style="91" customWidth="1"/>
    <col min="15621" max="15621" width="28.85546875" style="91" customWidth="1"/>
    <col min="15622" max="15873" width="9.140625" style="91"/>
    <col min="15874" max="15874" width="26.7109375" style="91" customWidth="1"/>
    <col min="15875" max="15875" width="73.7109375" style="91" customWidth="1"/>
    <col min="15876" max="15876" width="58.42578125" style="91" customWidth="1"/>
    <col min="15877" max="15877" width="28.85546875" style="91" customWidth="1"/>
    <col min="15878" max="16129" width="9.140625" style="91"/>
    <col min="16130" max="16130" width="26.7109375" style="91" customWidth="1"/>
    <col min="16131" max="16131" width="73.7109375" style="91" customWidth="1"/>
    <col min="16132" max="16132" width="58.42578125" style="91" customWidth="1"/>
    <col min="16133" max="16133" width="28.85546875" style="91" customWidth="1"/>
    <col min="16134" max="16384" width="9.140625" style="91"/>
  </cols>
  <sheetData>
    <row r="1" spans="3:6" ht="13.5" thickBot="1"/>
    <row r="2" spans="3:6" s="95" customFormat="1" ht="19.5" thickBot="1">
      <c r="C2" s="92" t="s">
        <v>164</v>
      </c>
      <c r="D2" s="93" t="s">
        <v>713</v>
      </c>
      <c r="E2" s="93"/>
      <c r="F2" s="94"/>
    </row>
    <row r="3" spans="3:6" s="95" customFormat="1" ht="15">
      <c r="C3" s="96" t="s">
        <v>165</v>
      </c>
      <c r="D3" s="96" t="s">
        <v>166</v>
      </c>
      <c r="E3" s="96" t="s">
        <v>167</v>
      </c>
      <c r="F3" s="96" t="s">
        <v>168</v>
      </c>
    </row>
    <row r="4" spans="3:6" ht="51">
      <c r="C4" s="97" t="s">
        <v>169</v>
      </c>
      <c r="D4" s="98" t="s">
        <v>768</v>
      </c>
      <c r="E4" s="98" t="s">
        <v>769</v>
      </c>
      <c r="F4" s="98" t="s">
        <v>770</v>
      </c>
    </row>
    <row r="5" spans="3:6" ht="25.5">
      <c r="C5" s="97" t="s">
        <v>170</v>
      </c>
      <c r="D5" s="99" t="s">
        <v>771</v>
      </c>
      <c r="E5" s="100" t="s">
        <v>777</v>
      </c>
      <c r="F5" s="100"/>
    </row>
    <row r="6" spans="3:6">
      <c r="C6" s="97" t="s">
        <v>171</v>
      </c>
      <c r="D6" s="100" t="s">
        <v>773</v>
      </c>
      <c r="E6" s="99"/>
      <c r="F6" s="99"/>
    </row>
    <row r="7" spans="3:6" ht="25.5">
      <c r="C7" s="97" t="s">
        <v>172</v>
      </c>
      <c r="D7" s="99" t="s">
        <v>778</v>
      </c>
      <c r="E7" s="101"/>
      <c r="F7" s="461" t="s">
        <v>772</v>
      </c>
    </row>
    <row r="8" spans="3:6" s="95" customFormat="1" ht="39.75" customHeight="1">
      <c r="C8" s="102" t="s">
        <v>173</v>
      </c>
      <c r="D8" s="103" t="s">
        <v>774</v>
      </c>
      <c r="E8" s="104"/>
      <c r="F8" s="104"/>
    </row>
    <row r="9" spans="3:6" ht="25.5">
      <c r="C9" s="97" t="s">
        <v>174</v>
      </c>
      <c r="D9" s="99" t="s">
        <v>779</v>
      </c>
      <c r="E9" s="99" t="s">
        <v>780</v>
      </c>
      <c r="F9" s="99"/>
    </row>
    <row r="10" spans="3:6" ht="25.5">
      <c r="C10" s="97" t="s">
        <v>175</v>
      </c>
      <c r="D10" s="99" t="s">
        <v>781</v>
      </c>
      <c r="E10" s="99" t="s">
        <v>780</v>
      </c>
      <c r="F10" s="99"/>
    </row>
    <row r="11" spans="3:6">
      <c r="C11" s="97" t="s">
        <v>176</v>
      </c>
      <c r="D11" s="99" t="s">
        <v>775</v>
      </c>
      <c r="E11" s="99"/>
      <c r="F11" s="99"/>
    </row>
    <row r="12" spans="3:6">
      <c r="C12" s="97" t="s">
        <v>177</v>
      </c>
      <c r="D12" s="99" t="s">
        <v>782</v>
      </c>
      <c r="E12" s="99" t="s">
        <v>783</v>
      </c>
      <c r="F12" s="99" t="s">
        <v>784</v>
      </c>
    </row>
    <row r="13" spans="3:6">
      <c r="C13" s="97" t="s">
        <v>178</v>
      </c>
      <c r="D13" s="99" t="s">
        <v>776</v>
      </c>
      <c r="E13" s="99"/>
      <c r="F13" s="9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3"/>
  <dimension ref="A1:EA196"/>
  <sheetViews>
    <sheetView tabSelected="1" topLeftCell="A20" workbookViewId="0">
      <selection activeCell="A38" sqref="A38"/>
    </sheetView>
  </sheetViews>
  <sheetFormatPr defaultRowHeight="12.75"/>
  <cols>
    <col min="1" max="1" width="71.42578125" bestFit="1" customWidth="1"/>
    <col min="2" max="2" width="18.7109375" customWidth="1"/>
    <col min="3" max="3" width="18" customWidth="1"/>
    <col min="15" max="15" width="11.140625" customWidth="1"/>
    <col min="16" max="16" width="13.7109375" customWidth="1"/>
  </cols>
  <sheetData>
    <row r="1" spans="1:20">
      <c r="A1" s="3" t="s">
        <v>3</v>
      </c>
      <c r="B1" s="4"/>
      <c r="C1" s="4"/>
      <c r="D1" s="4"/>
      <c r="E1" s="4"/>
      <c r="F1" s="4"/>
      <c r="G1" s="4"/>
      <c r="H1" s="5"/>
      <c r="I1" s="6"/>
      <c r="J1" s="6"/>
      <c r="K1" s="6"/>
      <c r="L1" s="6"/>
      <c r="M1" s="6"/>
      <c r="N1" s="7"/>
      <c r="O1" s="8"/>
      <c r="P1" s="7"/>
    </row>
    <row r="2" spans="1:20">
      <c r="A2" s="11" t="s">
        <v>4</v>
      </c>
      <c r="B2" s="5"/>
      <c r="C2" s="5"/>
      <c r="D2" s="5"/>
      <c r="E2" s="5"/>
      <c r="F2" s="5"/>
      <c r="G2" s="5"/>
      <c r="H2" s="5"/>
      <c r="I2" s="6"/>
      <c r="J2" s="6"/>
      <c r="K2" s="6"/>
      <c r="L2" s="6"/>
      <c r="M2" s="6"/>
      <c r="N2" s="7"/>
      <c r="O2" s="7"/>
      <c r="P2" s="7"/>
    </row>
    <row r="3" spans="1:20">
      <c r="A3" s="11" t="s">
        <v>5</v>
      </c>
      <c r="B3" s="1"/>
      <c r="C3" s="11">
        <v>2012</v>
      </c>
      <c r="D3" s="1"/>
      <c r="E3" s="1"/>
      <c r="F3" s="1"/>
      <c r="G3" s="1"/>
      <c r="H3" s="1"/>
      <c r="I3" s="1"/>
      <c r="J3" s="12"/>
      <c r="K3" s="13"/>
      <c r="L3" s="1"/>
      <c r="M3" s="1"/>
      <c r="N3" s="1"/>
      <c r="O3" s="1"/>
      <c r="P3" s="1"/>
    </row>
    <row r="4" spans="1:20">
      <c r="A4" s="1"/>
      <c r="B4" s="1"/>
      <c r="C4" s="1"/>
      <c r="D4" s="1"/>
      <c r="E4" s="1"/>
      <c r="F4" s="1"/>
      <c r="G4" s="1"/>
      <c r="H4" s="1"/>
      <c r="I4" s="1"/>
      <c r="J4" s="1"/>
      <c r="K4" s="1"/>
      <c r="L4" s="1"/>
      <c r="M4" s="1"/>
      <c r="N4" s="1"/>
      <c r="O4" s="1"/>
      <c r="P4" s="1"/>
    </row>
    <row r="5" spans="1:20">
      <c r="A5" s="14">
        <v>1</v>
      </c>
      <c r="B5" s="14">
        <v>2</v>
      </c>
      <c r="C5" s="14">
        <v>3</v>
      </c>
      <c r="D5" s="14">
        <v>4</v>
      </c>
      <c r="E5" s="14">
        <v>5</v>
      </c>
      <c r="F5" s="14">
        <v>6</v>
      </c>
      <c r="G5" s="14">
        <v>7</v>
      </c>
      <c r="H5" s="14">
        <v>8</v>
      </c>
      <c r="I5" s="14">
        <v>9</v>
      </c>
      <c r="J5" s="14">
        <v>10</v>
      </c>
      <c r="K5" s="14">
        <v>11</v>
      </c>
      <c r="L5" s="14">
        <v>12</v>
      </c>
      <c r="M5" s="14">
        <v>13</v>
      </c>
      <c r="N5" s="14">
        <v>14</v>
      </c>
      <c r="O5" s="14">
        <v>15</v>
      </c>
      <c r="P5" s="14">
        <v>16</v>
      </c>
    </row>
    <row r="6" spans="1:20">
      <c r="A6" s="15" t="s">
        <v>6</v>
      </c>
      <c r="B6" s="16"/>
      <c r="C6" s="16"/>
      <c r="D6" s="16"/>
      <c r="E6" s="16"/>
      <c r="F6" s="16"/>
      <c r="G6" s="17"/>
      <c r="H6" s="39"/>
      <c r="I6" s="519" t="s">
        <v>7</v>
      </c>
      <c r="J6" s="520"/>
      <c r="K6" s="520"/>
      <c r="L6" s="520"/>
      <c r="M6" s="520"/>
      <c r="N6" s="521"/>
      <c r="O6" s="522" t="s">
        <v>8</v>
      </c>
      <c r="P6" s="523"/>
      <c r="Q6" s="105" t="s">
        <v>179</v>
      </c>
      <c r="R6" s="524" t="s">
        <v>180</v>
      </c>
      <c r="S6" s="524"/>
      <c r="T6" s="524"/>
    </row>
    <row r="7" spans="1:20" ht="38.25">
      <c r="A7" s="24" t="s">
        <v>9</v>
      </c>
      <c r="B7" s="24" t="s">
        <v>10</v>
      </c>
      <c r="C7" s="24" t="s">
        <v>11</v>
      </c>
      <c r="D7" s="24" t="s">
        <v>12</v>
      </c>
      <c r="E7" s="24" t="s">
        <v>13</v>
      </c>
      <c r="F7" s="24" t="s">
        <v>14</v>
      </c>
      <c r="G7" s="24" t="s">
        <v>15</v>
      </c>
      <c r="H7" s="24" t="s">
        <v>16</v>
      </c>
      <c r="I7" s="24" t="s">
        <v>17</v>
      </c>
      <c r="J7" s="24" t="s">
        <v>18</v>
      </c>
      <c r="K7" s="24" t="s">
        <v>19</v>
      </c>
      <c r="L7" s="24" t="s">
        <v>20</v>
      </c>
      <c r="M7" s="24" t="s">
        <v>21</v>
      </c>
      <c r="N7" s="24" t="s">
        <v>22</v>
      </c>
      <c r="O7" s="40" t="s">
        <v>23</v>
      </c>
      <c r="P7" s="24" t="s">
        <v>15</v>
      </c>
      <c r="Q7" s="106" t="s">
        <v>181</v>
      </c>
      <c r="R7" s="107" t="s">
        <v>182</v>
      </c>
      <c r="S7" s="107" t="s">
        <v>183</v>
      </c>
      <c r="T7" s="107" t="s">
        <v>184</v>
      </c>
    </row>
    <row r="8" spans="1:20">
      <c r="A8" t="str">
        <f>CONCATENATE(Composite!B45," - ",Composite!C45)</f>
        <v>2016 - LEDDecorative and Mini-Base250 to 664 lumensANY</v>
      </c>
      <c r="B8" t="str">
        <f>Composite!D45</f>
        <v>LEDDecorative and Mini-Base250 to 664 lumensANY</v>
      </c>
      <c r="C8">
        <f>Composite!E45</f>
        <v>17.893756380606625</v>
      </c>
      <c r="D8">
        <f>Composite!F45</f>
        <v>12</v>
      </c>
      <c r="E8">
        <f>Composite!G45</f>
        <v>4.9558183711786743</v>
      </c>
      <c r="F8">
        <f>Composite!H45</f>
        <v>0</v>
      </c>
      <c r="G8" t="s">
        <v>714</v>
      </c>
      <c r="H8">
        <f>Composite!J45</f>
        <v>0</v>
      </c>
      <c r="I8">
        <f>Composite!K45</f>
        <v>-1.6401583657682686</v>
      </c>
      <c r="J8">
        <f>Composite!L45</f>
        <v>1.7835655628514451</v>
      </c>
      <c r="K8">
        <f>Composite!M45</f>
        <v>0</v>
      </c>
      <c r="L8">
        <f>Composite!N45</f>
        <v>0</v>
      </c>
      <c r="M8">
        <f>Composite!O45</f>
        <v>0</v>
      </c>
      <c r="N8">
        <f>Composite!P45</f>
        <v>0</v>
      </c>
      <c r="O8">
        <f>Composite!Q45</f>
        <v>-0.21010528767546227</v>
      </c>
      <c r="P8" t="s">
        <v>715</v>
      </c>
      <c r="Q8" t="s">
        <v>1</v>
      </c>
    </row>
    <row r="9" spans="1:20">
      <c r="A9" t="str">
        <f>CONCATENATE(Composite!B46," - ",Composite!C46)</f>
        <v>2016 - LEDDecorative and Mini-Base665 to 1439 lumensANY</v>
      </c>
      <c r="B9" t="str">
        <f>Composite!D46</f>
        <v>LEDDecorative and Mini-Base665 to 1439 lumensANY</v>
      </c>
      <c r="C9">
        <f>Composite!E46</f>
        <v>13.480596508464908</v>
      </c>
      <c r="D9">
        <f>Composite!F46</f>
        <v>12</v>
      </c>
      <c r="E9">
        <f>Composite!G46</f>
        <v>9.216195414897566</v>
      </c>
      <c r="F9">
        <f>Composite!H46</f>
        <v>0</v>
      </c>
      <c r="G9" t="s">
        <v>714</v>
      </c>
      <c r="H9">
        <f>Composite!J46</f>
        <v>0</v>
      </c>
      <c r="I9">
        <f>Composite!K46</f>
        <v>-2.357302490345714</v>
      </c>
      <c r="J9">
        <f>Composite!L46</f>
        <v>1.7864498053021971</v>
      </c>
      <c r="K9">
        <f>Composite!M46</f>
        <v>0</v>
      </c>
      <c r="L9">
        <f>Composite!N46</f>
        <v>0</v>
      </c>
      <c r="M9">
        <f>Composite!O46</f>
        <v>0</v>
      </c>
      <c r="N9">
        <f>Composite!P46</f>
        <v>0</v>
      </c>
      <c r="O9">
        <f>Composite!Q46</f>
        <v>-0.15012498651799946</v>
      </c>
      <c r="P9" t="s">
        <v>715</v>
      </c>
      <c r="Q9" t="s">
        <v>1</v>
      </c>
    </row>
    <row r="10" spans="1:20">
      <c r="A10" t="str">
        <f>CONCATENATE(Composite!B47," - ",Composite!C47)</f>
        <v>2016 - LEDDecorative and Mini-Base1440 to 2600 lumensANY</v>
      </c>
      <c r="B10" t="str">
        <f>Composite!D47</f>
        <v>LEDDecorative and Mini-Base1440 to 2600 lumensANY</v>
      </c>
      <c r="C10">
        <f>Composite!E47</f>
        <v>6.6760046931073918</v>
      </c>
      <c r="D10">
        <f>Composite!F47</f>
        <v>12</v>
      </c>
      <c r="E10">
        <f>Composite!G47</f>
        <v>24.313541751771158</v>
      </c>
      <c r="F10">
        <f>Composite!H47</f>
        <v>0</v>
      </c>
      <c r="G10" t="s">
        <v>714</v>
      </c>
      <c r="H10">
        <f>Composite!J47</f>
        <v>0</v>
      </c>
      <c r="I10">
        <f>Composite!K47</f>
        <v>-2.5719834880984087</v>
      </c>
      <c r="J10">
        <f>Composite!L47</f>
        <v>4.4344805227500377</v>
      </c>
      <c r="K10">
        <f>Composite!M47</f>
        <v>0</v>
      </c>
      <c r="L10">
        <f>Composite!N47</f>
        <v>0</v>
      </c>
      <c r="M10">
        <f>Composite!O47</f>
        <v>0</v>
      </c>
      <c r="N10">
        <f>Composite!P47</f>
        <v>0</v>
      </c>
      <c r="O10">
        <f>Composite!Q47</f>
        <v>-7.6085649363279939E-2</v>
      </c>
      <c r="P10" t="s">
        <v>715</v>
      </c>
      <c r="Q10" t="s">
        <v>1</v>
      </c>
    </row>
    <row r="11" spans="1:20">
      <c r="A11" t="str">
        <f>CONCATENATE(Composite!B48," - ",Composite!C48)</f>
        <v>2016 - LEDGeneral Purpose and Dimmable250 to 664 lumensANY</v>
      </c>
      <c r="B11" t="str">
        <f>Composite!D48</f>
        <v>LEDGeneral Purpose and Dimmable250 to 664 lumensANY</v>
      </c>
      <c r="C11">
        <f>Composite!E48</f>
        <v>1.7075117255060097</v>
      </c>
      <c r="D11">
        <f>Composite!F48</f>
        <v>12</v>
      </c>
      <c r="E11">
        <f>Composite!G48</f>
        <v>1.6801186467204023</v>
      </c>
      <c r="F11">
        <f>Composite!H48</f>
        <v>0</v>
      </c>
      <c r="G11" t="s">
        <v>714</v>
      </c>
      <c r="H11">
        <f>Composite!J48</f>
        <v>0</v>
      </c>
      <c r="I11">
        <f>Composite!K48</f>
        <v>-2.1592275874141325</v>
      </c>
      <c r="J11">
        <f>Composite!L48</f>
        <v>8.5397834253252132</v>
      </c>
      <c r="K11">
        <f>Composite!M48</f>
        <v>0</v>
      </c>
      <c r="L11">
        <f>Composite!N48</f>
        <v>0</v>
      </c>
      <c r="M11">
        <f>Composite!O48</f>
        <v>0</v>
      </c>
      <c r="N11">
        <f>Composite!P48</f>
        <v>0</v>
      </c>
      <c r="O11">
        <f>Composite!Q48</f>
        <v>-1.9117010844204075E-2</v>
      </c>
      <c r="P11" t="s">
        <v>715</v>
      </c>
      <c r="Q11" t="s">
        <v>1</v>
      </c>
    </row>
    <row r="12" spans="1:20">
      <c r="A12" t="str">
        <f>CONCATENATE(Composite!B49," - ",Composite!C49)</f>
        <v>2016 - LEDGeneral Purpose and Dimmable665 to 1439 lumensANY</v>
      </c>
      <c r="B12" t="str">
        <f>Composite!D49</f>
        <v>LEDGeneral Purpose and Dimmable665 to 1439 lumensANY</v>
      </c>
      <c r="C12">
        <f>Composite!E49</f>
        <v>6.6645406789152855</v>
      </c>
      <c r="D12">
        <f>Composite!F49</f>
        <v>12</v>
      </c>
      <c r="E12">
        <f>Composite!G49</f>
        <v>4.4450856456309848</v>
      </c>
      <c r="F12">
        <f>Composite!H49</f>
        <v>0</v>
      </c>
      <c r="G12" t="s">
        <v>714</v>
      </c>
      <c r="H12">
        <f>Composite!J49</f>
        <v>0</v>
      </c>
      <c r="I12">
        <f>Composite!K49</f>
        <v>-1.4522786346527323</v>
      </c>
      <c r="J12">
        <f>Composite!L49</f>
        <v>7.9445543113898527</v>
      </c>
      <c r="K12">
        <f>Composite!M49</f>
        <v>0</v>
      </c>
      <c r="L12">
        <f>Composite!N49</f>
        <v>0</v>
      </c>
      <c r="M12">
        <f>Composite!O49</f>
        <v>0</v>
      </c>
      <c r="N12">
        <f>Composite!P49</f>
        <v>0</v>
      </c>
      <c r="O12">
        <f>Composite!Q49</f>
        <v>-6.9090713017500235E-2</v>
      </c>
      <c r="P12" t="s">
        <v>715</v>
      </c>
      <c r="Q12" t="s">
        <v>1</v>
      </c>
    </row>
    <row r="13" spans="1:20">
      <c r="A13" t="str">
        <f>CONCATENATE(Composite!B50," - ",Composite!C50)</f>
        <v>2016 - LEDGeneral Purpose and Dimmable1440 to 2600 lumensANY</v>
      </c>
      <c r="B13" t="str">
        <f>Composite!D50</f>
        <v>LEDGeneral Purpose and Dimmable1440 to 2600 lumensANY</v>
      </c>
      <c r="C13">
        <f>Composite!E50</f>
        <v>12.452392196501037</v>
      </c>
      <c r="D13">
        <f>Composite!F50</f>
        <v>12</v>
      </c>
      <c r="E13">
        <f>Composite!G50</f>
        <v>11.796274117985698</v>
      </c>
      <c r="F13">
        <f>Composite!H50</f>
        <v>0</v>
      </c>
      <c r="G13" t="s">
        <v>714</v>
      </c>
      <c r="H13">
        <f>Composite!J50</f>
        <v>0</v>
      </c>
      <c r="I13">
        <f>Composite!K50</f>
        <v>-1.8911113019525783</v>
      </c>
      <c r="J13">
        <f>Composite!L50</f>
        <v>7.4879032412351636</v>
      </c>
      <c r="K13">
        <f>Composite!M50</f>
        <v>0</v>
      </c>
      <c r="L13">
        <f>Composite!N50</f>
        <v>0</v>
      </c>
      <c r="M13">
        <f>Composite!O50</f>
        <v>0</v>
      </c>
      <c r="N13">
        <f>Composite!P50</f>
        <v>0</v>
      </c>
      <c r="O13">
        <f>Composite!Q50</f>
        <v>-0.11684398032505157</v>
      </c>
      <c r="P13" t="s">
        <v>715</v>
      </c>
      <c r="Q13" t="s">
        <v>1</v>
      </c>
    </row>
    <row r="14" spans="1:20">
      <c r="A14" t="str">
        <f>CONCATENATE(Composite!B51," - ",Composite!C51)</f>
        <v>2016 - LEDGlobe250 to 664 lumensANY</v>
      </c>
      <c r="B14" t="str">
        <f>Composite!D51</f>
        <v>LEDGlobe250 to 664 lumensANY</v>
      </c>
      <c r="C14">
        <f>Composite!E51</f>
        <v>13.334064606338242</v>
      </c>
      <c r="D14">
        <f>Composite!F51</f>
        <v>12</v>
      </c>
      <c r="E14">
        <f>Composite!G51</f>
        <v>2.630319143195023</v>
      </c>
      <c r="F14">
        <f>Composite!H51</f>
        <v>0</v>
      </c>
      <c r="G14" t="s">
        <v>714</v>
      </c>
      <c r="H14">
        <f>Composite!J51</f>
        <v>0</v>
      </c>
      <c r="I14">
        <f>Composite!K51</f>
        <v>-2.1737529557872382</v>
      </c>
      <c r="J14">
        <f>Composite!L51</f>
        <v>2.2408705642884907</v>
      </c>
      <c r="K14">
        <f>Composite!M51</f>
        <v>0</v>
      </c>
      <c r="L14">
        <f>Composite!N51</f>
        <v>0</v>
      </c>
      <c r="M14">
        <f>Composite!O51</f>
        <v>0</v>
      </c>
      <c r="N14">
        <f>Composite!P51</f>
        <v>0</v>
      </c>
      <c r="O14">
        <f>Composite!Q51</f>
        <v>-0.16529593904180123</v>
      </c>
      <c r="P14" t="s">
        <v>715</v>
      </c>
      <c r="Q14" t="s">
        <v>1</v>
      </c>
    </row>
    <row r="15" spans="1:20">
      <c r="A15" t="str">
        <f>CONCATENATE(Composite!B52," - ",Composite!C52)</f>
        <v>2016 - LEDGlobe665 to 1439 lumensANY</v>
      </c>
      <c r="B15" t="str">
        <f>Composite!D52</f>
        <v>LEDGlobe665 to 1439 lumensANY</v>
      </c>
      <c r="C15">
        <f>Composite!E52</f>
        <v>9.183363083071896</v>
      </c>
      <c r="D15">
        <f>Composite!F52</f>
        <v>12</v>
      </c>
      <c r="E15">
        <f>Composite!G52</f>
        <v>2.4831274968904125</v>
      </c>
      <c r="F15">
        <f>Composite!H52</f>
        <v>0</v>
      </c>
      <c r="G15" t="s">
        <v>714</v>
      </c>
      <c r="H15">
        <f>Composite!J52</f>
        <v>0</v>
      </c>
      <c r="I15">
        <f>Composite!K52</f>
        <v>-4.74556552718155</v>
      </c>
      <c r="J15">
        <f>Composite!L52</f>
        <v>2.7621105076077872</v>
      </c>
      <c r="K15">
        <f>Composite!M52</f>
        <v>0</v>
      </c>
      <c r="L15">
        <f>Composite!N52</f>
        <v>0</v>
      </c>
      <c r="M15">
        <f>Composite!O52</f>
        <v>0</v>
      </c>
      <c r="N15">
        <f>Composite!P52</f>
        <v>0</v>
      </c>
      <c r="O15">
        <f>Composite!Q52</f>
        <v>-0.11152174781632176</v>
      </c>
      <c r="P15" t="s">
        <v>715</v>
      </c>
      <c r="Q15" t="s">
        <v>1</v>
      </c>
    </row>
    <row r="16" spans="1:20">
      <c r="A16" t="str">
        <f>CONCATENATE(Composite!B53," - ",Composite!C53)</f>
        <v>2016 - LEDGlobe1440 to 2600 lumensANY</v>
      </c>
      <c r="B16" t="str">
        <f>Composite!D53</f>
        <v>LEDGlobe1440 to 2600 lumensANY</v>
      </c>
      <c r="C16">
        <f>Composite!E53</f>
        <v>9.9357360612556658</v>
      </c>
      <c r="D16">
        <f>Composite!F53</f>
        <v>12</v>
      </c>
      <c r="E16">
        <f>Composite!G53</f>
        <v>9.6685045482595466</v>
      </c>
      <c r="F16">
        <f>Composite!H53</f>
        <v>0</v>
      </c>
      <c r="G16" t="s">
        <v>714</v>
      </c>
      <c r="H16">
        <f>Composite!J53</f>
        <v>0</v>
      </c>
      <c r="I16">
        <f>Composite!K53</f>
        <v>-5.4627245082786207</v>
      </c>
      <c r="J16">
        <f>Composite!L53</f>
        <v>2.0492242794119604</v>
      </c>
      <c r="K16">
        <f>Composite!M53</f>
        <v>0</v>
      </c>
      <c r="L16">
        <f>Composite!N53</f>
        <v>0</v>
      </c>
      <c r="M16">
        <f>Composite!O53</f>
        <v>0</v>
      </c>
      <c r="N16">
        <f>Composite!P53</f>
        <v>0</v>
      </c>
      <c r="O16">
        <f>Composite!Q53</f>
        <v>-0.10165155836876927</v>
      </c>
      <c r="P16" t="s">
        <v>715</v>
      </c>
      <c r="Q16" t="s">
        <v>1</v>
      </c>
    </row>
    <row r="17" spans="1:17">
      <c r="A17" t="str">
        <f>CONCATENATE(Composite!B54," - ",Composite!C54)</f>
        <v>2016 - LEDReflectors and Outdoor250 to 664 lumensANY</v>
      </c>
      <c r="B17" t="str">
        <f>Composite!D54</f>
        <v>LEDReflectors and Outdoor250 to 664 lumensANY</v>
      </c>
      <c r="C17">
        <f>Composite!E54</f>
        <v>18.952796866034859</v>
      </c>
      <c r="D17">
        <f>Composite!F54</f>
        <v>12</v>
      </c>
      <c r="E17">
        <f>Composite!G54</f>
        <v>9.8657888350636807</v>
      </c>
      <c r="F17">
        <f>Composite!H54</f>
        <v>0</v>
      </c>
      <c r="G17" t="s">
        <v>714</v>
      </c>
      <c r="H17">
        <f>Composite!J54</f>
        <v>0</v>
      </c>
      <c r="I17">
        <f>Composite!K54</f>
        <v>-4.6350044381489033</v>
      </c>
      <c r="J17">
        <f>Composite!L54</f>
        <v>2.1002897994909375</v>
      </c>
      <c r="K17">
        <f>Composite!M54</f>
        <v>0</v>
      </c>
      <c r="L17">
        <f>Composite!N54</f>
        <v>0</v>
      </c>
      <c r="M17">
        <f>Composite!O54</f>
        <v>0</v>
      </c>
      <c r="N17">
        <f>Composite!P54</f>
        <v>0</v>
      </c>
      <c r="O17">
        <f>Composite!Q54</f>
        <v>-0.22133944878776596</v>
      </c>
      <c r="P17" t="s">
        <v>715</v>
      </c>
      <c r="Q17" t="s">
        <v>1</v>
      </c>
    </row>
    <row r="18" spans="1:17">
      <c r="A18" t="str">
        <f>CONCATENATE(Composite!B55," - ",Composite!C55)</f>
        <v>2016 - LEDReflectors and Outdoor665 to 1439 lumensANY</v>
      </c>
      <c r="B18" t="str">
        <f>Composite!D55</f>
        <v>LEDReflectors and Outdoor665 to 1439 lumensANY</v>
      </c>
      <c r="C18">
        <f>Composite!E55</f>
        <v>14.451910254511809</v>
      </c>
      <c r="D18">
        <f>Composite!F55</f>
        <v>12</v>
      </c>
      <c r="E18">
        <f>Composite!G55</f>
        <v>7.1089579864357049</v>
      </c>
      <c r="F18">
        <f>Composite!H55</f>
        <v>0</v>
      </c>
      <c r="G18" t="s">
        <v>714</v>
      </c>
      <c r="H18">
        <f>Composite!J55</f>
        <v>0</v>
      </c>
      <c r="I18">
        <f>Composite!K55</f>
        <v>-6.0025868409413388</v>
      </c>
      <c r="J18">
        <f>Composite!L55</f>
        <v>2.7605785479478313</v>
      </c>
      <c r="K18">
        <f>Composite!M55</f>
        <v>0</v>
      </c>
      <c r="L18">
        <f>Composite!N55</f>
        <v>0</v>
      </c>
      <c r="M18">
        <f>Composite!O55</f>
        <v>0</v>
      </c>
      <c r="N18">
        <f>Composite!P55</f>
        <v>0</v>
      </c>
      <c r="O18">
        <f>Composite!Q55</f>
        <v>-0.14385197375509576</v>
      </c>
      <c r="P18" t="s">
        <v>715</v>
      </c>
      <c r="Q18" t="s">
        <v>1</v>
      </c>
    </row>
    <row r="19" spans="1:17">
      <c r="A19" t="str">
        <f>CONCATENATE(Composite!B56," - ",Composite!C56)</f>
        <v>2016 - LEDReflectors and Outdoor1440 to 2600 lumensANY</v>
      </c>
      <c r="B19" t="str">
        <f>Composite!D56</f>
        <v>LEDReflectors and Outdoor1440 to 2600 lumensANY</v>
      </c>
      <c r="C19">
        <f>Composite!E56</f>
        <v>77.368427431018958</v>
      </c>
      <c r="D19">
        <f>Composite!F56</f>
        <v>12</v>
      </c>
      <c r="E19">
        <f>Composite!G56</f>
        <v>15.310672125184738</v>
      </c>
      <c r="F19">
        <f>Composite!H56</f>
        <v>0</v>
      </c>
      <c r="G19" t="s">
        <v>714</v>
      </c>
      <c r="H19">
        <f>Composite!J56</f>
        <v>0</v>
      </c>
      <c r="I19">
        <f>Composite!K56</f>
        <v>-6.8379432184399001</v>
      </c>
      <c r="J19">
        <f>Composite!L56</f>
        <v>1.8152462117520278</v>
      </c>
      <c r="K19">
        <f>Composite!M56</f>
        <v>0</v>
      </c>
      <c r="L19">
        <f>Composite!N56</f>
        <v>0</v>
      </c>
      <c r="M19">
        <f>Composite!O56</f>
        <v>0</v>
      </c>
      <c r="N19">
        <f>Composite!P56</f>
        <v>0</v>
      </c>
      <c r="O19">
        <f>Composite!Q56</f>
        <v>-0.24640959977027047</v>
      </c>
      <c r="P19" t="s">
        <v>715</v>
      </c>
      <c r="Q19" t="s">
        <v>1</v>
      </c>
    </row>
    <row r="20" spans="1:17">
      <c r="A20" t="str">
        <f>CONCATENATE(Composite!B57," - ",Composite!C57)</f>
        <v>2016 - LEDThree-Way250 to 664 lumensANY</v>
      </c>
      <c r="B20" t="str">
        <f>Composite!D57</f>
        <v>LEDThree-Way250 to 664 lumensANY</v>
      </c>
      <c r="C20">
        <f>Composite!E57</f>
        <v>45.042010261394381</v>
      </c>
      <c r="D20">
        <f>Composite!F57</f>
        <v>12</v>
      </c>
      <c r="E20">
        <f>Composite!G57</f>
        <v>11.132580992823133</v>
      </c>
      <c r="F20">
        <f>Composite!H57</f>
        <v>0</v>
      </c>
      <c r="G20" t="s">
        <v>714</v>
      </c>
      <c r="H20">
        <f>Composite!J57</f>
        <v>0</v>
      </c>
      <c r="I20">
        <f>Composite!K57</f>
        <v>-2.5086033161955381</v>
      </c>
      <c r="J20">
        <f>Composite!L57</f>
        <v>1.9664811264199897</v>
      </c>
      <c r="K20">
        <f>Composite!M57</f>
        <v>0</v>
      </c>
      <c r="L20">
        <f>Composite!N57</f>
        <v>0</v>
      </c>
      <c r="M20">
        <f>Composite!O57</f>
        <v>0</v>
      </c>
      <c r="N20">
        <f>Composite!P57</f>
        <v>0</v>
      </c>
      <c r="O20">
        <f>Composite!Q57</f>
        <v>-0.56324737831000837</v>
      </c>
      <c r="P20" t="s">
        <v>715</v>
      </c>
      <c r="Q20" t="s">
        <v>1</v>
      </c>
    </row>
    <row r="21" spans="1:17">
      <c r="A21" t="str">
        <f>CONCATENATE(Composite!B58," - ",Composite!C58)</f>
        <v>2016 - LEDThree-Way665 to 1439 lumensANY</v>
      </c>
      <c r="B21" t="str">
        <f>Composite!D58</f>
        <v>LEDThree-Way665 to 1439 lumensANY</v>
      </c>
      <c r="C21">
        <f>Composite!E58</f>
        <v>48.517514286908948</v>
      </c>
      <c r="D21">
        <f>Composite!F58</f>
        <v>12</v>
      </c>
      <c r="E21">
        <f>Composite!G58</f>
        <v>7.0983192572877227</v>
      </c>
      <c r="F21">
        <f>Composite!H58</f>
        <v>0</v>
      </c>
      <c r="G21" t="s">
        <v>714</v>
      </c>
      <c r="H21">
        <f>Composite!J58</f>
        <v>0</v>
      </c>
      <c r="I21">
        <f>Composite!K58</f>
        <v>-6.020444707725451</v>
      </c>
      <c r="J21">
        <f>Composite!L58</f>
        <v>3.7098631590053808</v>
      </c>
      <c r="K21">
        <f>Composite!M58</f>
        <v>0</v>
      </c>
      <c r="L21">
        <f>Composite!N58</f>
        <v>0</v>
      </c>
      <c r="M21">
        <f>Composite!O58</f>
        <v>0</v>
      </c>
      <c r="N21">
        <f>Composite!P58</f>
        <v>0</v>
      </c>
      <c r="O21">
        <f>Composite!Q58</f>
        <v>-0.60504022211246644</v>
      </c>
      <c r="P21" t="s">
        <v>715</v>
      </c>
      <c r="Q21" t="s">
        <v>1</v>
      </c>
    </row>
    <row r="22" spans="1:17">
      <c r="A22" t="str">
        <f>CONCATENATE(Composite!B59," - ",Composite!C59)</f>
        <v>2016 - LEDThree-Way1440 to 2600 lumensANY</v>
      </c>
      <c r="B22" t="str">
        <f>Composite!D59</f>
        <v>LEDThree-Way1440 to 2600 lumensANY</v>
      </c>
      <c r="C22">
        <f>Composite!E59</f>
        <v>43.415866269631003</v>
      </c>
      <c r="D22">
        <f>Composite!F59</f>
        <v>12</v>
      </c>
      <c r="E22">
        <f>Composite!G59</f>
        <v>15.921653708800646</v>
      </c>
      <c r="F22">
        <f>Composite!H59</f>
        <v>0</v>
      </c>
      <c r="G22" t="s">
        <v>714</v>
      </c>
      <c r="H22">
        <f>Composite!J59</f>
        <v>0</v>
      </c>
      <c r="I22">
        <f>Composite!K59</f>
        <v>-5.8123669887989093</v>
      </c>
      <c r="J22">
        <f>Composite!L59</f>
        <v>1.7652962324402386</v>
      </c>
      <c r="K22">
        <f>Composite!M59</f>
        <v>0</v>
      </c>
      <c r="L22">
        <f>Composite!N59</f>
        <v>0</v>
      </c>
      <c r="M22">
        <f>Composite!O59</f>
        <v>0</v>
      </c>
      <c r="N22">
        <f>Composite!P59</f>
        <v>0</v>
      </c>
      <c r="O22">
        <f>Composite!Q59</f>
        <v>-0.54056303080668255</v>
      </c>
      <c r="P22" t="s">
        <v>715</v>
      </c>
      <c r="Q22" t="s">
        <v>1</v>
      </c>
    </row>
    <row r="23" spans="1:17">
      <c r="A23" t="str">
        <f>CONCATENATE(Composite!B60," - ",Composite!C60)</f>
        <v>2017 - LEDDecorative and Mini-Base250 to 664 lumensANY</v>
      </c>
      <c r="B23" t="str">
        <f>Composite!D60</f>
        <v>LEDDecorative and Mini-Base250 to 664 lumensANY</v>
      </c>
      <c r="C23">
        <f>Composite!E60</f>
        <v>18.72602411923949</v>
      </c>
      <c r="D23">
        <f>Composite!F60</f>
        <v>12</v>
      </c>
      <c r="E23">
        <f>Composite!G60</f>
        <v>3.8938572916403871</v>
      </c>
      <c r="F23">
        <f>Composite!H60</f>
        <v>0</v>
      </c>
      <c r="G23" t="s">
        <v>714</v>
      </c>
      <c r="H23">
        <f>Composite!J60</f>
        <v>0</v>
      </c>
      <c r="I23">
        <f>Composite!K60</f>
        <v>-1.6401583657682686</v>
      </c>
      <c r="J23">
        <f>Composite!L60</f>
        <v>1.7835655628514451</v>
      </c>
      <c r="K23">
        <f>Composite!M60</f>
        <v>0</v>
      </c>
      <c r="L23">
        <f>Composite!N60</f>
        <v>0</v>
      </c>
      <c r="M23">
        <f>Composite!O60</f>
        <v>0</v>
      </c>
      <c r="N23">
        <f>Composite!P60</f>
        <v>0</v>
      </c>
      <c r="O23">
        <f>Composite!Q60</f>
        <v>-0.21987762663711166</v>
      </c>
      <c r="P23" t="s">
        <v>715</v>
      </c>
      <c r="Q23" t="s">
        <v>1</v>
      </c>
    </row>
    <row r="24" spans="1:17">
      <c r="A24" t="str">
        <f>CONCATENATE(Composite!B61," - ",Composite!C61)</f>
        <v>2017 - LEDDecorative and Mini-Base665 to 1439 lumensANY</v>
      </c>
      <c r="B24" t="str">
        <f>Composite!D61</f>
        <v>LEDDecorative and Mini-Base665 to 1439 lumensANY</v>
      </c>
      <c r="C24">
        <f>Composite!E61</f>
        <v>14.107600997230717</v>
      </c>
      <c r="D24">
        <f>Composite!F61</f>
        <v>12</v>
      </c>
      <c r="E24">
        <f>Composite!G61</f>
        <v>7.2412963974195161</v>
      </c>
      <c r="F24">
        <f>Composite!H61</f>
        <v>0</v>
      </c>
      <c r="G24" t="s">
        <v>714</v>
      </c>
      <c r="H24">
        <f>Composite!J61</f>
        <v>0</v>
      </c>
      <c r="I24">
        <f>Composite!K61</f>
        <v>-2.357302490345714</v>
      </c>
      <c r="J24">
        <f>Composite!L61</f>
        <v>1.7864498053021971</v>
      </c>
      <c r="K24">
        <f>Composite!M61</f>
        <v>0</v>
      </c>
      <c r="L24">
        <f>Composite!N61</f>
        <v>0</v>
      </c>
      <c r="M24">
        <f>Composite!O61</f>
        <v>0</v>
      </c>
      <c r="N24">
        <f>Composite!P61</f>
        <v>0</v>
      </c>
      <c r="O24">
        <f>Composite!Q61</f>
        <v>-0.15710754403046454</v>
      </c>
      <c r="P24" t="s">
        <v>715</v>
      </c>
      <c r="Q24" t="s">
        <v>1</v>
      </c>
    </row>
    <row r="25" spans="1:17">
      <c r="A25" t="str">
        <f>CONCATENATE(Composite!B62," - ",Composite!C62)</f>
        <v>2017 - LEDDecorative and Mini-Base1440 to 2600 lumensANY</v>
      </c>
      <c r="B25" t="str">
        <f>Composite!D62</f>
        <v>LEDDecorative and Mini-Base1440 to 2600 lumensANY</v>
      </c>
      <c r="C25">
        <f>Composite!E62</f>
        <v>6.9865165392984325</v>
      </c>
      <c r="D25">
        <f>Composite!F62</f>
        <v>12</v>
      </c>
      <c r="E25">
        <f>Composite!G62</f>
        <v>19.103497090677337</v>
      </c>
      <c r="F25">
        <f>Composite!H62</f>
        <v>0</v>
      </c>
      <c r="G25" t="s">
        <v>714</v>
      </c>
      <c r="H25">
        <f>Composite!J62</f>
        <v>0</v>
      </c>
      <c r="I25">
        <f>Composite!K62</f>
        <v>-2.5719834880984087</v>
      </c>
      <c r="J25">
        <f>Composite!L62</f>
        <v>4.4344805227500377</v>
      </c>
      <c r="K25">
        <f>Composite!M62</f>
        <v>0</v>
      </c>
      <c r="L25">
        <f>Composite!N62</f>
        <v>0</v>
      </c>
      <c r="M25">
        <f>Composite!O62</f>
        <v>0</v>
      </c>
      <c r="N25">
        <f>Composite!P62</f>
        <v>0</v>
      </c>
      <c r="O25">
        <f>Composite!Q62</f>
        <v>-7.9624516775525511E-2</v>
      </c>
      <c r="P25" t="s">
        <v>715</v>
      </c>
      <c r="Q25" t="s">
        <v>1</v>
      </c>
    </row>
    <row r="26" spans="1:17">
      <c r="A26" t="str">
        <f>CONCATENATE(Composite!B63," - ",Composite!C63)</f>
        <v>2017 - LEDGeneral Purpose and Dimmable250 to 664 lumensANY</v>
      </c>
      <c r="B26" t="str">
        <f>Composite!D63</f>
        <v>LEDGeneral Purpose and Dimmable250 to 664 lumensANY</v>
      </c>
      <c r="C26">
        <f>Composite!E63</f>
        <v>1.786930875529545</v>
      </c>
      <c r="D26">
        <f>Composite!F63</f>
        <v>12</v>
      </c>
      <c r="E26">
        <f>Composite!G63</f>
        <v>1.3200932224231732</v>
      </c>
      <c r="F26">
        <f>Composite!H63</f>
        <v>0</v>
      </c>
      <c r="G26" t="s">
        <v>714</v>
      </c>
      <c r="H26">
        <f>Composite!J63</f>
        <v>0</v>
      </c>
      <c r="I26">
        <f>Composite!K63</f>
        <v>-2.1592275874141325</v>
      </c>
      <c r="J26">
        <f>Composite!L63</f>
        <v>8.5397834253252132</v>
      </c>
      <c r="K26">
        <f>Composite!M63</f>
        <v>0</v>
      </c>
      <c r="L26">
        <f>Composite!N63</f>
        <v>0</v>
      </c>
      <c r="M26">
        <f>Composite!O63</f>
        <v>0</v>
      </c>
      <c r="N26">
        <f>Composite!P63</f>
        <v>0</v>
      </c>
      <c r="O26">
        <f>Composite!Q63</f>
        <v>-2.0006174139283333E-2</v>
      </c>
      <c r="P26" t="s">
        <v>715</v>
      </c>
      <c r="Q26" t="s">
        <v>1</v>
      </c>
    </row>
    <row r="27" spans="1:17">
      <c r="A27" t="str">
        <f>CONCATENATE(Composite!B64," - ",Composite!C64)</f>
        <v>2017 - LEDGeneral Purpose and Dimmable665 to 1439 lumensANY</v>
      </c>
      <c r="B27" t="str">
        <f>Composite!D64</f>
        <v>LEDGeneral Purpose and Dimmable665 to 1439 lumensANY</v>
      </c>
      <c r="C27">
        <f>Composite!E64</f>
        <v>6.9745193151439029</v>
      </c>
      <c r="D27">
        <f>Composite!F64</f>
        <v>12</v>
      </c>
      <c r="E27">
        <f>Composite!G64</f>
        <v>3.4925672929957736</v>
      </c>
      <c r="F27">
        <f>Composite!H64</f>
        <v>0</v>
      </c>
      <c r="G27" t="s">
        <v>714</v>
      </c>
      <c r="H27">
        <f>Composite!J64</f>
        <v>0</v>
      </c>
      <c r="I27">
        <f>Composite!K64</f>
        <v>-1.4522786346527323</v>
      </c>
      <c r="J27">
        <f>Composite!L64</f>
        <v>7.9445543113898527</v>
      </c>
      <c r="K27">
        <f>Composite!M64</f>
        <v>0</v>
      </c>
      <c r="L27">
        <f>Composite!N64</f>
        <v>0</v>
      </c>
      <c r="M27">
        <f>Composite!O64</f>
        <v>0</v>
      </c>
      <c r="N27">
        <f>Composite!P64</f>
        <v>0</v>
      </c>
      <c r="O27">
        <f>Composite!Q64</f>
        <v>-7.2304234553197913E-2</v>
      </c>
      <c r="P27" t="s">
        <v>715</v>
      </c>
      <c r="Q27" t="s">
        <v>1</v>
      </c>
    </row>
    <row r="28" spans="1:17">
      <c r="A28" t="str">
        <f>CONCATENATE(Composite!B65," - ",Composite!C65)</f>
        <v>2017 - LEDGeneral Purpose and Dimmable1440 to 2600 lumensANY</v>
      </c>
      <c r="B28" t="str">
        <f>Composite!D65</f>
        <v>LEDGeneral Purpose and Dimmable1440 to 2600 lumensANY</v>
      </c>
      <c r="C28">
        <f>Composite!E65</f>
        <v>13.031573228896434</v>
      </c>
      <c r="D28">
        <f>Composite!F65</f>
        <v>12</v>
      </c>
      <c r="E28">
        <f>Composite!G65</f>
        <v>9.2685010927030476</v>
      </c>
      <c r="F28">
        <f>Composite!H65</f>
        <v>0</v>
      </c>
      <c r="G28" t="s">
        <v>714</v>
      </c>
      <c r="H28">
        <f>Composite!J65</f>
        <v>0</v>
      </c>
      <c r="I28">
        <f>Composite!K65</f>
        <v>-1.8911113019525783</v>
      </c>
      <c r="J28">
        <f>Composite!L65</f>
        <v>7.4879032412351636</v>
      </c>
      <c r="K28">
        <f>Composite!M65</f>
        <v>0</v>
      </c>
      <c r="L28">
        <f>Composite!N65</f>
        <v>0</v>
      </c>
      <c r="M28">
        <f>Composite!O65</f>
        <v>0</v>
      </c>
      <c r="N28">
        <f>Composite!P65</f>
        <v>0</v>
      </c>
      <c r="O28">
        <f>Composite!Q65</f>
        <v>-0.12227858406110047</v>
      </c>
      <c r="P28" t="s">
        <v>715</v>
      </c>
      <c r="Q28" t="s">
        <v>1</v>
      </c>
    </row>
    <row r="29" spans="1:17">
      <c r="A29" t="str">
        <f>CONCATENATE(Composite!B66," - ",Composite!C66)</f>
        <v>2017 - LEDGlobe250 to 664 lumensANY</v>
      </c>
      <c r="B29" t="str">
        <f>Composite!D66</f>
        <v>LEDGlobe250 to 664 lumensANY</v>
      </c>
      <c r="C29">
        <f>Composite!E66</f>
        <v>13.954253657795835</v>
      </c>
      <c r="D29">
        <f>Composite!F66</f>
        <v>12</v>
      </c>
      <c r="E29">
        <f>Composite!G66</f>
        <v>2.0666793267960895</v>
      </c>
      <c r="F29">
        <f>Composite!H66</f>
        <v>0</v>
      </c>
      <c r="G29" t="s">
        <v>714</v>
      </c>
      <c r="H29">
        <f>Composite!J66</f>
        <v>0</v>
      </c>
      <c r="I29">
        <f>Composite!K66</f>
        <v>-2.1737529557872382</v>
      </c>
      <c r="J29">
        <f>Composite!L66</f>
        <v>2.2408705642884907</v>
      </c>
      <c r="K29">
        <f>Composite!M66</f>
        <v>0</v>
      </c>
      <c r="L29">
        <f>Composite!N66</f>
        <v>0</v>
      </c>
      <c r="M29">
        <f>Composite!O66</f>
        <v>0</v>
      </c>
      <c r="N29">
        <f>Composite!P66</f>
        <v>0</v>
      </c>
      <c r="O29">
        <f>Composite!Q66</f>
        <v>-0.1729841222530478</v>
      </c>
      <c r="P29" t="s">
        <v>715</v>
      </c>
      <c r="Q29" t="s">
        <v>1</v>
      </c>
    </row>
    <row r="30" spans="1:17">
      <c r="A30" t="str">
        <f>CONCATENATE(Composite!B67," - ",Composite!C67)</f>
        <v>2017 - LEDGlobe665 to 1439 lumensANY</v>
      </c>
      <c r="B30" t="str">
        <f>Composite!D67</f>
        <v>LEDGlobe665 to 1439 lumensANY</v>
      </c>
      <c r="C30">
        <f>Composite!E67</f>
        <v>9.6104962497264026</v>
      </c>
      <c r="D30">
        <f>Composite!F67</f>
        <v>12</v>
      </c>
      <c r="E30">
        <f>Composite!G67</f>
        <v>1.9510287475567527</v>
      </c>
      <c r="F30">
        <f>Composite!H67</f>
        <v>0</v>
      </c>
      <c r="G30" t="s">
        <v>714</v>
      </c>
      <c r="H30">
        <f>Composite!J67</f>
        <v>0</v>
      </c>
      <c r="I30">
        <f>Composite!K67</f>
        <v>-4.74556552718155</v>
      </c>
      <c r="J30">
        <f>Composite!L67</f>
        <v>2.7621105076077872</v>
      </c>
      <c r="K30">
        <f>Composite!M67</f>
        <v>0</v>
      </c>
      <c r="L30">
        <f>Composite!N67</f>
        <v>0</v>
      </c>
      <c r="M30">
        <f>Composite!O67</f>
        <v>0</v>
      </c>
      <c r="N30">
        <f>Composite!P67</f>
        <v>0</v>
      </c>
      <c r="O30">
        <f>Composite!Q67</f>
        <v>-0.11670880585429022</v>
      </c>
      <c r="P30" t="s">
        <v>715</v>
      </c>
      <c r="Q30" t="s">
        <v>1</v>
      </c>
    </row>
    <row r="31" spans="1:17">
      <c r="A31" t="str">
        <f>CONCATENATE(Composite!B68," - ",Composite!C68)</f>
        <v>2017 - LEDGlobe1440 to 2600 lumensANY</v>
      </c>
      <c r="B31" t="str">
        <f>Composite!D68</f>
        <v>LEDGlobe1440 to 2600 lumensANY</v>
      </c>
      <c r="C31">
        <f>Composite!E68</f>
        <v>10.39786331991872</v>
      </c>
      <c r="D31">
        <f>Composite!F68</f>
        <v>12</v>
      </c>
      <c r="E31">
        <f>Composite!G68</f>
        <v>7.5966821450610711</v>
      </c>
      <c r="F31">
        <f>Composite!H68</f>
        <v>0</v>
      </c>
      <c r="G31" t="s">
        <v>714</v>
      </c>
      <c r="H31">
        <f>Composite!J68</f>
        <v>0</v>
      </c>
      <c r="I31">
        <f>Composite!K68</f>
        <v>-5.4627245082786207</v>
      </c>
      <c r="J31">
        <f>Composite!L68</f>
        <v>2.0492242794119604</v>
      </c>
      <c r="K31">
        <f>Composite!M68</f>
        <v>0</v>
      </c>
      <c r="L31">
        <f>Composite!N68</f>
        <v>0</v>
      </c>
      <c r="M31">
        <f>Composite!O68</f>
        <v>0</v>
      </c>
      <c r="N31">
        <f>Composite!P68</f>
        <v>0</v>
      </c>
      <c r="O31">
        <f>Composite!Q68</f>
        <v>-0.1063795378277818</v>
      </c>
      <c r="P31" t="s">
        <v>715</v>
      </c>
      <c r="Q31" t="s">
        <v>1</v>
      </c>
    </row>
    <row r="32" spans="1:17">
      <c r="A32" t="str">
        <f>CONCATENATE(Composite!B69," - ",Composite!C69)</f>
        <v>2017 - LEDReflectors and Outdoor250 to 664 lumensANY</v>
      </c>
      <c r="B32" t="str">
        <f>Composite!D69</f>
        <v>LEDReflectors and Outdoor250 to 664 lumensANY</v>
      </c>
      <c r="C32">
        <f>Composite!E69</f>
        <v>19.834322301664386</v>
      </c>
      <c r="D32">
        <f>Composite!F69</f>
        <v>12</v>
      </c>
      <c r="E32">
        <f>Composite!G69</f>
        <v>7.7516912275500349</v>
      </c>
      <c r="F32">
        <f>Composite!H69</f>
        <v>0</v>
      </c>
      <c r="G32" t="s">
        <v>714</v>
      </c>
      <c r="H32">
        <f>Composite!J69</f>
        <v>0</v>
      </c>
      <c r="I32">
        <f>Composite!K69</f>
        <v>-4.6350044381489033</v>
      </c>
      <c r="J32">
        <f>Composite!L69</f>
        <v>2.1002897994909375</v>
      </c>
      <c r="K32">
        <f>Composite!M69</f>
        <v>0</v>
      </c>
      <c r="L32">
        <f>Composite!N69</f>
        <v>0</v>
      </c>
      <c r="M32">
        <f>Composite!O69</f>
        <v>0</v>
      </c>
      <c r="N32">
        <f>Composite!P69</f>
        <v>0</v>
      </c>
      <c r="O32">
        <f>Composite!Q69</f>
        <v>-0.23163430687091785</v>
      </c>
      <c r="P32" t="s">
        <v>715</v>
      </c>
      <c r="Q32" t="s">
        <v>1</v>
      </c>
    </row>
    <row r="33" spans="1:131">
      <c r="A33" t="str">
        <f>CONCATENATE(Composite!B70," - ",Composite!C70)</f>
        <v>2017 - LEDReflectors and Outdoor665 to 1439 lumensANY</v>
      </c>
      <c r="B33" t="str">
        <f>Composite!D70</f>
        <v>LEDReflectors and Outdoor665 to 1439 lumensANY</v>
      </c>
      <c r="C33">
        <f>Composite!E70</f>
        <v>15.124092126814682</v>
      </c>
      <c r="D33">
        <f>Composite!F70</f>
        <v>12</v>
      </c>
      <c r="E33">
        <f>Composite!G70</f>
        <v>5.5856098464851964</v>
      </c>
      <c r="F33">
        <f>Composite!H70</f>
        <v>0</v>
      </c>
      <c r="G33" t="s">
        <v>714</v>
      </c>
      <c r="H33">
        <f>Composite!J70</f>
        <v>0</v>
      </c>
      <c r="I33">
        <f>Composite!K70</f>
        <v>-6.0025868409413388</v>
      </c>
      <c r="J33">
        <f>Composite!L70</f>
        <v>2.7605785479478313</v>
      </c>
      <c r="K33">
        <f>Composite!M70</f>
        <v>0</v>
      </c>
      <c r="L33">
        <f>Composite!N70</f>
        <v>0</v>
      </c>
      <c r="M33">
        <f>Composite!O70</f>
        <v>0</v>
      </c>
      <c r="N33">
        <f>Composite!P70</f>
        <v>0</v>
      </c>
      <c r="O33">
        <f>Composite!Q70</f>
        <v>-0.15054276323207694</v>
      </c>
      <c r="P33" t="s">
        <v>715</v>
      </c>
      <c r="Q33" t="s">
        <v>1</v>
      </c>
    </row>
    <row r="34" spans="1:131">
      <c r="A34" t="str">
        <f>CONCATENATE(Composite!B71," - ",Composite!C71)</f>
        <v>2017 - LEDReflectors and Outdoor1440 to 2600 lumensANY</v>
      </c>
      <c r="B34" t="str">
        <f>Composite!D71</f>
        <v>LEDReflectors and Outdoor1440 to 2600 lumensANY</v>
      </c>
      <c r="C34">
        <f>Composite!E71</f>
        <v>80.966958939438442</v>
      </c>
      <c r="D34">
        <f>Composite!F71</f>
        <v>12</v>
      </c>
      <c r="E34">
        <f>Composite!G71</f>
        <v>12.02981381264515</v>
      </c>
      <c r="F34">
        <f>Composite!H71</f>
        <v>0</v>
      </c>
      <c r="G34" t="s">
        <v>714</v>
      </c>
      <c r="H34">
        <f>Composite!J71</f>
        <v>0</v>
      </c>
      <c r="I34">
        <f>Composite!K71</f>
        <v>-6.8379432184399001</v>
      </c>
      <c r="J34">
        <f>Composite!L71</f>
        <v>1.8152462117520278</v>
      </c>
      <c r="K34">
        <f>Composite!M71</f>
        <v>0</v>
      </c>
      <c r="L34">
        <f>Composite!N71</f>
        <v>0</v>
      </c>
      <c r="M34">
        <f>Composite!O71</f>
        <v>0</v>
      </c>
      <c r="N34">
        <f>Composite!P71</f>
        <v>0</v>
      </c>
      <c r="O34">
        <f>Composite!Q71</f>
        <v>-0.25787051138749234</v>
      </c>
      <c r="P34" t="s">
        <v>715</v>
      </c>
      <c r="Q34" t="s">
        <v>1</v>
      </c>
    </row>
    <row r="35" spans="1:131">
      <c r="A35" t="str">
        <f>CONCATENATE(Composite!B72," - ",Composite!C72)</f>
        <v>2017 - LEDThree-Way250 to 664 lumensANY</v>
      </c>
      <c r="B35" t="str">
        <f>Composite!D72</f>
        <v>LEDThree-Way250 to 664 lumensANY</v>
      </c>
      <c r="C35">
        <f>Composite!E72</f>
        <v>47.136987482854579</v>
      </c>
      <c r="D35">
        <f>Composite!F72</f>
        <v>12</v>
      </c>
      <c r="E35">
        <f>Composite!G72</f>
        <v>8.7470279229324603</v>
      </c>
      <c r="F35">
        <f>Composite!H72</f>
        <v>0</v>
      </c>
      <c r="G35" t="s">
        <v>714</v>
      </c>
      <c r="H35">
        <f>Composite!J72</f>
        <v>0</v>
      </c>
      <c r="I35">
        <f>Composite!K72</f>
        <v>-2.5086033161955381</v>
      </c>
      <c r="J35">
        <f>Composite!L72</f>
        <v>1.9664811264199897</v>
      </c>
      <c r="K35">
        <f>Composite!M72</f>
        <v>0</v>
      </c>
      <c r="L35">
        <f>Composite!N72</f>
        <v>0</v>
      </c>
      <c r="M35">
        <f>Composite!O72</f>
        <v>0</v>
      </c>
      <c r="N35">
        <f>Composite!P72</f>
        <v>0</v>
      </c>
      <c r="O35">
        <f>Composite!Q72</f>
        <v>-0.58944493078954363</v>
      </c>
      <c r="P35" t="s">
        <v>715</v>
      </c>
      <c r="Q35" t="s">
        <v>1</v>
      </c>
    </row>
    <row r="36" spans="1:131">
      <c r="A36" t="str">
        <f>CONCATENATE(Composite!B73," - ",Composite!C73)</f>
        <v>2017 - LEDThree-Way665 to 1439 lumensANY</v>
      </c>
      <c r="B36" t="str">
        <f>Composite!D73</f>
        <v>LEDThree-Way665 to 1439 lumensANY</v>
      </c>
      <c r="C36">
        <f>Composite!E73</f>
        <v>50.774142858393084</v>
      </c>
      <c r="D36">
        <f>Composite!F73</f>
        <v>12</v>
      </c>
      <c r="E36">
        <f>Composite!G73</f>
        <v>5.5772508450117817</v>
      </c>
      <c r="F36">
        <f>Composite!H73</f>
        <v>0</v>
      </c>
      <c r="G36" t="s">
        <v>714</v>
      </c>
      <c r="H36">
        <f>Composite!J73</f>
        <v>0</v>
      </c>
      <c r="I36">
        <f>Composite!K73</f>
        <v>-6.020444707725451</v>
      </c>
      <c r="J36">
        <f>Composite!L73</f>
        <v>3.7098631590053808</v>
      </c>
      <c r="K36">
        <f>Composite!M73</f>
        <v>0</v>
      </c>
      <c r="L36">
        <f>Composite!N73</f>
        <v>0</v>
      </c>
      <c r="M36">
        <f>Composite!O73</f>
        <v>0</v>
      </c>
      <c r="N36">
        <f>Composite!P73</f>
        <v>0</v>
      </c>
      <c r="O36">
        <f>Composite!Q73</f>
        <v>-0.63318162779211606</v>
      </c>
      <c r="P36" t="s">
        <v>715</v>
      </c>
      <c r="Q36" t="s">
        <v>1</v>
      </c>
    </row>
    <row r="37" spans="1:131">
      <c r="A37" t="str">
        <f>CONCATENATE(Composite!B74," - ",Composite!C74)</f>
        <v>2017 - LEDThree-Way1440 to 2600 lumensANY</v>
      </c>
      <c r="B37" t="str">
        <f>Composite!D74</f>
        <v>LEDThree-Way1440 to 2600 lumensANY</v>
      </c>
      <c r="C37">
        <f>Composite!E74</f>
        <v>45.435208886823141</v>
      </c>
      <c r="D37">
        <f>Composite!F74</f>
        <v>12</v>
      </c>
      <c r="E37">
        <f>Composite!G74</f>
        <v>12.509870771200507</v>
      </c>
      <c r="F37">
        <f>Composite!H74</f>
        <v>0</v>
      </c>
      <c r="G37" t="s">
        <v>714</v>
      </c>
      <c r="H37">
        <f>Composite!J74</f>
        <v>0</v>
      </c>
      <c r="I37">
        <f>Composite!K74</f>
        <v>-5.8123669887989093</v>
      </c>
      <c r="J37">
        <f>Composite!L74</f>
        <v>1.7652962324402386</v>
      </c>
      <c r="K37">
        <f>Composite!M74</f>
        <v>0</v>
      </c>
      <c r="L37">
        <f>Composite!N74</f>
        <v>0</v>
      </c>
      <c r="M37">
        <f>Composite!O74</f>
        <v>0</v>
      </c>
      <c r="N37">
        <f>Composite!P74</f>
        <v>0</v>
      </c>
      <c r="O37">
        <f>Composite!Q74</f>
        <v>-0.56570549735583064</v>
      </c>
      <c r="P37" t="s">
        <v>715</v>
      </c>
      <c r="Q37" t="s">
        <v>1</v>
      </c>
    </row>
    <row r="40" spans="1:1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row>
    <row r="41" spans="1:131">
      <c r="A41" s="108" t="s">
        <v>188</v>
      </c>
      <c r="B41" s="10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row>
    <row r="42" spans="1:131">
      <c r="A42" s="1" t="s">
        <v>189</v>
      </c>
      <c r="B42" s="1" t="s">
        <v>190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row>
    <row r="43" spans="1:131">
      <c r="A43" s="1" t="s">
        <v>191</v>
      </c>
      <c r="B43" s="1" t="s">
        <v>852</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row>
    <row r="44" spans="1:1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row>
    <row r="45" spans="1:131" ht="13.5" thickBot="1">
      <c r="A45" s="43" t="s">
        <v>192</v>
      </c>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44"/>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row>
    <row r="46" spans="1:131">
      <c r="A46" s="1"/>
      <c r="B46" s="111" t="s">
        <v>193</v>
      </c>
      <c r="C46" s="112"/>
      <c r="D46" s="112" t="s">
        <v>193</v>
      </c>
      <c r="E46" s="113"/>
      <c r="F46" s="1"/>
      <c r="G46" s="111" t="s">
        <v>194</v>
      </c>
      <c r="H46" s="112"/>
      <c r="I46" s="112"/>
      <c r="J46" s="112"/>
      <c r="K46" s="112"/>
      <c r="L46" s="112"/>
      <c r="M46" s="112"/>
      <c r="N46" s="112"/>
      <c r="O46" s="113"/>
      <c r="P46" s="1"/>
      <c r="Q46" s="111" t="s">
        <v>195</v>
      </c>
      <c r="R46" s="112"/>
      <c r="S46" s="112"/>
      <c r="T46" s="112"/>
      <c r="U46" s="113"/>
      <c r="V46" s="1"/>
      <c r="W46" s="111" t="s">
        <v>196</v>
      </c>
      <c r="X46" s="113"/>
      <c r="Y46" s="1"/>
      <c r="Z46" s="111" t="s">
        <v>197</v>
      </c>
      <c r="AA46" s="112"/>
      <c r="AB46" s="113"/>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row>
    <row r="47" spans="1:131">
      <c r="A47" s="1"/>
      <c r="B47" s="114" t="s">
        <v>198</v>
      </c>
      <c r="C47" s="115" t="s">
        <v>199</v>
      </c>
      <c r="D47" s="115" t="s">
        <v>198</v>
      </c>
      <c r="E47" s="116" t="s">
        <v>199</v>
      </c>
      <c r="F47" s="1"/>
      <c r="G47" s="114" t="s">
        <v>200</v>
      </c>
      <c r="H47" s="115" t="s">
        <v>853</v>
      </c>
      <c r="I47" s="115"/>
      <c r="J47" s="115"/>
      <c r="K47" s="115" t="s">
        <v>201</v>
      </c>
      <c r="L47" s="115"/>
      <c r="M47" s="115"/>
      <c r="N47" s="115"/>
      <c r="O47" s="116"/>
      <c r="P47" s="1"/>
      <c r="Q47" s="114"/>
      <c r="R47" s="115" t="s">
        <v>202</v>
      </c>
      <c r="S47" s="115" t="s">
        <v>203</v>
      </c>
      <c r="T47" s="115" t="s">
        <v>204</v>
      </c>
      <c r="U47" s="116" t="s">
        <v>205</v>
      </c>
      <c r="V47" s="1"/>
      <c r="W47" s="114" t="s">
        <v>206</v>
      </c>
      <c r="X47" s="116">
        <v>20</v>
      </c>
      <c r="Y47" s="1"/>
      <c r="Z47" s="114"/>
      <c r="AA47" s="115" t="s">
        <v>199</v>
      </c>
      <c r="AB47" s="116" t="s">
        <v>207</v>
      </c>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row>
    <row r="48" spans="1:131">
      <c r="A48" s="1"/>
      <c r="B48" s="114" t="s">
        <v>208</v>
      </c>
      <c r="C48" s="115" t="s">
        <v>209</v>
      </c>
      <c r="D48" s="115" t="s">
        <v>208</v>
      </c>
      <c r="E48" s="116" t="s">
        <v>209</v>
      </c>
      <c r="F48" s="1"/>
      <c r="G48" s="114" t="s">
        <v>210</v>
      </c>
      <c r="H48" s="115" t="s">
        <v>211</v>
      </c>
      <c r="I48" s="115"/>
      <c r="J48" s="115"/>
      <c r="K48" s="115" t="s">
        <v>212</v>
      </c>
      <c r="L48" s="115"/>
      <c r="M48" s="115"/>
      <c r="N48" s="115"/>
      <c r="O48" s="116"/>
      <c r="P48" s="1"/>
      <c r="Q48" s="114" t="s">
        <v>213</v>
      </c>
      <c r="R48" s="115">
        <v>4.3096045197740109E-2</v>
      </c>
      <c r="S48" s="115">
        <v>4.387844424080023E-2</v>
      </c>
      <c r="T48" s="115">
        <v>5.3289007766645871E-2</v>
      </c>
      <c r="U48" s="116">
        <v>5.447903102274565E-2</v>
      </c>
      <c r="V48" s="1"/>
      <c r="W48" s="114" t="s">
        <v>214</v>
      </c>
      <c r="X48" s="116">
        <v>2016</v>
      </c>
      <c r="Y48" s="1"/>
      <c r="Z48" s="114" t="s">
        <v>215</v>
      </c>
      <c r="AA48" s="115">
        <v>4.03890184699085E-3</v>
      </c>
      <c r="AB48" s="116">
        <v>0.01</v>
      </c>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row>
    <row r="49" spans="1:131">
      <c r="A49" s="1"/>
      <c r="B49" s="114" t="s">
        <v>216</v>
      </c>
      <c r="C49" s="115" t="s">
        <v>217</v>
      </c>
      <c r="D49" s="115" t="s">
        <v>216</v>
      </c>
      <c r="E49" s="116" t="s">
        <v>217</v>
      </c>
      <c r="F49" s="1"/>
      <c r="G49" s="114" t="s">
        <v>218</v>
      </c>
      <c r="H49" s="115" t="s">
        <v>219</v>
      </c>
      <c r="I49" s="115"/>
      <c r="J49" s="115"/>
      <c r="K49" s="115" t="s">
        <v>220</v>
      </c>
      <c r="L49" s="115"/>
      <c r="M49" s="115"/>
      <c r="N49" s="115"/>
      <c r="O49" s="116"/>
      <c r="P49" s="1"/>
      <c r="Q49" s="114" t="s">
        <v>221</v>
      </c>
      <c r="R49" s="115">
        <v>12</v>
      </c>
      <c r="S49" s="115">
        <v>12</v>
      </c>
      <c r="T49" s="115">
        <v>1</v>
      </c>
      <c r="U49" s="116">
        <v>1</v>
      </c>
      <c r="V49" s="1"/>
      <c r="W49" s="114" t="s">
        <v>222</v>
      </c>
      <c r="X49" s="116">
        <v>2016</v>
      </c>
      <c r="Y49" s="1"/>
      <c r="Z49" s="114" t="s">
        <v>223</v>
      </c>
      <c r="AA49" s="115">
        <v>26</v>
      </c>
      <c r="AB49" s="116">
        <v>0</v>
      </c>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row>
    <row r="50" spans="1:131" ht="13.5" thickBot="1">
      <c r="A50" s="1"/>
      <c r="B50" s="117" t="s">
        <v>224</v>
      </c>
      <c r="C50" s="118" t="s">
        <v>217</v>
      </c>
      <c r="D50" s="118" t="s">
        <v>224</v>
      </c>
      <c r="E50" s="119" t="s">
        <v>217</v>
      </c>
      <c r="F50" s="1"/>
      <c r="G50" s="114" t="s">
        <v>225</v>
      </c>
      <c r="H50" s="115" t="s">
        <v>226</v>
      </c>
      <c r="I50" s="115"/>
      <c r="J50" s="115"/>
      <c r="K50" s="115" t="s">
        <v>212</v>
      </c>
      <c r="L50" s="115"/>
      <c r="M50" s="115"/>
      <c r="N50" s="115"/>
      <c r="O50" s="116"/>
      <c r="P50" s="1"/>
      <c r="Q50" s="114"/>
      <c r="R50" s="115" t="s">
        <v>202</v>
      </c>
      <c r="S50" s="115" t="s">
        <v>203</v>
      </c>
      <c r="T50" s="115" t="s">
        <v>204</v>
      </c>
      <c r="U50" s="116" t="s">
        <v>205</v>
      </c>
      <c r="V50" s="1"/>
      <c r="W50" s="114" t="s">
        <v>227</v>
      </c>
      <c r="X50" s="116">
        <v>2012</v>
      </c>
      <c r="Y50" s="1"/>
      <c r="Z50" s="114" t="s">
        <v>228</v>
      </c>
      <c r="AA50" s="115">
        <v>0.9</v>
      </c>
      <c r="AB50" s="116" t="s">
        <v>26</v>
      </c>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row>
    <row r="51" spans="1:131">
      <c r="A51" s="1"/>
      <c r="B51" s="1"/>
      <c r="C51" s="1"/>
      <c r="D51" s="1"/>
      <c r="E51" s="1"/>
      <c r="F51" s="1"/>
      <c r="G51" s="114" t="s">
        <v>229</v>
      </c>
      <c r="H51" s="115" t="s">
        <v>219</v>
      </c>
      <c r="I51" s="115"/>
      <c r="J51" s="115"/>
      <c r="K51" s="115"/>
      <c r="L51" s="115"/>
      <c r="M51" s="115"/>
      <c r="N51" s="115"/>
      <c r="O51" s="116"/>
      <c r="P51" s="1"/>
      <c r="Q51" s="114" t="s">
        <v>230</v>
      </c>
      <c r="R51" s="115">
        <v>0.35</v>
      </c>
      <c r="S51" s="115">
        <v>0.19500000000000001</v>
      </c>
      <c r="T51" s="115">
        <v>0.45499999999999996</v>
      </c>
      <c r="U51" s="116">
        <v>0</v>
      </c>
      <c r="V51" s="1"/>
      <c r="W51" s="114" t="s">
        <v>231</v>
      </c>
      <c r="X51" s="116">
        <v>0.04</v>
      </c>
      <c r="Y51" s="1"/>
      <c r="Z51" s="114" t="s">
        <v>232</v>
      </c>
      <c r="AA51" s="115">
        <v>4.7399348199455904E-2</v>
      </c>
      <c r="AB51" s="116">
        <v>0</v>
      </c>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row>
    <row r="52" spans="1:131">
      <c r="A52" s="1"/>
      <c r="B52" s="1" t="s">
        <v>233</v>
      </c>
      <c r="C52" s="1" t="s">
        <v>199</v>
      </c>
      <c r="D52" s="1"/>
      <c r="E52" s="1"/>
      <c r="F52" s="1"/>
      <c r="G52" s="114" t="s">
        <v>234</v>
      </c>
      <c r="H52" s="115" t="s">
        <v>235</v>
      </c>
      <c r="I52" s="115"/>
      <c r="J52" s="115"/>
      <c r="K52" s="115" t="s">
        <v>236</v>
      </c>
      <c r="L52" s="115"/>
      <c r="M52" s="115"/>
      <c r="N52" s="115"/>
      <c r="O52" s="116"/>
      <c r="P52" s="1"/>
      <c r="Q52" s="114" t="s">
        <v>237</v>
      </c>
      <c r="R52" s="115">
        <v>1</v>
      </c>
      <c r="S52" s="115">
        <v>0</v>
      </c>
      <c r="T52" s="115">
        <v>0</v>
      </c>
      <c r="U52" s="116">
        <v>0</v>
      </c>
      <c r="V52" s="1"/>
      <c r="W52" s="114" t="s">
        <v>238</v>
      </c>
      <c r="X52" s="116">
        <v>0</v>
      </c>
      <c r="Y52" s="1"/>
      <c r="Z52" s="114" t="s">
        <v>239</v>
      </c>
      <c r="AA52" s="115">
        <v>31</v>
      </c>
      <c r="AB52" s="116">
        <v>0</v>
      </c>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row>
    <row r="53" spans="1:131">
      <c r="A53" s="1"/>
      <c r="B53" s="1" t="s">
        <v>240</v>
      </c>
      <c r="C53" s="1" t="s">
        <v>241</v>
      </c>
      <c r="D53" s="1"/>
      <c r="E53" s="1"/>
      <c r="F53" s="1"/>
      <c r="G53" s="114" t="s">
        <v>242</v>
      </c>
      <c r="H53" s="115" t="s">
        <v>236</v>
      </c>
      <c r="I53" s="115"/>
      <c r="J53" s="115"/>
      <c r="K53" s="115" t="s">
        <v>243</v>
      </c>
      <c r="L53" s="115"/>
      <c r="M53" s="115"/>
      <c r="N53" s="115"/>
      <c r="O53" s="116"/>
      <c r="P53" s="1"/>
      <c r="Q53" s="114" t="s">
        <v>244</v>
      </c>
      <c r="R53" s="115">
        <v>1</v>
      </c>
      <c r="S53" s="115">
        <v>0</v>
      </c>
      <c r="T53" s="115">
        <v>0</v>
      </c>
      <c r="U53" s="116">
        <v>0</v>
      </c>
      <c r="V53" s="1"/>
      <c r="W53" s="114" t="s">
        <v>245</v>
      </c>
      <c r="X53" s="116">
        <v>0.2</v>
      </c>
      <c r="Y53" s="1"/>
      <c r="Z53" s="114" t="s">
        <v>246</v>
      </c>
      <c r="AA53" s="115">
        <v>0.7</v>
      </c>
      <c r="AB53" s="116" t="s">
        <v>26</v>
      </c>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row>
    <row r="54" spans="1:131">
      <c r="A54" s="1"/>
      <c r="B54" s="1" t="s">
        <v>247</v>
      </c>
      <c r="C54" s="1" t="s">
        <v>248</v>
      </c>
      <c r="D54" s="1"/>
      <c r="E54" s="1"/>
      <c r="F54" s="1"/>
      <c r="G54" s="114" t="s">
        <v>249</v>
      </c>
      <c r="H54" s="115" t="s">
        <v>243</v>
      </c>
      <c r="I54" s="115"/>
      <c r="J54" s="115"/>
      <c r="K54" s="115" t="s">
        <v>250</v>
      </c>
      <c r="L54" s="115"/>
      <c r="M54" s="115"/>
      <c r="N54" s="115"/>
      <c r="O54" s="116"/>
      <c r="P54" s="1"/>
      <c r="Q54" s="114" t="s">
        <v>251</v>
      </c>
      <c r="R54" s="115"/>
      <c r="S54" s="115">
        <v>0.3</v>
      </c>
      <c r="T54" s="115">
        <v>0.7</v>
      </c>
      <c r="U54" s="116">
        <v>0</v>
      </c>
      <c r="V54" s="1"/>
      <c r="W54" s="114" t="s">
        <v>252</v>
      </c>
      <c r="X54" s="116">
        <v>0</v>
      </c>
      <c r="Y54" s="1"/>
      <c r="Z54" s="114" t="s">
        <v>253</v>
      </c>
      <c r="AA54" s="115">
        <v>0</v>
      </c>
      <c r="AB54" s="116">
        <v>0</v>
      </c>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row>
    <row r="55" spans="1:131" ht="13.5" thickBot="1">
      <c r="A55" s="1"/>
      <c r="B55" s="1" t="s">
        <v>254</v>
      </c>
      <c r="C55" s="1" t="s">
        <v>255</v>
      </c>
      <c r="D55" s="1"/>
      <c r="E55" s="1"/>
      <c r="F55" s="1"/>
      <c r="G55" s="117" t="s">
        <v>256</v>
      </c>
      <c r="H55" s="118" t="s">
        <v>250</v>
      </c>
      <c r="I55" s="118"/>
      <c r="J55" s="118"/>
      <c r="K55" s="118"/>
      <c r="L55" s="118"/>
      <c r="M55" s="118"/>
      <c r="N55" s="118"/>
      <c r="O55" s="119"/>
      <c r="P55" s="1"/>
      <c r="Q55" s="117" t="s">
        <v>257</v>
      </c>
      <c r="R55" s="118"/>
      <c r="S55" s="118">
        <v>20</v>
      </c>
      <c r="T55" s="118"/>
      <c r="U55" s="119"/>
      <c r="V55" s="1"/>
      <c r="W55" s="117" t="s">
        <v>258</v>
      </c>
      <c r="X55" s="119">
        <v>2018</v>
      </c>
      <c r="Y55" s="1"/>
      <c r="Z55" s="117" t="s">
        <v>259</v>
      </c>
      <c r="AA55" s="118">
        <v>0</v>
      </c>
      <c r="AB55" s="119">
        <v>0</v>
      </c>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row>
    <row r="56" spans="1:1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row>
    <row r="57" spans="1:1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row>
    <row r="58" spans="1:1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row>
    <row r="59" spans="1:1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row>
    <row r="60" spans="1:1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row>
    <row r="61" spans="1:1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row>
    <row r="62" spans="1:1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row>
    <row r="63" spans="1:131" ht="13.5" thickBot="1">
      <c r="A63" s="43" t="s">
        <v>260</v>
      </c>
      <c r="B63" s="44"/>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row>
    <row r="64" spans="1:131" ht="26.25" thickBot="1">
      <c r="A64" s="120" t="s">
        <v>261</v>
      </c>
      <c r="B64" s="121"/>
      <c r="C64" s="122" t="s">
        <v>262</v>
      </c>
      <c r="D64" s="123"/>
      <c r="E64" s="123"/>
      <c r="F64" s="123"/>
      <c r="G64" s="123"/>
      <c r="H64" s="123"/>
      <c r="I64" s="123"/>
      <c r="J64" s="123"/>
      <c r="K64" s="124"/>
      <c r="L64" s="122" t="s">
        <v>24</v>
      </c>
      <c r="M64" s="123"/>
      <c r="N64" s="123"/>
      <c r="O64" s="123"/>
      <c r="P64" s="123"/>
      <c r="Q64" s="124"/>
      <c r="R64" s="122" t="s">
        <v>263</v>
      </c>
      <c r="S64" s="123"/>
      <c r="T64" s="123"/>
      <c r="U64" s="124"/>
      <c r="V64" s="122" t="s">
        <v>264</v>
      </c>
      <c r="W64" s="123"/>
      <c r="X64" s="123"/>
      <c r="Y64" s="124"/>
      <c r="Z64" s="122" t="s">
        <v>265</v>
      </c>
      <c r="AA64" s="123"/>
      <c r="AB64" s="123"/>
      <c r="AC64" s="124"/>
      <c r="AD64" s="122" t="s">
        <v>266</v>
      </c>
      <c r="AE64" s="123"/>
      <c r="AF64" s="123"/>
      <c r="AG64" s="124"/>
      <c r="AH64" s="122" t="s">
        <v>267</v>
      </c>
      <c r="AI64" s="123"/>
      <c r="AJ64" s="123"/>
      <c r="AK64" s="123"/>
      <c r="AL64" s="124"/>
      <c r="AM64" s="122" t="s">
        <v>268</v>
      </c>
      <c r="AN64" s="123"/>
      <c r="AO64" s="123"/>
      <c r="AP64" s="123"/>
      <c r="AQ64" s="123"/>
      <c r="AR64" s="123"/>
      <c r="AS64" s="124"/>
      <c r="AT64" s="122" t="s">
        <v>269</v>
      </c>
      <c r="AU64" s="123"/>
      <c r="AV64" s="123"/>
      <c r="AW64" s="123"/>
      <c r="AX64" s="123"/>
      <c r="AY64" s="123"/>
      <c r="AZ64" s="124"/>
      <c r="BA64" s="122" t="s">
        <v>270</v>
      </c>
      <c r="BB64" s="123"/>
      <c r="BC64" s="123"/>
      <c r="BD64" s="123"/>
      <c r="BE64" s="123"/>
      <c r="BF64" s="124"/>
      <c r="BG64" s="122" t="s">
        <v>271</v>
      </c>
      <c r="BH64" s="124"/>
      <c r="BI64" s="122" t="s">
        <v>272</v>
      </c>
      <c r="BJ64" s="123"/>
      <c r="BK64" s="123"/>
      <c r="BL64" s="123"/>
      <c r="BM64" s="124"/>
      <c r="BN64" s="122" t="s">
        <v>273</v>
      </c>
      <c r="BO64" s="123"/>
      <c r="BP64" s="123"/>
      <c r="BQ64" s="123"/>
      <c r="BR64" s="123"/>
      <c r="BS64" s="123"/>
      <c r="BT64" s="123"/>
      <c r="BU64" s="123"/>
      <c r="BV64" s="123"/>
      <c r="BW64" s="123"/>
      <c r="BX64" s="123"/>
      <c r="BY64" s="123"/>
      <c r="BZ64" s="123"/>
      <c r="CA64" s="123"/>
      <c r="CB64" s="123"/>
      <c r="CC64" s="124"/>
      <c r="CD64" s="122" t="s">
        <v>274</v>
      </c>
      <c r="CE64" s="124"/>
      <c r="CF64" s="122" t="s">
        <v>275</v>
      </c>
      <c r="CG64" s="123"/>
      <c r="CH64" s="123"/>
      <c r="CI64" s="123"/>
      <c r="CJ64" s="123"/>
      <c r="CK64" s="124"/>
      <c r="CL64" s="125"/>
      <c r="CM64" s="122" t="s">
        <v>8</v>
      </c>
      <c r="CN64" s="123"/>
      <c r="CO64" s="123"/>
      <c r="CP64" s="124"/>
      <c r="CQ64" s="122" t="s">
        <v>276</v>
      </c>
      <c r="CR64" s="123"/>
      <c r="CS64" s="123"/>
      <c r="CT64" s="123"/>
      <c r="CU64" s="124"/>
      <c r="CV64" s="122" t="s">
        <v>277</v>
      </c>
      <c r="CW64" s="124"/>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row>
    <row r="65" spans="1:131" ht="216.75">
      <c r="A65" s="51" t="s">
        <v>35</v>
      </c>
      <c r="B65" s="52" t="s">
        <v>25</v>
      </c>
      <c r="C65" s="53" t="s">
        <v>176</v>
      </c>
      <c r="D65" s="53" t="s">
        <v>278</v>
      </c>
      <c r="E65" s="53" t="s">
        <v>279</v>
      </c>
      <c r="F65" s="53" t="s">
        <v>280</v>
      </c>
      <c r="G65" s="53" t="s">
        <v>281</v>
      </c>
      <c r="H65" s="53" t="s">
        <v>282</v>
      </c>
      <c r="I65" s="53" t="s">
        <v>283</v>
      </c>
      <c r="J65" s="53" t="s">
        <v>284</v>
      </c>
      <c r="K65" s="53" t="s">
        <v>285</v>
      </c>
      <c r="L65" s="53" t="s">
        <v>286</v>
      </c>
      <c r="M65" s="53" t="s">
        <v>287</v>
      </c>
      <c r="N65" s="53" t="s">
        <v>288</v>
      </c>
      <c r="O65" s="53" t="s">
        <v>289</v>
      </c>
      <c r="P65" s="53" t="s">
        <v>290</v>
      </c>
      <c r="Q65" s="53" t="s">
        <v>291</v>
      </c>
      <c r="R65" s="53" t="s">
        <v>292</v>
      </c>
      <c r="S65" s="53" t="s">
        <v>293</v>
      </c>
      <c r="T65" s="53" t="s">
        <v>294</v>
      </c>
      <c r="U65" s="53" t="s">
        <v>202</v>
      </c>
      <c r="V65" s="53" t="s">
        <v>292</v>
      </c>
      <c r="W65" s="53" t="s">
        <v>293</v>
      </c>
      <c r="X65" s="53" t="s">
        <v>294</v>
      </c>
      <c r="Y65" s="53" t="s">
        <v>202</v>
      </c>
      <c r="Z65" s="53" t="s">
        <v>292</v>
      </c>
      <c r="AA65" s="53" t="s">
        <v>293</v>
      </c>
      <c r="AB65" s="53" t="s">
        <v>294</v>
      </c>
      <c r="AC65" s="53" t="s">
        <v>202</v>
      </c>
      <c r="AD65" s="53" t="s">
        <v>292</v>
      </c>
      <c r="AE65" s="53" t="s">
        <v>293</v>
      </c>
      <c r="AF65" s="53" t="s">
        <v>294</v>
      </c>
      <c r="AG65" s="53" t="s">
        <v>202</v>
      </c>
      <c r="AH65" s="53" t="s">
        <v>292</v>
      </c>
      <c r="AI65" s="53" t="s">
        <v>293</v>
      </c>
      <c r="AJ65" s="53" t="s">
        <v>294</v>
      </c>
      <c r="AK65" s="53" t="s">
        <v>202</v>
      </c>
      <c r="AL65" s="53" t="s">
        <v>295</v>
      </c>
      <c r="AM65" s="53" t="s">
        <v>296</v>
      </c>
      <c r="AN65" s="53" t="s">
        <v>297</v>
      </c>
      <c r="AO65" s="53" t="s">
        <v>298</v>
      </c>
      <c r="AP65" s="53" t="s">
        <v>299</v>
      </c>
      <c r="AQ65" s="53" t="s">
        <v>300</v>
      </c>
      <c r="AR65" s="53" t="s">
        <v>301</v>
      </c>
      <c r="AS65" s="53" t="s">
        <v>302</v>
      </c>
      <c r="AT65" s="53" t="s">
        <v>303</v>
      </c>
      <c r="AU65" s="53" t="s">
        <v>304</v>
      </c>
      <c r="AV65" s="53" t="s">
        <v>305</v>
      </c>
      <c r="AW65" s="53" t="s">
        <v>306</v>
      </c>
      <c r="AX65" s="53" t="s">
        <v>307</v>
      </c>
      <c r="AY65" s="53" t="s">
        <v>308</v>
      </c>
      <c r="AZ65" s="53" t="s">
        <v>309</v>
      </c>
      <c r="BA65" s="53" t="s">
        <v>310</v>
      </c>
      <c r="BB65" s="53" t="s">
        <v>311</v>
      </c>
      <c r="BC65" s="53" t="s">
        <v>312</v>
      </c>
      <c r="BD65" s="53" t="s">
        <v>313</v>
      </c>
      <c r="BE65" s="53" t="s">
        <v>314</v>
      </c>
      <c r="BF65" s="53" t="s">
        <v>315</v>
      </c>
      <c r="BG65" s="53" t="s">
        <v>316</v>
      </c>
      <c r="BH65" s="53" t="s">
        <v>317</v>
      </c>
      <c r="BI65" s="53" t="s">
        <v>318</v>
      </c>
      <c r="BJ65" s="53" t="s">
        <v>319</v>
      </c>
      <c r="BK65" s="53" t="s">
        <v>320</v>
      </c>
      <c r="BL65" s="53" t="s">
        <v>321</v>
      </c>
      <c r="BM65" s="53" t="s">
        <v>322</v>
      </c>
      <c r="BN65" s="53" t="s">
        <v>323</v>
      </c>
      <c r="BO65" s="53" t="s">
        <v>324</v>
      </c>
      <c r="BP65" s="53" t="s">
        <v>325</v>
      </c>
      <c r="BQ65" s="53" t="s">
        <v>326</v>
      </c>
      <c r="BR65" s="53" t="s">
        <v>327</v>
      </c>
      <c r="BS65" s="53" t="s">
        <v>328</v>
      </c>
      <c r="BT65" s="53" t="s">
        <v>329</v>
      </c>
      <c r="BU65" s="53" t="s">
        <v>330</v>
      </c>
      <c r="BV65" s="53" t="s">
        <v>331</v>
      </c>
      <c r="BW65" s="53" t="s">
        <v>332</v>
      </c>
      <c r="BX65" s="53" t="s">
        <v>333</v>
      </c>
      <c r="BY65" s="53" t="s">
        <v>334</v>
      </c>
      <c r="BZ65" s="53" t="s">
        <v>335</v>
      </c>
      <c r="CA65" s="53" t="s">
        <v>336</v>
      </c>
      <c r="CB65" s="53" t="s">
        <v>337</v>
      </c>
      <c r="CC65" s="53" t="s">
        <v>338</v>
      </c>
      <c r="CD65" s="53" t="s">
        <v>45</v>
      </c>
      <c r="CE65" s="53" t="s">
        <v>44</v>
      </c>
      <c r="CF65" s="53" t="s">
        <v>339</v>
      </c>
      <c r="CG65" s="53" t="s">
        <v>340</v>
      </c>
      <c r="CH65" s="53" t="s">
        <v>341</v>
      </c>
      <c r="CI65" s="53" t="s">
        <v>342</v>
      </c>
      <c r="CJ65" s="53" t="s">
        <v>343</v>
      </c>
      <c r="CK65" s="53" t="s">
        <v>344</v>
      </c>
      <c r="CL65" s="53"/>
      <c r="CM65" s="53" t="s">
        <v>345</v>
      </c>
      <c r="CN65" s="53" t="s">
        <v>346</v>
      </c>
      <c r="CO65" s="53" t="s">
        <v>347</v>
      </c>
      <c r="CP65" s="53" t="s">
        <v>348</v>
      </c>
      <c r="CQ65" s="53" t="s">
        <v>349</v>
      </c>
      <c r="CR65" s="53" t="s">
        <v>350</v>
      </c>
      <c r="CS65" s="53" t="s">
        <v>351</v>
      </c>
      <c r="CT65" s="53" t="s">
        <v>352</v>
      </c>
      <c r="CU65" s="53" t="s">
        <v>353</v>
      </c>
      <c r="CV65" s="53" t="s">
        <v>354</v>
      </c>
      <c r="CW65" s="126" t="s">
        <v>355</v>
      </c>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row>
    <row r="66" spans="1:131">
      <c r="A66" s="1" t="s">
        <v>716</v>
      </c>
      <c r="B66" s="1" t="s">
        <v>717</v>
      </c>
      <c r="C66" s="37">
        <v>12</v>
      </c>
      <c r="D66" s="37">
        <v>17.893756380606625</v>
      </c>
      <c r="E66" s="37">
        <v>-0.21010528767546227</v>
      </c>
      <c r="F66" s="37">
        <v>4.9558183711786743</v>
      </c>
      <c r="G66" s="37">
        <v>0</v>
      </c>
      <c r="H66" s="37">
        <v>-9.9957078032538558</v>
      </c>
      <c r="I66" s="37" t="s">
        <v>714</v>
      </c>
      <c r="J66" s="37"/>
      <c r="K66" s="37"/>
      <c r="L66" s="37">
        <v>19.236292058718274</v>
      </c>
      <c r="M66" s="37">
        <v>5.0254466343264623E-3</v>
      </c>
      <c r="N66" s="37">
        <v>4.9891752141491648E-3</v>
      </c>
      <c r="O66" s="37">
        <v>-0.21220634099689015</v>
      </c>
      <c r="P66" s="37">
        <v>0</v>
      </c>
      <c r="Q66" s="37">
        <v>0</v>
      </c>
      <c r="R66" s="37">
        <v>0.98825638552350425</v>
      </c>
      <c r="S66" s="37">
        <v>2.2837101939970941</v>
      </c>
      <c r="T66" s="37">
        <v>0</v>
      </c>
      <c r="U66" s="37">
        <v>4.0265088287607913</v>
      </c>
      <c r="V66" s="37" t="s">
        <v>356</v>
      </c>
      <c r="W66" s="37" t="s">
        <v>356</v>
      </c>
      <c r="X66" s="37" t="s">
        <v>356</v>
      </c>
      <c r="Y66" s="37" t="s">
        <v>356</v>
      </c>
      <c r="Z66" s="37">
        <v>0</v>
      </c>
      <c r="AA66" s="37">
        <v>0</v>
      </c>
      <c r="AB66" s="37">
        <v>0</v>
      </c>
      <c r="AC66" s="37">
        <v>0</v>
      </c>
      <c r="AD66" s="37">
        <v>0</v>
      </c>
      <c r="AE66" s="37">
        <v>0</v>
      </c>
      <c r="AF66" s="37">
        <v>0</v>
      </c>
      <c r="AG66" s="37">
        <v>-9.9957078032538558</v>
      </c>
      <c r="AH66" s="37">
        <v>0.98825638552350425</v>
      </c>
      <c r="AI66" s="37">
        <v>2.2837101939970941</v>
      </c>
      <c r="AJ66" s="37">
        <v>0</v>
      </c>
      <c r="AK66" s="37">
        <v>-5.9691989744930645</v>
      </c>
      <c r="AL66" s="37">
        <v>-2.6972323949724659</v>
      </c>
      <c r="AM66" s="37">
        <v>9.9359564241625389</v>
      </c>
      <c r="AN66" s="37">
        <v>1.775733954532619</v>
      </c>
      <c r="AO66" s="37">
        <v>0</v>
      </c>
      <c r="AP66" s="37">
        <v>0</v>
      </c>
      <c r="AQ66" s="37">
        <v>11.711690378695158</v>
      </c>
      <c r="AR66" s="37">
        <v>0.98825638552350425</v>
      </c>
      <c r="AS66" s="36">
        <v>11.850862337197226</v>
      </c>
      <c r="AT66" s="37">
        <v>9.9359564241625389</v>
      </c>
      <c r="AU66" s="37">
        <v>2.1019400999278468</v>
      </c>
      <c r="AV66" s="37">
        <v>0</v>
      </c>
      <c r="AW66" s="37">
        <v>0</v>
      </c>
      <c r="AX66" s="37">
        <v>12.037896524090385</v>
      </c>
      <c r="AY66" s="37">
        <v>2.2837101939970941</v>
      </c>
      <c r="AZ66" s="36">
        <v>5.2712014666891234</v>
      </c>
      <c r="BA66" s="37">
        <v>9.9359564241625389</v>
      </c>
      <c r="BB66" s="37">
        <v>3.8776740544604658</v>
      </c>
      <c r="BC66" s="37">
        <v>0</v>
      </c>
      <c r="BD66" s="37">
        <v>0</v>
      </c>
      <c r="BE66" s="37">
        <v>13.813630478623004</v>
      </c>
      <c r="BF66" s="37">
        <v>3.2719665795205986</v>
      </c>
      <c r="BG66" s="37">
        <v>-2.3169234516279857</v>
      </c>
      <c r="BH66" s="36">
        <v>4.2218128281270362</v>
      </c>
      <c r="BI66" s="37">
        <v>3.7802313667465128</v>
      </c>
      <c r="BJ66" s="37">
        <v>8.7355397186060024</v>
      </c>
      <c r="BK66" s="37">
        <v>0</v>
      </c>
      <c r="BL66" s="37">
        <v>-22.833096277720053</v>
      </c>
      <c r="BM66" s="37">
        <v>-10.317325192367536</v>
      </c>
      <c r="BN66" s="37">
        <v>9.9359564241625389</v>
      </c>
      <c r="BO66" s="37">
        <v>-1.6466508518173228</v>
      </c>
      <c r="BP66" s="37">
        <v>3.8776740544604658</v>
      </c>
      <c r="BQ66" s="37">
        <v>0</v>
      </c>
      <c r="BR66" s="37">
        <v>0</v>
      </c>
      <c r="BS66" s="37">
        <v>0</v>
      </c>
      <c r="BT66" s="37">
        <v>0</v>
      </c>
      <c r="BU66" s="37">
        <v>0</v>
      </c>
      <c r="BV66" s="37">
        <v>0</v>
      </c>
      <c r="BW66" s="37">
        <v>0</v>
      </c>
      <c r="BX66" s="37">
        <v>7.2984754082813899</v>
      </c>
      <c r="BY66" s="37"/>
      <c r="BZ66" s="37">
        <v>0</v>
      </c>
      <c r="CA66" s="37">
        <v>-9.9957078032538558</v>
      </c>
      <c r="CB66" s="37">
        <v>12.166979626805681</v>
      </c>
      <c r="CC66" s="37">
        <v>-2.6972323949724659</v>
      </c>
      <c r="CD66" s="36">
        <v>2.6617107002818448</v>
      </c>
      <c r="CE66" s="37">
        <v>-18.851329135183732</v>
      </c>
      <c r="CF66" s="37">
        <v>0.1827461584872552</v>
      </c>
      <c r="CG66" s="37">
        <v>-2.4828141896636159E-2</v>
      </c>
      <c r="CH66" s="37">
        <v>0.15791801659061905</v>
      </c>
      <c r="CI66" s="37">
        <v>9.1372387278911768E-3</v>
      </c>
      <c r="CJ66" s="37">
        <v>-1.2414070948318075E-3</v>
      </c>
      <c r="CK66" s="37">
        <v>7.8958316330593695E-3</v>
      </c>
      <c r="CL66" s="37"/>
      <c r="CM66" s="37">
        <v>-0.21010528767546227</v>
      </c>
      <c r="CN66" s="37" t="s">
        <v>715</v>
      </c>
      <c r="CO66" s="37">
        <v>0</v>
      </c>
      <c r="CP66" s="37">
        <v>0</v>
      </c>
      <c r="CQ66" s="37">
        <v>-1.6466508518173228</v>
      </c>
      <c r="CR66" s="37">
        <v>0</v>
      </c>
      <c r="CS66" s="37">
        <v>0</v>
      </c>
      <c r="CT66" s="37">
        <v>-1.6466508518173228</v>
      </c>
      <c r="CU66" s="37">
        <v>0</v>
      </c>
      <c r="CV66" s="37">
        <v>9999</v>
      </c>
      <c r="CW66" s="127">
        <v>0</v>
      </c>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row>
    <row r="67" spans="1:131">
      <c r="A67" s="1" t="s">
        <v>718</v>
      </c>
      <c r="B67" s="1" t="s">
        <v>719</v>
      </c>
      <c r="C67" s="37">
        <v>12</v>
      </c>
      <c r="D67" s="37">
        <v>13.480596508464908</v>
      </c>
      <c r="E67" s="37">
        <v>-0.15012498651799946</v>
      </c>
      <c r="F67" s="37">
        <v>9.216195414897566</v>
      </c>
      <c r="G67" s="37">
        <v>0</v>
      </c>
      <c r="H67" s="37">
        <v>-14.366238888365681</v>
      </c>
      <c r="I67" s="37" t="s">
        <v>714</v>
      </c>
      <c r="J67" s="37"/>
      <c r="K67" s="37"/>
      <c r="L67" s="37">
        <v>14.492020906444102</v>
      </c>
      <c r="M67" s="37">
        <v>3.7860143455178382E-3</v>
      </c>
      <c r="N67" s="37">
        <v>3.7586885917857103E-3</v>
      </c>
      <c r="O67" s="37">
        <v>-0.15162623670090858</v>
      </c>
      <c r="P67" s="37">
        <v>0</v>
      </c>
      <c r="Q67" s="37">
        <v>0</v>
      </c>
      <c r="R67" s="37">
        <v>1.8378324802970443</v>
      </c>
      <c r="S67" s="37">
        <v>4.2469513292241743</v>
      </c>
      <c r="T67" s="37">
        <v>0</v>
      </c>
      <c r="U67" s="37">
        <v>7.4879847133792126</v>
      </c>
      <c r="V67" s="37" t="s">
        <v>356</v>
      </c>
      <c r="W67" s="37" t="s">
        <v>356</v>
      </c>
      <c r="X67" s="37" t="s">
        <v>356</v>
      </c>
      <c r="Y67" s="37" t="s">
        <v>356</v>
      </c>
      <c r="Z67" s="37">
        <v>0</v>
      </c>
      <c r="AA67" s="37">
        <v>0</v>
      </c>
      <c r="AB67" s="37">
        <v>0</v>
      </c>
      <c r="AC67" s="37">
        <v>0</v>
      </c>
      <c r="AD67" s="37">
        <v>0</v>
      </c>
      <c r="AE67" s="37">
        <v>0</v>
      </c>
      <c r="AF67" s="37">
        <v>0</v>
      </c>
      <c r="AG67" s="37">
        <v>-14.366238888365681</v>
      </c>
      <c r="AH67" s="37">
        <v>1.8378324802970443</v>
      </c>
      <c r="AI67" s="37">
        <v>4.2469513292241743</v>
      </c>
      <c r="AJ67" s="37">
        <v>0</v>
      </c>
      <c r="AK67" s="37">
        <v>-6.8782541749864681</v>
      </c>
      <c r="AL67" s="37">
        <v>-0.79347036546524929</v>
      </c>
      <c r="AM67" s="37">
        <v>7.4854388665418981</v>
      </c>
      <c r="AN67" s="37">
        <v>1.3377824330602333</v>
      </c>
      <c r="AO67" s="37">
        <v>0</v>
      </c>
      <c r="AP67" s="37">
        <v>0</v>
      </c>
      <c r="AQ67" s="37">
        <v>8.8232212996021318</v>
      </c>
      <c r="AR67" s="37">
        <v>1.8378324802970443</v>
      </c>
      <c r="AS67" s="36">
        <v>4.8008844082329292</v>
      </c>
      <c r="AT67" s="37">
        <v>7.4854388665418981</v>
      </c>
      <c r="AU67" s="37">
        <v>1.5835359423357198</v>
      </c>
      <c r="AV67" s="37">
        <v>0</v>
      </c>
      <c r="AW67" s="37">
        <v>0</v>
      </c>
      <c r="AX67" s="37">
        <v>9.0689748088776181</v>
      </c>
      <c r="AY67" s="37">
        <v>4.2469513292241743</v>
      </c>
      <c r="AZ67" s="36">
        <v>2.1354082271845396</v>
      </c>
      <c r="BA67" s="37">
        <v>7.4854388665418981</v>
      </c>
      <c r="BB67" s="37">
        <v>2.9213183753959528</v>
      </c>
      <c r="BC67" s="37">
        <v>0</v>
      </c>
      <c r="BD67" s="37">
        <v>0</v>
      </c>
      <c r="BE67" s="37">
        <v>10.406757241937852</v>
      </c>
      <c r="BF67" s="37">
        <v>6.0847838095212188</v>
      </c>
      <c r="BG67" s="37">
        <v>16.06217140106018</v>
      </c>
      <c r="BH67" s="36">
        <v>1.7102920280674208</v>
      </c>
      <c r="BI67" s="37">
        <v>9.3314059912050809</v>
      </c>
      <c r="BJ67" s="37">
        <v>21.563459946835604</v>
      </c>
      <c r="BK67" s="37">
        <v>0</v>
      </c>
      <c r="BL67" s="37">
        <v>-34.923630366531683</v>
      </c>
      <c r="BM67" s="37">
        <v>-4.0287644284909971</v>
      </c>
      <c r="BN67" s="37">
        <v>7.4854388665418981</v>
      </c>
      <c r="BO67" s="37">
        <v>-1.1765693270450615</v>
      </c>
      <c r="BP67" s="37">
        <v>2.9213183753959528</v>
      </c>
      <c r="BQ67" s="37">
        <v>0</v>
      </c>
      <c r="BR67" s="37">
        <v>0</v>
      </c>
      <c r="BS67" s="37">
        <v>0</v>
      </c>
      <c r="BT67" s="37">
        <v>0</v>
      </c>
      <c r="BU67" s="37">
        <v>0</v>
      </c>
      <c r="BV67" s="37">
        <v>0</v>
      </c>
      <c r="BW67" s="37">
        <v>0</v>
      </c>
      <c r="BX67" s="37">
        <v>13.572768522900432</v>
      </c>
      <c r="BY67" s="37"/>
      <c r="BZ67" s="37">
        <v>0</v>
      </c>
      <c r="CA67" s="37">
        <v>-14.366238888365681</v>
      </c>
      <c r="CB67" s="37">
        <v>9.2301879148927899</v>
      </c>
      <c r="CC67" s="37">
        <v>-0.79347036546524841</v>
      </c>
      <c r="CD67" s="36">
        <v>1.6796005612140126</v>
      </c>
      <c r="CE67" s="37">
        <v>-12.887548837557169</v>
      </c>
      <c r="CF67" s="37">
        <v>0.13767524122037664</v>
      </c>
      <c r="CG67" s="37">
        <v>-1.7740269694006293E-2</v>
      </c>
      <c r="CH67" s="37">
        <v>0.11993497152637034</v>
      </c>
      <c r="CI67" s="37">
        <v>6.883709930560946E-3</v>
      </c>
      <c r="CJ67" s="37">
        <v>-8.8701348470031501E-4</v>
      </c>
      <c r="CK67" s="37">
        <v>5.9966964458606307E-3</v>
      </c>
      <c r="CL67" s="37"/>
      <c r="CM67" s="37">
        <v>-0.15012498651799946</v>
      </c>
      <c r="CN67" s="37" t="s">
        <v>715</v>
      </c>
      <c r="CO67" s="37">
        <v>0</v>
      </c>
      <c r="CP67" s="37">
        <v>0</v>
      </c>
      <c r="CQ67" s="37">
        <v>-1.1765693270450615</v>
      </c>
      <c r="CR67" s="37">
        <v>0</v>
      </c>
      <c r="CS67" s="37">
        <v>0</v>
      </c>
      <c r="CT67" s="37">
        <v>-1.1765693270450615</v>
      </c>
      <c r="CU67" s="37">
        <v>0</v>
      </c>
      <c r="CV67" s="37">
        <v>9999</v>
      </c>
      <c r="CW67" s="127">
        <v>0</v>
      </c>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row>
    <row r="68" spans="1:131">
      <c r="A68" s="1" t="s">
        <v>720</v>
      </c>
      <c r="B68" s="1" t="s">
        <v>721</v>
      </c>
      <c r="C68" s="37">
        <v>12</v>
      </c>
      <c r="D68" s="37">
        <v>6.6760046931073918</v>
      </c>
      <c r="E68" s="37">
        <v>-7.6085649363279939E-2</v>
      </c>
      <c r="F68" s="37">
        <v>24.313541751771158</v>
      </c>
      <c r="G68" s="37">
        <v>0</v>
      </c>
      <c r="H68" s="37">
        <v>-5.1719103459386684</v>
      </c>
      <c r="I68" s="37" t="s">
        <v>714</v>
      </c>
      <c r="J68" s="37"/>
      <c r="K68" s="37"/>
      <c r="L68" s="37">
        <v>7.1768930642853626</v>
      </c>
      <c r="M68" s="37">
        <v>1.8749503794567041E-3</v>
      </c>
      <c r="N68" s="37">
        <v>1.8614178284272426E-3</v>
      </c>
      <c r="O68" s="37">
        <v>-7.6846506017942739E-2</v>
      </c>
      <c r="P68" s="37">
        <v>0</v>
      </c>
      <c r="Q68" s="37">
        <v>0</v>
      </c>
      <c r="R68" s="37">
        <v>4.8484450178034741</v>
      </c>
      <c r="S68" s="37">
        <v>11.204018991819483</v>
      </c>
      <c r="T68" s="37">
        <v>0</v>
      </c>
      <c r="U68" s="37">
        <v>19.75429347679399</v>
      </c>
      <c r="V68" s="37" t="s">
        <v>356</v>
      </c>
      <c r="W68" s="37" t="s">
        <v>356</v>
      </c>
      <c r="X68" s="37" t="s">
        <v>356</v>
      </c>
      <c r="Y68" s="37" t="s">
        <v>356</v>
      </c>
      <c r="Z68" s="37">
        <v>0</v>
      </c>
      <c r="AA68" s="37">
        <v>0</v>
      </c>
      <c r="AB68" s="37">
        <v>0</v>
      </c>
      <c r="AC68" s="37">
        <v>0</v>
      </c>
      <c r="AD68" s="37">
        <v>0</v>
      </c>
      <c r="AE68" s="37">
        <v>0</v>
      </c>
      <c r="AF68" s="37">
        <v>0</v>
      </c>
      <c r="AG68" s="37">
        <v>-5.1719103459386684</v>
      </c>
      <c r="AH68" s="37">
        <v>4.8484450178034741</v>
      </c>
      <c r="AI68" s="37">
        <v>11.204018991819483</v>
      </c>
      <c r="AJ68" s="37">
        <v>0</v>
      </c>
      <c r="AK68" s="37">
        <v>14.582383130855321</v>
      </c>
      <c r="AL68" s="37">
        <v>30.634847140478279</v>
      </c>
      <c r="AM68" s="37">
        <v>3.7070188230634011</v>
      </c>
      <c r="AN68" s="37">
        <v>0.66251087597337732</v>
      </c>
      <c r="AO68" s="37">
        <v>0</v>
      </c>
      <c r="AP68" s="37">
        <v>0</v>
      </c>
      <c r="AQ68" s="37">
        <v>4.3695296990367787</v>
      </c>
      <c r="AR68" s="37">
        <v>4.8484450178034741</v>
      </c>
      <c r="AS68" s="127">
        <v>0.90122290404281791</v>
      </c>
      <c r="AT68" s="37">
        <v>3.7070188230634011</v>
      </c>
      <c r="AU68" s="37">
        <v>0.78421554833268603</v>
      </c>
      <c r="AV68" s="37">
        <v>0</v>
      </c>
      <c r="AW68" s="37">
        <v>0</v>
      </c>
      <c r="AX68" s="37">
        <v>4.4912343713960876</v>
      </c>
      <c r="AY68" s="37">
        <v>11.204018991819483</v>
      </c>
      <c r="AZ68" s="127">
        <v>0.40085922512942218</v>
      </c>
      <c r="BA68" s="37">
        <v>3.7070188230634011</v>
      </c>
      <c r="BB68" s="37">
        <v>1.4467264243060634</v>
      </c>
      <c r="BC68" s="37">
        <v>0</v>
      </c>
      <c r="BD68" s="37">
        <v>0</v>
      </c>
      <c r="BE68" s="37">
        <v>5.1537452473694652</v>
      </c>
      <c r="BF68" s="37">
        <v>16.052464009622959</v>
      </c>
      <c r="BG68" s="37">
        <v>149.7466559333879</v>
      </c>
      <c r="BH68" s="127">
        <v>0.3210563340481532</v>
      </c>
      <c r="BI68" s="37">
        <v>49.709124489738187</v>
      </c>
      <c r="BJ68" s="37">
        <v>114.87022598063018</v>
      </c>
      <c r="BK68" s="37">
        <v>0</v>
      </c>
      <c r="BL68" s="37">
        <v>149.50721226021901</v>
      </c>
      <c r="BM68" s="37">
        <v>314.08656273058739</v>
      </c>
      <c r="BN68" s="37">
        <v>3.7070188230634011</v>
      </c>
      <c r="BO68" s="37">
        <v>-0.59630340921567793</v>
      </c>
      <c r="BP68" s="37">
        <v>1.4467264243060634</v>
      </c>
      <c r="BQ68" s="37">
        <v>0</v>
      </c>
      <c r="BR68" s="37">
        <v>0</v>
      </c>
      <c r="BS68" s="37">
        <v>0</v>
      </c>
      <c r="BT68" s="37">
        <v>0</v>
      </c>
      <c r="BU68" s="37">
        <v>0</v>
      </c>
      <c r="BV68" s="37">
        <v>0</v>
      </c>
      <c r="BW68" s="37">
        <v>0</v>
      </c>
      <c r="BX68" s="37">
        <v>35.806757486416949</v>
      </c>
      <c r="BY68" s="37"/>
      <c r="BZ68" s="37">
        <v>0</v>
      </c>
      <c r="CA68" s="37">
        <v>-5.1719103459386684</v>
      </c>
      <c r="CB68" s="37">
        <v>4.5574418381537862</v>
      </c>
      <c r="CC68" s="37">
        <v>30.634847140478279</v>
      </c>
      <c r="CD68" s="127">
        <v>0.2836480048452994</v>
      </c>
      <c r="CE68" s="37">
        <v>305.36752325074644</v>
      </c>
      <c r="CF68" s="37">
        <v>6.8181000442731232E-2</v>
      </c>
      <c r="CG68" s="37">
        <v>-8.9910412040992947E-3</v>
      </c>
      <c r="CH68" s="37">
        <v>5.9189959238631934E-2</v>
      </c>
      <c r="CI68" s="37">
        <v>3.4090242055355461E-3</v>
      </c>
      <c r="CJ68" s="37">
        <v>-4.4955206020496502E-4</v>
      </c>
      <c r="CK68" s="37">
        <v>2.9594721453305812E-3</v>
      </c>
      <c r="CL68" s="37"/>
      <c r="CM68" s="37">
        <v>-7.6085649363279939E-2</v>
      </c>
      <c r="CN68" s="37" t="s">
        <v>715</v>
      </c>
      <c r="CO68" s="37">
        <v>0</v>
      </c>
      <c r="CP68" s="37">
        <v>0</v>
      </c>
      <c r="CQ68" s="37">
        <v>-0.59630340921567793</v>
      </c>
      <c r="CR68" s="37">
        <v>0</v>
      </c>
      <c r="CS68" s="37">
        <v>0</v>
      </c>
      <c r="CT68" s="37">
        <v>-0.59630340921567793</v>
      </c>
      <c r="CU68" s="37">
        <v>0</v>
      </c>
      <c r="CV68" s="37">
        <v>9999</v>
      </c>
      <c r="CW68" s="127">
        <v>0</v>
      </c>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row>
    <row r="69" spans="1:131">
      <c r="A69" s="1" t="s">
        <v>722</v>
      </c>
      <c r="B69" s="1" t="s">
        <v>723</v>
      </c>
      <c r="C69" s="37">
        <v>12</v>
      </c>
      <c r="D69" s="37">
        <v>1.7075117255060097</v>
      </c>
      <c r="E69" s="37">
        <v>-1.9117010844204075E-2</v>
      </c>
      <c r="F69" s="37">
        <v>1.6801186467204023</v>
      </c>
      <c r="G69" s="37">
        <v>0</v>
      </c>
      <c r="H69" s="37">
        <v>-1.4586967903971628</v>
      </c>
      <c r="I69" s="37" t="s">
        <v>714</v>
      </c>
      <c r="J69" s="37"/>
      <c r="K69" s="37"/>
      <c r="L69" s="37">
        <v>1.835623194306955</v>
      </c>
      <c r="M69" s="37">
        <v>4.7955325150829165E-4</v>
      </c>
      <c r="N69" s="37">
        <v>4.760920511914808E-4</v>
      </c>
      <c r="O69" s="37">
        <v>-1.9308180993105942E-2</v>
      </c>
      <c r="P69" s="37">
        <v>0</v>
      </c>
      <c r="Q69" s="37">
        <v>0</v>
      </c>
      <c r="R69" s="37">
        <v>0.33503810202464007</v>
      </c>
      <c r="S69" s="37">
        <v>0.77422209477128801</v>
      </c>
      <c r="T69" s="37">
        <v>0</v>
      </c>
      <c r="U69" s="37">
        <v>1.3650646689814758</v>
      </c>
      <c r="V69" s="37" t="s">
        <v>356</v>
      </c>
      <c r="W69" s="37" t="s">
        <v>356</v>
      </c>
      <c r="X69" s="37" t="s">
        <v>356</v>
      </c>
      <c r="Y69" s="37" t="s">
        <v>356</v>
      </c>
      <c r="Z69" s="37">
        <v>0</v>
      </c>
      <c r="AA69" s="37">
        <v>0</v>
      </c>
      <c r="AB69" s="37">
        <v>0</v>
      </c>
      <c r="AC69" s="37">
        <v>0</v>
      </c>
      <c r="AD69" s="37">
        <v>0</v>
      </c>
      <c r="AE69" s="37">
        <v>0</v>
      </c>
      <c r="AF69" s="37">
        <v>0</v>
      </c>
      <c r="AG69" s="37">
        <v>-1.4586967903971628</v>
      </c>
      <c r="AH69" s="37">
        <v>0.33503810202464007</v>
      </c>
      <c r="AI69" s="37">
        <v>0.77422209477128801</v>
      </c>
      <c r="AJ69" s="37">
        <v>0</v>
      </c>
      <c r="AK69" s="37">
        <v>-9.3632121415686997E-2</v>
      </c>
      <c r="AL69" s="37">
        <v>1.0156280753802411</v>
      </c>
      <c r="AM69" s="37">
        <v>0.94813865448408019</v>
      </c>
      <c r="AN69" s="37">
        <v>0.1694494148824893</v>
      </c>
      <c r="AO69" s="37">
        <v>0</v>
      </c>
      <c r="AP69" s="37">
        <v>0</v>
      </c>
      <c r="AQ69" s="37">
        <v>1.1175880693665694</v>
      </c>
      <c r="AR69" s="37">
        <v>0.33503810202464007</v>
      </c>
      <c r="AS69" s="36">
        <v>3.3357043948523128</v>
      </c>
      <c r="AT69" s="37">
        <v>0.94813865448408019</v>
      </c>
      <c r="AU69" s="37">
        <v>0.20057763672405582</v>
      </c>
      <c r="AV69" s="37">
        <v>0</v>
      </c>
      <c r="AW69" s="37">
        <v>0</v>
      </c>
      <c r="AX69" s="37">
        <v>1.1487162912081361</v>
      </c>
      <c r="AY69" s="37">
        <v>0.77422209477128801</v>
      </c>
      <c r="AZ69" s="36">
        <v>1.4837038350700609</v>
      </c>
      <c r="BA69" s="37">
        <v>0.94813865448408019</v>
      </c>
      <c r="BB69" s="37">
        <v>0.37002705160654514</v>
      </c>
      <c r="BC69" s="37">
        <v>0</v>
      </c>
      <c r="BD69" s="37">
        <v>0</v>
      </c>
      <c r="BE69" s="37">
        <v>1.3181657060906253</v>
      </c>
      <c r="BF69" s="37">
        <v>1.1092601967959281</v>
      </c>
      <c r="BG69" s="37">
        <v>29.632480616213208</v>
      </c>
      <c r="BH69" s="36">
        <v>1.1883286805910063</v>
      </c>
      <c r="BI69" s="37">
        <v>13.430147347349488</v>
      </c>
      <c r="BJ69" s="37">
        <v>31.035027805844219</v>
      </c>
      <c r="BK69" s="37">
        <v>0</v>
      </c>
      <c r="BL69" s="37">
        <v>-3.7532841174139433</v>
      </c>
      <c r="BM69" s="37">
        <v>40.711891035779765</v>
      </c>
      <c r="BN69" s="37">
        <v>0.94813865448408019</v>
      </c>
      <c r="BO69" s="37">
        <v>-0.14982508312419782</v>
      </c>
      <c r="BP69" s="37">
        <v>0.37002705160654514</v>
      </c>
      <c r="BQ69" s="37">
        <v>0</v>
      </c>
      <c r="BR69" s="37">
        <v>0</v>
      </c>
      <c r="BS69" s="37">
        <v>0</v>
      </c>
      <c r="BT69" s="37">
        <v>0</v>
      </c>
      <c r="BU69" s="37">
        <v>0</v>
      </c>
      <c r="BV69" s="37">
        <v>0</v>
      </c>
      <c r="BW69" s="37">
        <v>0</v>
      </c>
      <c r="BX69" s="37">
        <v>2.4743248657774037</v>
      </c>
      <c r="BY69" s="37"/>
      <c r="BZ69" s="37">
        <v>0</v>
      </c>
      <c r="CA69" s="37">
        <v>-1.4586967903971628</v>
      </c>
      <c r="CB69" s="37">
        <v>1.1683406229664273</v>
      </c>
      <c r="CC69" s="37">
        <v>1.0156280753802409</v>
      </c>
      <c r="CD69" s="36">
        <v>1.0581950538497651</v>
      </c>
      <c r="CE69" s="37">
        <v>31.884999810504031</v>
      </c>
      <c r="CF69" s="37">
        <v>1.743855240738388E-2</v>
      </c>
      <c r="CG69" s="37">
        <v>-2.2590571761933955E-3</v>
      </c>
      <c r="CH69" s="37">
        <v>1.5179495231190485E-2</v>
      </c>
      <c r="CI69" s="37">
        <v>8.7192101729580325E-4</v>
      </c>
      <c r="CJ69" s="37">
        <v>-1.1295285880966975E-4</v>
      </c>
      <c r="CK69" s="37">
        <v>7.5896815848613345E-4</v>
      </c>
      <c r="CL69" s="37"/>
      <c r="CM69" s="37">
        <v>-1.9117010844204075E-2</v>
      </c>
      <c r="CN69" s="37" t="s">
        <v>715</v>
      </c>
      <c r="CO69" s="37">
        <v>0</v>
      </c>
      <c r="CP69" s="37">
        <v>0</v>
      </c>
      <c r="CQ69" s="37">
        <v>-0.14982508312419782</v>
      </c>
      <c r="CR69" s="37">
        <v>0</v>
      </c>
      <c r="CS69" s="37">
        <v>0</v>
      </c>
      <c r="CT69" s="37">
        <v>-0.14982508312419782</v>
      </c>
      <c r="CU69" s="37">
        <v>0</v>
      </c>
      <c r="CV69" s="37">
        <v>9999</v>
      </c>
      <c r="CW69" s="127">
        <v>0</v>
      </c>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row>
    <row r="70" spans="1:131">
      <c r="A70" s="1" t="s">
        <v>724</v>
      </c>
      <c r="B70" s="1" t="s">
        <v>725</v>
      </c>
      <c r="C70" s="37">
        <v>12</v>
      </c>
      <c r="D70" s="37">
        <v>6.6645406789152855</v>
      </c>
      <c r="E70" s="37">
        <v>-6.9090713017500235E-2</v>
      </c>
      <c r="F70" s="37">
        <v>4.4450856456309848</v>
      </c>
      <c r="G70" s="37">
        <v>0</v>
      </c>
      <c r="H70" s="37">
        <v>-1.0203517050715445</v>
      </c>
      <c r="I70" s="37" t="s">
        <v>714</v>
      </c>
      <c r="J70" s="37"/>
      <c r="K70" s="37"/>
      <c r="L70" s="37">
        <v>7.1645689261628798</v>
      </c>
      <c r="M70" s="37">
        <v>1.8717307205817217E-3</v>
      </c>
      <c r="N70" s="37">
        <v>1.8582214076061844E-3</v>
      </c>
      <c r="O70" s="37">
        <v>-6.9781620293900934E-2</v>
      </c>
      <c r="P70" s="37">
        <v>0</v>
      </c>
      <c r="Q70" s="37">
        <v>0</v>
      </c>
      <c r="R70" s="37">
        <v>0.88640945742507138</v>
      </c>
      <c r="S70" s="37">
        <v>2.0483574339919342</v>
      </c>
      <c r="T70" s="37">
        <v>0</v>
      </c>
      <c r="U70" s="37">
        <v>3.6115481351819976</v>
      </c>
      <c r="V70" s="37" t="s">
        <v>356</v>
      </c>
      <c r="W70" s="37" t="s">
        <v>356</v>
      </c>
      <c r="X70" s="37" t="s">
        <v>356</v>
      </c>
      <c r="Y70" s="37" t="s">
        <v>356</v>
      </c>
      <c r="Z70" s="37">
        <v>0</v>
      </c>
      <c r="AA70" s="37">
        <v>0</v>
      </c>
      <c r="AB70" s="37">
        <v>0</v>
      </c>
      <c r="AC70" s="37">
        <v>0</v>
      </c>
      <c r="AD70" s="37">
        <v>0</v>
      </c>
      <c r="AE70" s="37">
        <v>0</v>
      </c>
      <c r="AF70" s="37">
        <v>0</v>
      </c>
      <c r="AG70" s="37">
        <v>-1.0203517050715445</v>
      </c>
      <c r="AH70" s="37">
        <v>0.88640945742507138</v>
      </c>
      <c r="AI70" s="37">
        <v>2.0483574339919342</v>
      </c>
      <c r="AJ70" s="37">
        <v>0</v>
      </c>
      <c r="AK70" s="37">
        <v>2.5911964301104531</v>
      </c>
      <c r="AL70" s="37">
        <v>5.5259633215274588</v>
      </c>
      <c r="AM70" s="37">
        <v>3.7006531420383575</v>
      </c>
      <c r="AN70" s="37">
        <v>0.66137321438778518</v>
      </c>
      <c r="AO70" s="37">
        <v>0</v>
      </c>
      <c r="AP70" s="37">
        <v>0</v>
      </c>
      <c r="AQ70" s="37">
        <v>4.362026356426143</v>
      </c>
      <c r="AR70" s="37">
        <v>0.88640945742507138</v>
      </c>
      <c r="AS70" s="36">
        <v>4.9210061105365259</v>
      </c>
      <c r="AT70" s="37">
        <v>3.7006531420383575</v>
      </c>
      <c r="AU70" s="37">
        <v>0.7828688958677712</v>
      </c>
      <c r="AV70" s="37">
        <v>0</v>
      </c>
      <c r="AW70" s="37">
        <v>0</v>
      </c>
      <c r="AX70" s="37">
        <v>4.4835220379061287</v>
      </c>
      <c r="AY70" s="37">
        <v>2.0483574339919342</v>
      </c>
      <c r="AZ70" s="36">
        <v>2.1888377309073603</v>
      </c>
      <c r="BA70" s="37">
        <v>3.7006531420383575</v>
      </c>
      <c r="BB70" s="37">
        <v>1.4442421102555563</v>
      </c>
      <c r="BC70" s="37">
        <v>0</v>
      </c>
      <c r="BD70" s="37">
        <v>0</v>
      </c>
      <c r="BE70" s="37">
        <v>5.1448952522939138</v>
      </c>
      <c r="BF70" s="37">
        <v>2.9347668914170058</v>
      </c>
      <c r="BG70" s="37">
        <v>15.308028080454893</v>
      </c>
      <c r="BH70" s="36">
        <v>1.7530848079759351</v>
      </c>
      <c r="BI70" s="37">
        <v>9.1036264787696961</v>
      </c>
      <c r="BJ70" s="37">
        <v>21.037096138665692</v>
      </c>
      <c r="BK70" s="37">
        <v>0</v>
      </c>
      <c r="BL70" s="37">
        <v>26.612175936582947</v>
      </c>
      <c r="BM70" s="37">
        <v>56.752898554018337</v>
      </c>
      <c r="BN70" s="37">
        <v>3.7006531420383575</v>
      </c>
      <c r="BO70" s="37">
        <v>-0.54148223827029218</v>
      </c>
      <c r="BP70" s="37">
        <v>1.4442421102555563</v>
      </c>
      <c r="BQ70" s="37">
        <v>0</v>
      </c>
      <c r="BR70" s="37">
        <v>0</v>
      </c>
      <c r="BS70" s="37">
        <v>0</v>
      </c>
      <c r="BT70" s="37">
        <v>0</v>
      </c>
      <c r="BU70" s="37">
        <v>0</v>
      </c>
      <c r="BV70" s="37">
        <v>0</v>
      </c>
      <c r="BW70" s="37">
        <v>0</v>
      </c>
      <c r="BX70" s="37">
        <v>6.5463150265990038</v>
      </c>
      <c r="BY70" s="37"/>
      <c r="BZ70" s="37">
        <v>0</v>
      </c>
      <c r="CA70" s="37">
        <v>-1.0203517050715445</v>
      </c>
      <c r="CB70" s="37">
        <v>4.6034130140236211</v>
      </c>
      <c r="CC70" s="37">
        <v>5.5259633215274597</v>
      </c>
      <c r="CD70" s="127">
        <v>0.86983963098430261</v>
      </c>
      <c r="CE70" s="37">
        <v>47.481349603661513</v>
      </c>
      <c r="CF70" s="37">
        <v>6.8063920243923853E-2</v>
      </c>
      <c r="CG70" s="37">
        <v>-8.1644495743864089E-3</v>
      </c>
      <c r="CH70" s="37">
        <v>5.9899470669537443E-2</v>
      </c>
      <c r="CI70" s="37">
        <v>3.4031702399273671E-3</v>
      </c>
      <c r="CJ70" s="37">
        <v>-4.0822247871932039E-4</v>
      </c>
      <c r="CK70" s="37">
        <v>2.9949477612080467E-3</v>
      </c>
      <c r="CL70" s="37"/>
      <c r="CM70" s="37">
        <v>-6.9090713017500235E-2</v>
      </c>
      <c r="CN70" s="37" t="s">
        <v>715</v>
      </c>
      <c r="CO70" s="37">
        <v>0</v>
      </c>
      <c r="CP70" s="37">
        <v>0</v>
      </c>
      <c r="CQ70" s="37">
        <v>-0.54148223827029218</v>
      </c>
      <c r="CR70" s="37">
        <v>0</v>
      </c>
      <c r="CS70" s="37">
        <v>0</v>
      </c>
      <c r="CT70" s="37">
        <v>-0.54148223827029218</v>
      </c>
      <c r="CU70" s="37">
        <v>0</v>
      </c>
      <c r="CV70" s="37">
        <v>9999</v>
      </c>
      <c r="CW70" s="127">
        <v>0</v>
      </c>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row>
    <row r="71" spans="1:131">
      <c r="A71" s="1" t="s">
        <v>726</v>
      </c>
      <c r="B71" s="1" t="s">
        <v>727</v>
      </c>
      <c r="C71" s="37">
        <v>12</v>
      </c>
      <c r="D71" s="37">
        <v>12.452392196501037</v>
      </c>
      <c r="E71" s="37">
        <v>-0.11684398032505157</v>
      </c>
      <c r="F71" s="37">
        <v>11.796274117985698</v>
      </c>
      <c r="G71" s="37">
        <v>0</v>
      </c>
      <c r="H71" s="37">
        <v>-1.3818165049052982</v>
      </c>
      <c r="I71" s="37" t="s">
        <v>714</v>
      </c>
      <c r="J71" s="37"/>
      <c r="K71" s="37"/>
      <c r="L71" s="37">
        <v>13.386672313322151</v>
      </c>
      <c r="M71" s="37">
        <v>3.4972440175301935E-3</v>
      </c>
      <c r="N71" s="37">
        <v>3.4720024785282813E-3</v>
      </c>
      <c r="O71" s="37">
        <v>-0.11801242037559426</v>
      </c>
      <c r="P71" s="37">
        <v>0</v>
      </c>
      <c r="Q71" s="37">
        <v>0</v>
      </c>
      <c r="R71" s="37">
        <v>2.3523346396797775</v>
      </c>
      <c r="S71" s="37">
        <v>5.4358875642209785</v>
      </c>
      <c r="T71" s="37">
        <v>0</v>
      </c>
      <c r="U71" s="37">
        <v>9.584249931107772</v>
      </c>
      <c r="V71" s="37" t="s">
        <v>356</v>
      </c>
      <c r="W71" s="37" t="s">
        <v>356</v>
      </c>
      <c r="X71" s="37" t="s">
        <v>356</v>
      </c>
      <c r="Y71" s="37" t="s">
        <v>356</v>
      </c>
      <c r="Z71" s="37">
        <v>0</v>
      </c>
      <c r="AA71" s="37">
        <v>0</v>
      </c>
      <c r="AB71" s="37">
        <v>0</v>
      </c>
      <c r="AC71" s="37">
        <v>0</v>
      </c>
      <c r="AD71" s="37">
        <v>0</v>
      </c>
      <c r="AE71" s="37">
        <v>0</v>
      </c>
      <c r="AF71" s="37">
        <v>0</v>
      </c>
      <c r="AG71" s="37">
        <v>-1.3818165049052982</v>
      </c>
      <c r="AH71" s="37">
        <v>2.3523346396797775</v>
      </c>
      <c r="AI71" s="37">
        <v>5.4358875642209785</v>
      </c>
      <c r="AJ71" s="37">
        <v>0</v>
      </c>
      <c r="AK71" s="37">
        <v>8.2024334262024734</v>
      </c>
      <c r="AL71" s="37">
        <v>15.99065563010323</v>
      </c>
      <c r="AM71" s="37">
        <v>6.9145026683783097</v>
      </c>
      <c r="AN71" s="37">
        <v>1.2357458751617516</v>
      </c>
      <c r="AO71" s="37">
        <v>0</v>
      </c>
      <c r="AP71" s="37">
        <v>0</v>
      </c>
      <c r="AQ71" s="37">
        <v>8.1502485435400622</v>
      </c>
      <c r="AR71" s="37">
        <v>2.3523346396797775</v>
      </c>
      <c r="AS71" s="36">
        <v>3.4647487674838442</v>
      </c>
      <c r="AT71" s="37">
        <v>6.9145026683783097</v>
      </c>
      <c r="AU71" s="37">
        <v>1.4627550493658157</v>
      </c>
      <c r="AV71" s="37">
        <v>0</v>
      </c>
      <c r="AW71" s="37">
        <v>0</v>
      </c>
      <c r="AX71" s="37">
        <v>8.3772577177441256</v>
      </c>
      <c r="AY71" s="37">
        <v>5.4358875642209785</v>
      </c>
      <c r="AZ71" s="36">
        <v>1.5411020957981638</v>
      </c>
      <c r="BA71" s="37">
        <v>6.9145026683783097</v>
      </c>
      <c r="BB71" s="37">
        <v>2.6985009245275675</v>
      </c>
      <c r="BC71" s="37">
        <v>0</v>
      </c>
      <c r="BD71" s="37">
        <v>0</v>
      </c>
      <c r="BE71" s="37">
        <v>9.6130035929058764</v>
      </c>
      <c r="BF71" s="37">
        <v>7.788222203900756</v>
      </c>
      <c r="BG71" s="37">
        <v>27.976377672921885</v>
      </c>
      <c r="BH71" s="36">
        <v>1.2343001189785228</v>
      </c>
      <c r="BI71" s="37">
        <v>12.929942266088625</v>
      </c>
      <c r="BJ71" s="37">
        <v>29.879129943813755</v>
      </c>
      <c r="BK71" s="37">
        <v>0</v>
      </c>
      <c r="BL71" s="37">
        <v>45.085843167565223</v>
      </c>
      <c r="BM71" s="37">
        <v>87.894915377467612</v>
      </c>
      <c r="BN71" s="37">
        <v>6.9145026683783097</v>
      </c>
      <c r="BO71" s="37">
        <v>-0.91573725659472205</v>
      </c>
      <c r="BP71" s="37">
        <v>2.6985009245275675</v>
      </c>
      <c r="BQ71" s="37">
        <v>0</v>
      </c>
      <c r="BR71" s="37">
        <v>0</v>
      </c>
      <c r="BS71" s="37">
        <v>0</v>
      </c>
      <c r="BT71" s="37">
        <v>0</v>
      </c>
      <c r="BU71" s="37">
        <v>0</v>
      </c>
      <c r="BV71" s="37">
        <v>0</v>
      </c>
      <c r="BW71" s="37">
        <v>0</v>
      </c>
      <c r="BX71" s="37">
        <v>17.372472135008529</v>
      </c>
      <c r="BY71" s="37"/>
      <c r="BZ71" s="37">
        <v>0</v>
      </c>
      <c r="CA71" s="37">
        <v>-1.3818165049052982</v>
      </c>
      <c r="CB71" s="37">
        <v>8.6972663363111558</v>
      </c>
      <c r="CC71" s="37">
        <v>15.99065563010323</v>
      </c>
      <c r="CD71" s="127">
        <v>0.60119719007915995</v>
      </c>
      <c r="CE71" s="37">
        <v>78.095701051571353</v>
      </c>
      <c r="CF71" s="37">
        <v>0.12717435006288438</v>
      </c>
      <c r="CG71" s="37">
        <v>-1.3807453183944534E-2</v>
      </c>
      <c r="CH71" s="37">
        <v>0.11336689687893985</v>
      </c>
      <c r="CI71" s="37">
        <v>6.3586693488280194E-3</v>
      </c>
      <c r="CJ71" s="37">
        <v>-6.9037265919722618E-4</v>
      </c>
      <c r="CK71" s="37">
        <v>5.6682966896307932E-3</v>
      </c>
      <c r="CL71" s="37"/>
      <c r="CM71" s="37">
        <v>-0.11684398032505157</v>
      </c>
      <c r="CN71" s="37" t="s">
        <v>715</v>
      </c>
      <c r="CO71" s="37">
        <v>0</v>
      </c>
      <c r="CP71" s="37">
        <v>0</v>
      </c>
      <c r="CQ71" s="37">
        <v>-0.91573725659472205</v>
      </c>
      <c r="CR71" s="37">
        <v>0</v>
      </c>
      <c r="CS71" s="37">
        <v>0</v>
      </c>
      <c r="CT71" s="37">
        <v>-0.91573725659472205</v>
      </c>
      <c r="CU71" s="37">
        <v>0</v>
      </c>
      <c r="CV71" s="37">
        <v>9999</v>
      </c>
      <c r="CW71" s="127">
        <v>0</v>
      </c>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row>
    <row r="72" spans="1:131">
      <c r="A72" s="1" t="s">
        <v>728</v>
      </c>
      <c r="B72" s="1" t="s">
        <v>729</v>
      </c>
      <c r="C72" s="37">
        <v>12</v>
      </c>
      <c r="D72" s="37">
        <v>13.334064606338242</v>
      </c>
      <c r="E72" s="37">
        <v>-0.16529593904180123</v>
      </c>
      <c r="F72" s="37">
        <v>2.630319143195023</v>
      </c>
      <c r="G72" s="37">
        <v>0</v>
      </c>
      <c r="H72" s="37">
        <v>-10.091001479698518</v>
      </c>
      <c r="I72" s="37" t="s">
        <v>714</v>
      </c>
      <c r="J72" s="37"/>
      <c r="K72" s="37"/>
      <c r="L72" s="37">
        <v>14.33449498481688</v>
      </c>
      <c r="M72" s="37">
        <v>3.7448609823725787E-3</v>
      </c>
      <c r="N72" s="37">
        <v>3.717832255160672E-3</v>
      </c>
      <c r="O72" s="37">
        <v>-0.16694889878205663</v>
      </c>
      <c r="P72" s="37">
        <v>0</v>
      </c>
      <c r="Q72" s="37">
        <v>0</v>
      </c>
      <c r="R72" s="37">
        <v>0.52452077427707555</v>
      </c>
      <c r="S72" s="37">
        <v>1.2120877301949062</v>
      </c>
      <c r="T72" s="37">
        <v>0</v>
      </c>
      <c r="U72" s="37">
        <v>2.1370846264517871</v>
      </c>
      <c r="V72" s="37" t="s">
        <v>356</v>
      </c>
      <c r="W72" s="37" t="s">
        <v>356</v>
      </c>
      <c r="X72" s="37" t="s">
        <v>356</v>
      </c>
      <c r="Y72" s="37" t="s">
        <v>356</v>
      </c>
      <c r="Z72" s="37">
        <v>0</v>
      </c>
      <c r="AA72" s="37">
        <v>0</v>
      </c>
      <c r="AB72" s="37">
        <v>0</v>
      </c>
      <c r="AC72" s="37">
        <v>0</v>
      </c>
      <c r="AD72" s="37">
        <v>0</v>
      </c>
      <c r="AE72" s="37">
        <v>0</v>
      </c>
      <c r="AF72" s="37">
        <v>0</v>
      </c>
      <c r="AG72" s="37">
        <v>-10.091001479698518</v>
      </c>
      <c r="AH72" s="37">
        <v>0.52452077427707555</v>
      </c>
      <c r="AI72" s="37">
        <v>1.2120877301949062</v>
      </c>
      <c r="AJ72" s="37">
        <v>0</v>
      </c>
      <c r="AK72" s="37">
        <v>-7.9539168532467306</v>
      </c>
      <c r="AL72" s="37">
        <v>-6.2173083487747487</v>
      </c>
      <c r="AM72" s="37">
        <v>7.4040733576285165</v>
      </c>
      <c r="AN72" s="37">
        <v>1.3232409545414698</v>
      </c>
      <c r="AO72" s="37">
        <v>0</v>
      </c>
      <c r="AP72" s="37">
        <v>0</v>
      </c>
      <c r="AQ72" s="37">
        <v>8.7273143121699857</v>
      </c>
      <c r="AR72" s="37">
        <v>0.52452077427707555</v>
      </c>
      <c r="AS72" s="36">
        <v>16.638643768110935</v>
      </c>
      <c r="AT72" s="37">
        <v>7.4040733576285165</v>
      </c>
      <c r="AU72" s="37">
        <v>1.5663231629479015</v>
      </c>
      <c r="AV72" s="37">
        <v>0</v>
      </c>
      <c r="AW72" s="37">
        <v>0</v>
      </c>
      <c r="AX72" s="37">
        <v>8.9703965205764185</v>
      </c>
      <c r="AY72" s="37">
        <v>1.2120877301949062</v>
      </c>
      <c r="AZ72" s="36">
        <v>7.4007815582243044</v>
      </c>
      <c r="BA72" s="37">
        <v>7.4040733576285165</v>
      </c>
      <c r="BB72" s="37">
        <v>2.8895641174893711</v>
      </c>
      <c r="BC72" s="37">
        <v>0</v>
      </c>
      <c r="BD72" s="37">
        <v>0</v>
      </c>
      <c r="BE72" s="37">
        <v>10.293637475117889</v>
      </c>
      <c r="BF72" s="37">
        <v>1.7366085044719819</v>
      </c>
      <c r="BG72" s="37">
        <v>-5.9183453722573205</v>
      </c>
      <c r="BH72" s="36">
        <v>5.9274369834136467</v>
      </c>
      <c r="BI72" s="37">
        <v>2.6924671358087546</v>
      </c>
      <c r="BJ72" s="37">
        <v>6.221882028914421</v>
      </c>
      <c r="BK72" s="37">
        <v>0</v>
      </c>
      <c r="BL72" s="37">
        <v>-40.82900197392275</v>
      </c>
      <c r="BM72" s="37">
        <v>-31.914652809199577</v>
      </c>
      <c r="BN72" s="37">
        <v>7.4040733576285165</v>
      </c>
      <c r="BO72" s="37">
        <v>-1.2954681047606689</v>
      </c>
      <c r="BP72" s="37">
        <v>2.8895641174893711</v>
      </c>
      <c r="BQ72" s="37">
        <v>0</v>
      </c>
      <c r="BR72" s="37">
        <v>0</v>
      </c>
      <c r="BS72" s="37">
        <v>0</v>
      </c>
      <c r="BT72" s="37">
        <v>0</v>
      </c>
      <c r="BU72" s="37">
        <v>0</v>
      </c>
      <c r="BV72" s="37">
        <v>0</v>
      </c>
      <c r="BW72" s="37">
        <v>0</v>
      </c>
      <c r="BX72" s="37">
        <v>3.873693130923769</v>
      </c>
      <c r="BY72" s="37"/>
      <c r="BZ72" s="37">
        <v>0</v>
      </c>
      <c r="CA72" s="37">
        <v>-10.091001479698518</v>
      </c>
      <c r="CB72" s="37">
        <v>8.9981693703572176</v>
      </c>
      <c r="CC72" s="37">
        <v>-6.2173083487747487</v>
      </c>
      <c r="CD72" s="36">
        <v>3.9435099865127961</v>
      </c>
      <c r="CE72" s="37">
        <v>-40.097457639973626</v>
      </c>
      <c r="CF72" s="37">
        <v>0.13617873363192509</v>
      </c>
      <c r="CG72" s="37">
        <v>-1.9533021157500632E-2</v>
      </c>
      <c r="CH72" s="37">
        <v>0.11664571247442446</v>
      </c>
      <c r="CI72" s="37">
        <v>6.8088851177880152E-3</v>
      </c>
      <c r="CJ72" s="37">
        <v>-9.7665105787503119E-4</v>
      </c>
      <c r="CK72" s="37">
        <v>5.8322340599129838E-3</v>
      </c>
      <c r="CL72" s="37"/>
      <c r="CM72" s="37">
        <v>-0.16529593904180123</v>
      </c>
      <c r="CN72" s="37" t="s">
        <v>715</v>
      </c>
      <c r="CO72" s="37">
        <v>0</v>
      </c>
      <c r="CP72" s="37">
        <v>0</v>
      </c>
      <c r="CQ72" s="37">
        <v>-1.2954681047606689</v>
      </c>
      <c r="CR72" s="37">
        <v>0</v>
      </c>
      <c r="CS72" s="37">
        <v>0</v>
      </c>
      <c r="CT72" s="37">
        <v>-1.2954681047606689</v>
      </c>
      <c r="CU72" s="37">
        <v>0</v>
      </c>
      <c r="CV72" s="37">
        <v>9999</v>
      </c>
      <c r="CW72" s="127">
        <v>0</v>
      </c>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row>
    <row r="73" spans="1:131">
      <c r="A73" s="1" t="s">
        <v>730</v>
      </c>
      <c r="B73" s="1" t="s">
        <v>731</v>
      </c>
      <c r="C73" s="37">
        <v>12</v>
      </c>
      <c r="D73" s="37">
        <v>9.183363083071896</v>
      </c>
      <c r="E73" s="37">
        <v>-0.11152174781632176</v>
      </c>
      <c r="F73" s="37">
        <v>2.4831274968904125</v>
      </c>
      <c r="G73" s="37">
        <v>0</v>
      </c>
      <c r="H73" s="37">
        <v>-15.783083430003369</v>
      </c>
      <c r="I73" s="37" t="s">
        <v>714</v>
      </c>
      <c r="J73" s="37"/>
      <c r="K73" s="37"/>
      <c r="L73" s="37">
        <v>9.8723739493112301</v>
      </c>
      <c r="M73" s="37">
        <v>2.5791399031027257E-3</v>
      </c>
      <c r="N73" s="37">
        <v>2.5605248278808565E-3</v>
      </c>
      <c r="O73" s="37">
        <v>-0.11263696553051303</v>
      </c>
      <c r="P73" s="37">
        <v>0</v>
      </c>
      <c r="Q73" s="37">
        <v>0</v>
      </c>
      <c r="R73" s="37">
        <v>0.49516879374400935</v>
      </c>
      <c r="S73" s="37">
        <v>1.1442597675940276</v>
      </c>
      <c r="T73" s="37">
        <v>0</v>
      </c>
      <c r="U73" s="37">
        <v>2.017494193757138</v>
      </c>
      <c r="V73" s="37" t="s">
        <v>356</v>
      </c>
      <c r="W73" s="37" t="s">
        <v>356</v>
      </c>
      <c r="X73" s="37" t="s">
        <v>356</v>
      </c>
      <c r="Y73" s="37" t="s">
        <v>356</v>
      </c>
      <c r="Z73" s="37">
        <v>0</v>
      </c>
      <c r="AA73" s="37">
        <v>0</v>
      </c>
      <c r="AB73" s="37">
        <v>0</v>
      </c>
      <c r="AC73" s="37">
        <v>0</v>
      </c>
      <c r="AD73" s="37">
        <v>0</v>
      </c>
      <c r="AE73" s="37">
        <v>0</v>
      </c>
      <c r="AF73" s="37">
        <v>0</v>
      </c>
      <c r="AG73" s="37">
        <v>-15.783083430003369</v>
      </c>
      <c r="AH73" s="37">
        <v>0.49516879374400935</v>
      </c>
      <c r="AI73" s="37">
        <v>1.1442597675940276</v>
      </c>
      <c r="AJ73" s="37">
        <v>0</v>
      </c>
      <c r="AK73" s="37">
        <v>-13.765589236246232</v>
      </c>
      <c r="AL73" s="37">
        <v>-12.126160674908194</v>
      </c>
      <c r="AM73" s="37">
        <v>5.0992923721459462</v>
      </c>
      <c r="AN73" s="37">
        <v>0.91133517728485391</v>
      </c>
      <c r="AO73" s="37">
        <v>0</v>
      </c>
      <c r="AP73" s="37">
        <v>0</v>
      </c>
      <c r="AQ73" s="37">
        <v>6.0106275494307999</v>
      </c>
      <c r="AR73" s="37">
        <v>0.49516879374400935</v>
      </c>
      <c r="AS73" s="36">
        <v>12.138542705779139</v>
      </c>
      <c r="AT73" s="37">
        <v>5.0992923721459462</v>
      </c>
      <c r="AU73" s="37">
        <v>1.0787494087840845</v>
      </c>
      <c r="AV73" s="37">
        <v>0</v>
      </c>
      <c r="AW73" s="37">
        <v>0</v>
      </c>
      <c r="AX73" s="37">
        <v>6.1780417809300303</v>
      </c>
      <c r="AY73" s="37">
        <v>1.1442597675940276</v>
      </c>
      <c r="AZ73" s="36">
        <v>5.3991601871315122</v>
      </c>
      <c r="BA73" s="37">
        <v>5.0992923721459462</v>
      </c>
      <c r="BB73" s="37">
        <v>1.9900845860689385</v>
      </c>
      <c r="BC73" s="37">
        <v>0</v>
      </c>
      <c r="BD73" s="37">
        <v>0</v>
      </c>
      <c r="BE73" s="37">
        <v>7.089376958214884</v>
      </c>
      <c r="BF73" s="37">
        <v>1.639428561338037</v>
      </c>
      <c r="BG73" s="37">
        <v>-2.6135440366679759</v>
      </c>
      <c r="BH73" s="36">
        <v>4.3242975786812048</v>
      </c>
      <c r="BI73" s="37">
        <v>3.6906408467582419</v>
      </c>
      <c r="BJ73" s="37">
        <v>8.5285096535542788</v>
      </c>
      <c r="BK73" s="37">
        <v>0</v>
      </c>
      <c r="BL73" s="37">
        <v>-102.59904613708417</v>
      </c>
      <c r="BM73" s="37">
        <v>-90.37989563677165</v>
      </c>
      <c r="BN73" s="37">
        <v>5.0992923721459462</v>
      </c>
      <c r="BO73" s="37">
        <v>-0.87402550916070743</v>
      </c>
      <c r="BP73" s="37">
        <v>1.9900845860689385</v>
      </c>
      <c r="BQ73" s="37">
        <v>0</v>
      </c>
      <c r="BR73" s="37">
        <v>0</v>
      </c>
      <c r="BS73" s="37">
        <v>0</v>
      </c>
      <c r="BT73" s="37">
        <v>0</v>
      </c>
      <c r="BU73" s="37">
        <v>0</v>
      </c>
      <c r="BV73" s="37">
        <v>0</v>
      </c>
      <c r="BW73" s="37">
        <v>0</v>
      </c>
      <c r="BX73" s="37">
        <v>3.6569227550951751</v>
      </c>
      <c r="BY73" s="37"/>
      <c r="BZ73" s="37">
        <v>0</v>
      </c>
      <c r="CA73" s="37">
        <v>-15.783083430003369</v>
      </c>
      <c r="CB73" s="37">
        <v>6.215351449054177</v>
      </c>
      <c r="CC73" s="37">
        <v>-12.126160674908194</v>
      </c>
      <c r="CD73" s="36">
        <v>5.048051545557561</v>
      </c>
      <c r="CE73" s="37">
        <v>-98.698217123650778</v>
      </c>
      <c r="CF73" s="37">
        <v>9.3788262773262035E-2</v>
      </c>
      <c r="CG73" s="37">
        <v>-1.3178524967070022E-2</v>
      </c>
      <c r="CH73" s="37">
        <v>8.0609737806192017E-2</v>
      </c>
      <c r="CI73" s="37">
        <v>4.6893776259228333E-3</v>
      </c>
      <c r="CJ73" s="37">
        <v>-6.5892624835350128E-4</v>
      </c>
      <c r="CK73" s="37">
        <v>4.0304513775693317E-3</v>
      </c>
      <c r="CL73" s="37"/>
      <c r="CM73" s="37">
        <v>-0.11152174781632176</v>
      </c>
      <c r="CN73" s="37" t="s">
        <v>715</v>
      </c>
      <c r="CO73" s="37">
        <v>0</v>
      </c>
      <c r="CP73" s="37">
        <v>0</v>
      </c>
      <c r="CQ73" s="37">
        <v>-0.87402550916070743</v>
      </c>
      <c r="CR73" s="37">
        <v>0</v>
      </c>
      <c r="CS73" s="37">
        <v>0</v>
      </c>
      <c r="CT73" s="37">
        <v>-0.87402550916070743</v>
      </c>
      <c r="CU73" s="37">
        <v>0</v>
      </c>
      <c r="CV73" s="37">
        <v>9999</v>
      </c>
      <c r="CW73" s="127">
        <v>0</v>
      </c>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row>
    <row r="74" spans="1:131">
      <c r="A74" s="1" t="s">
        <v>732</v>
      </c>
      <c r="B74" s="1" t="s">
        <v>733</v>
      </c>
      <c r="C74" s="37">
        <v>12</v>
      </c>
      <c r="D74" s="37">
        <v>9.9357360612556658</v>
      </c>
      <c r="E74" s="37">
        <v>-0.10165155836876927</v>
      </c>
      <c r="F74" s="37">
        <v>9.6685045482595466</v>
      </c>
      <c r="G74" s="37">
        <v>0</v>
      </c>
      <c r="H74" s="37">
        <v>-29.31455908553146</v>
      </c>
      <c r="I74" s="37" t="s">
        <v>714</v>
      </c>
      <c r="J74" s="37"/>
      <c r="K74" s="37"/>
      <c r="L74" s="37">
        <v>10.681196090262945</v>
      </c>
      <c r="M74" s="37">
        <v>2.7904432298357131E-3</v>
      </c>
      <c r="N74" s="37">
        <v>2.7703030619591054E-3</v>
      </c>
      <c r="O74" s="37">
        <v>-0.10266807416759544</v>
      </c>
      <c r="P74" s="37">
        <v>0</v>
      </c>
      <c r="Q74" s="37">
        <v>0</v>
      </c>
      <c r="R74" s="37">
        <v>1.9280289636619639</v>
      </c>
      <c r="S74" s="37">
        <v>4.455381683472825</v>
      </c>
      <c r="T74" s="37">
        <v>0</v>
      </c>
      <c r="U74" s="37">
        <v>7.8554773417214427</v>
      </c>
      <c r="V74" s="37" t="s">
        <v>356</v>
      </c>
      <c r="W74" s="37" t="s">
        <v>356</v>
      </c>
      <c r="X74" s="37" t="s">
        <v>356</v>
      </c>
      <c r="Y74" s="37" t="s">
        <v>356</v>
      </c>
      <c r="Z74" s="37">
        <v>0</v>
      </c>
      <c r="AA74" s="37">
        <v>0</v>
      </c>
      <c r="AB74" s="37">
        <v>0</v>
      </c>
      <c r="AC74" s="37">
        <v>0</v>
      </c>
      <c r="AD74" s="37">
        <v>0</v>
      </c>
      <c r="AE74" s="37">
        <v>0</v>
      </c>
      <c r="AF74" s="37">
        <v>0</v>
      </c>
      <c r="AG74" s="37">
        <v>-29.31455908553146</v>
      </c>
      <c r="AH74" s="37">
        <v>1.9280289636619639</v>
      </c>
      <c r="AI74" s="37">
        <v>4.455381683472825</v>
      </c>
      <c r="AJ74" s="37">
        <v>0</v>
      </c>
      <c r="AK74" s="37">
        <v>-21.459081743810017</v>
      </c>
      <c r="AL74" s="37">
        <v>-15.075671096675229</v>
      </c>
      <c r="AM74" s="37">
        <v>5.5170663133432987</v>
      </c>
      <c r="AN74" s="37">
        <v>0.98599888765489807</v>
      </c>
      <c r="AO74" s="37">
        <v>0</v>
      </c>
      <c r="AP74" s="37">
        <v>0</v>
      </c>
      <c r="AQ74" s="37">
        <v>6.5030652009981971</v>
      </c>
      <c r="AR74" s="37">
        <v>1.9280289636619639</v>
      </c>
      <c r="AS74" s="36">
        <v>3.3729084591378378</v>
      </c>
      <c r="AT74" s="37">
        <v>5.5170663133432987</v>
      </c>
      <c r="AU74" s="37">
        <v>1.1671290032811117</v>
      </c>
      <c r="AV74" s="37">
        <v>0</v>
      </c>
      <c r="AW74" s="37">
        <v>0</v>
      </c>
      <c r="AX74" s="37">
        <v>6.6841953166244101</v>
      </c>
      <c r="AY74" s="37">
        <v>4.455381683472825</v>
      </c>
      <c r="AZ74" s="36">
        <v>1.5002520079075015</v>
      </c>
      <c r="BA74" s="37">
        <v>5.5170663133432987</v>
      </c>
      <c r="BB74" s="37">
        <v>2.1531278909360099</v>
      </c>
      <c r="BC74" s="37">
        <v>0</v>
      </c>
      <c r="BD74" s="37">
        <v>0</v>
      </c>
      <c r="BE74" s="37">
        <v>7.6701942042793085</v>
      </c>
      <c r="BF74" s="37">
        <v>6.3834106471347889</v>
      </c>
      <c r="BG74" s="37">
        <v>29.142018080716618</v>
      </c>
      <c r="BH74" s="36">
        <v>1.2015824499277821</v>
      </c>
      <c r="BI74" s="37">
        <v>13.282009302297828</v>
      </c>
      <c r="BJ74" s="37">
        <v>30.692703315399292</v>
      </c>
      <c r="BK74" s="37">
        <v>0</v>
      </c>
      <c r="BL74" s="37">
        <v>-147.82958592007225</v>
      </c>
      <c r="BM74" s="37">
        <v>-103.85487330237514</v>
      </c>
      <c r="BN74" s="37">
        <v>5.5170663133432987</v>
      </c>
      <c r="BO74" s="37">
        <v>-0.79667021724384979</v>
      </c>
      <c r="BP74" s="37">
        <v>2.1531278909360099</v>
      </c>
      <c r="BQ74" s="37">
        <v>0</v>
      </c>
      <c r="BR74" s="37">
        <v>0</v>
      </c>
      <c r="BS74" s="37">
        <v>0</v>
      </c>
      <c r="BT74" s="37">
        <v>0</v>
      </c>
      <c r="BU74" s="37">
        <v>0</v>
      </c>
      <c r="BV74" s="37">
        <v>0</v>
      </c>
      <c r="BW74" s="37">
        <v>0</v>
      </c>
      <c r="BX74" s="37">
        <v>14.238887988856231</v>
      </c>
      <c r="BY74" s="37"/>
      <c r="BZ74" s="37">
        <v>0</v>
      </c>
      <c r="CA74" s="37">
        <v>-29.31455908553146</v>
      </c>
      <c r="CB74" s="37">
        <v>6.8735239870354583</v>
      </c>
      <c r="CC74" s="37">
        <v>-15.075671096675229</v>
      </c>
      <c r="CD74" s="36">
        <v>2.4598191023467071</v>
      </c>
      <c r="CE74" s="37">
        <v>-113.1993820103425</v>
      </c>
      <c r="CF74" s="37">
        <v>0.10147213130193578</v>
      </c>
      <c r="CG74" s="37">
        <v>-1.2012164677608695E-2</v>
      </c>
      <c r="CH74" s="37">
        <v>8.9459966624327078E-2</v>
      </c>
      <c r="CI74" s="37">
        <v>5.0735681428748982E-3</v>
      </c>
      <c r="CJ74" s="37">
        <v>-6.0060823388043323E-4</v>
      </c>
      <c r="CK74" s="37">
        <v>4.4729599089944651E-3</v>
      </c>
      <c r="CL74" s="37"/>
      <c r="CM74" s="37">
        <v>-0.10165155836876927</v>
      </c>
      <c r="CN74" s="37" t="s">
        <v>715</v>
      </c>
      <c r="CO74" s="37">
        <v>0</v>
      </c>
      <c r="CP74" s="37">
        <v>0</v>
      </c>
      <c r="CQ74" s="37">
        <v>-0.79667021724384979</v>
      </c>
      <c r="CR74" s="37">
        <v>0</v>
      </c>
      <c r="CS74" s="37">
        <v>0</v>
      </c>
      <c r="CT74" s="37">
        <v>-0.79667021724384979</v>
      </c>
      <c r="CU74" s="37">
        <v>0</v>
      </c>
      <c r="CV74" s="37">
        <v>9999</v>
      </c>
      <c r="CW74" s="127">
        <v>0</v>
      </c>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row>
    <row r="75" spans="1:131">
      <c r="A75" s="1" t="s">
        <v>734</v>
      </c>
      <c r="B75" s="1" t="s">
        <v>735</v>
      </c>
      <c r="C75" s="37">
        <v>12</v>
      </c>
      <c r="D75" s="37">
        <v>18.952796866034859</v>
      </c>
      <c r="E75" s="37">
        <v>-0.22133944878776596</v>
      </c>
      <c r="F75" s="37">
        <v>9.8657888350636807</v>
      </c>
      <c r="G75" s="37">
        <v>0</v>
      </c>
      <c r="H75" s="37">
        <v>-24.756973476248003</v>
      </c>
      <c r="I75" s="37" t="s">
        <v>714</v>
      </c>
      <c r="J75" s="37"/>
      <c r="K75" s="37"/>
      <c r="L75" s="37">
        <v>20.374790406766845</v>
      </c>
      <c r="M75" s="37">
        <v>5.3228772760490119E-3</v>
      </c>
      <c r="N75" s="37">
        <v>5.2844591348806215E-3</v>
      </c>
      <c r="O75" s="37">
        <v>-0.2235528437440932</v>
      </c>
      <c r="P75" s="37">
        <v>0</v>
      </c>
      <c r="Q75" s="37">
        <v>0</v>
      </c>
      <c r="R75" s="37">
        <v>1.9673700858732819</v>
      </c>
      <c r="S75" s="37">
        <v>4.5462930331522715</v>
      </c>
      <c r="T75" s="37">
        <v>0</v>
      </c>
      <c r="U75" s="37">
        <v>8.0157670987497429</v>
      </c>
      <c r="V75" s="37" t="s">
        <v>356</v>
      </c>
      <c r="W75" s="37" t="s">
        <v>356</v>
      </c>
      <c r="X75" s="37" t="s">
        <v>356</v>
      </c>
      <c r="Y75" s="37" t="s">
        <v>356</v>
      </c>
      <c r="Z75" s="37">
        <v>0</v>
      </c>
      <c r="AA75" s="37">
        <v>0</v>
      </c>
      <c r="AB75" s="37">
        <v>0</v>
      </c>
      <c r="AC75" s="37">
        <v>0</v>
      </c>
      <c r="AD75" s="37">
        <v>0</v>
      </c>
      <c r="AE75" s="37">
        <v>0</v>
      </c>
      <c r="AF75" s="37">
        <v>0</v>
      </c>
      <c r="AG75" s="37">
        <v>-24.756973476248003</v>
      </c>
      <c r="AH75" s="37">
        <v>1.9673700858732819</v>
      </c>
      <c r="AI75" s="37">
        <v>4.5462930331522715</v>
      </c>
      <c r="AJ75" s="37">
        <v>0</v>
      </c>
      <c r="AK75" s="37">
        <v>-16.741206377498258</v>
      </c>
      <c r="AL75" s="37">
        <v>-10.227543258472707</v>
      </c>
      <c r="AM75" s="37">
        <v>10.524015180011206</v>
      </c>
      <c r="AN75" s="37">
        <v>1.8808306211686869</v>
      </c>
      <c r="AO75" s="37">
        <v>0</v>
      </c>
      <c r="AP75" s="37">
        <v>0</v>
      </c>
      <c r="AQ75" s="37">
        <v>12.404845801179894</v>
      </c>
      <c r="AR75" s="37">
        <v>1.9673700858732819</v>
      </c>
      <c r="AS75" s="36">
        <v>6.3052934932034379</v>
      </c>
      <c r="AT75" s="37">
        <v>10.524015180011206</v>
      </c>
      <c r="AU75" s="37">
        <v>2.2263432501898706</v>
      </c>
      <c r="AV75" s="37">
        <v>0</v>
      </c>
      <c r="AW75" s="37">
        <v>0</v>
      </c>
      <c r="AX75" s="37">
        <v>12.750358430201077</v>
      </c>
      <c r="AY75" s="37">
        <v>4.5462930331522715</v>
      </c>
      <c r="AZ75" s="36">
        <v>2.8045615047739978</v>
      </c>
      <c r="BA75" s="37">
        <v>10.524015180011206</v>
      </c>
      <c r="BB75" s="37">
        <v>4.1071738713585573</v>
      </c>
      <c r="BC75" s="37">
        <v>0</v>
      </c>
      <c r="BD75" s="37">
        <v>0</v>
      </c>
      <c r="BE75" s="37">
        <v>14.631189051369764</v>
      </c>
      <c r="BF75" s="37">
        <v>6.5136631190255532</v>
      </c>
      <c r="BG75" s="37">
        <v>8.6908227007603092</v>
      </c>
      <c r="BH75" s="36">
        <v>2.2462305440135499</v>
      </c>
      <c r="BI75" s="37">
        <v>7.1049827543090984</v>
      </c>
      <c r="BJ75" s="37">
        <v>16.418534483431714</v>
      </c>
      <c r="BK75" s="37">
        <v>0</v>
      </c>
      <c r="BL75" s="37">
        <v>-60.459383545855104</v>
      </c>
      <c r="BM75" s="37">
        <v>-36.935866308114292</v>
      </c>
      <c r="BN75" s="37">
        <v>10.524015180011206</v>
      </c>
      <c r="BO75" s="37">
        <v>-1.7346959513466675</v>
      </c>
      <c r="BP75" s="37">
        <v>4.1071738713585573</v>
      </c>
      <c r="BQ75" s="37">
        <v>0</v>
      </c>
      <c r="BR75" s="37">
        <v>0</v>
      </c>
      <c r="BS75" s="37">
        <v>0</v>
      </c>
      <c r="BT75" s="37">
        <v>0</v>
      </c>
      <c r="BU75" s="37">
        <v>0</v>
      </c>
      <c r="BV75" s="37">
        <v>0</v>
      </c>
      <c r="BW75" s="37">
        <v>0</v>
      </c>
      <c r="BX75" s="37">
        <v>14.529430217775296</v>
      </c>
      <c r="BY75" s="37"/>
      <c r="BZ75" s="37">
        <v>0</v>
      </c>
      <c r="CA75" s="37">
        <v>-24.756973476248003</v>
      </c>
      <c r="CB75" s="37">
        <v>12.896493100023097</v>
      </c>
      <c r="CC75" s="37">
        <v>-10.227543258472707</v>
      </c>
      <c r="CD75" s="36">
        <v>2.4217816634008673</v>
      </c>
      <c r="CE75" s="37">
        <v>-45.503860112483501</v>
      </c>
      <c r="CF75" s="37">
        <v>0.19356197470146552</v>
      </c>
      <c r="CG75" s="37">
        <v>-2.6155682718058917E-2</v>
      </c>
      <c r="CH75" s="37">
        <v>0.16740629198340662</v>
      </c>
      <c r="CI75" s="37">
        <v>9.6780254432142533E-3</v>
      </c>
      <c r="CJ75" s="37">
        <v>-1.3077841359029451E-3</v>
      </c>
      <c r="CK75" s="37">
        <v>8.3702413073113088E-3</v>
      </c>
      <c r="CL75" s="37"/>
      <c r="CM75" s="37">
        <v>-0.22133944878776596</v>
      </c>
      <c r="CN75" s="37" t="s">
        <v>715</v>
      </c>
      <c r="CO75" s="37">
        <v>0</v>
      </c>
      <c r="CP75" s="37">
        <v>0</v>
      </c>
      <c r="CQ75" s="37">
        <v>-1.7346959513466675</v>
      </c>
      <c r="CR75" s="37">
        <v>0</v>
      </c>
      <c r="CS75" s="37">
        <v>0</v>
      </c>
      <c r="CT75" s="37">
        <v>-1.7346959513466675</v>
      </c>
      <c r="CU75" s="37">
        <v>0</v>
      </c>
      <c r="CV75" s="37">
        <v>9999</v>
      </c>
      <c r="CW75" s="127">
        <v>0</v>
      </c>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row>
    <row r="76" spans="1:131">
      <c r="A76" s="1" t="s">
        <v>736</v>
      </c>
      <c r="B76" s="1" t="s">
        <v>737</v>
      </c>
      <c r="C76" s="37">
        <v>12</v>
      </c>
      <c r="D76" s="37">
        <v>14.451910254511809</v>
      </c>
      <c r="E76" s="37">
        <v>-0.14385197375509576</v>
      </c>
      <c r="F76" s="37">
        <v>7.1089579864357049</v>
      </c>
      <c r="G76" s="37">
        <v>0</v>
      </c>
      <c r="H76" s="37">
        <v>-19.9637595063795</v>
      </c>
      <c r="I76" s="37" t="s">
        <v>714</v>
      </c>
      <c r="J76" s="37"/>
      <c r="K76" s="37"/>
      <c r="L76" s="37">
        <v>15.536210538971808</v>
      </c>
      <c r="M76" s="37">
        <v>4.0588070052657264E-3</v>
      </c>
      <c r="N76" s="37">
        <v>4.0295123564476551E-3</v>
      </c>
      <c r="O76" s="37">
        <v>-0.14529049379709943</v>
      </c>
      <c r="P76" s="37">
        <v>0</v>
      </c>
      <c r="Q76" s="37">
        <v>0</v>
      </c>
      <c r="R76" s="37">
        <v>1.4176211875259837</v>
      </c>
      <c r="S76" s="37">
        <v>3.2759069454070913</v>
      </c>
      <c r="T76" s="37">
        <v>0</v>
      </c>
      <c r="U76" s="37">
        <v>5.7758941009908344</v>
      </c>
      <c r="V76" s="37" t="s">
        <v>356</v>
      </c>
      <c r="W76" s="37" t="s">
        <v>356</v>
      </c>
      <c r="X76" s="37" t="s">
        <v>356</v>
      </c>
      <c r="Y76" s="37" t="s">
        <v>356</v>
      </c>
      <c r="Z76" s="37">
        <v>0</v>
      </c>
      <c r="AA76" s="37">
        <v>0</v>
      </c>
      <c r="AB76" s="37">
        <v>0</v>
      </c>
      <c r="AC76" s="37">
        <v>0</v>
      </c>
      <c r="AD76" s="37">
        <v>0</v>
      </c>
      <c r="AE76" s="37">
        <v>0</v>
      </c>
      <c r="AF76" s="37">
        <v>0</v>
      </c>
      <c r="AG76" s="37">
        <v>-19.9637595063795</v>
      </c>
      <c r="AH76" s="37">
        <v>1.4176211875259837</v>
      </c>
      <c r="AI76" s="37">
        <v>3.2759069454070913</v>
      </c>
      <c r="AJ76" s="37">
        <v>0</v>
      </c>
      <c r="AK76" s="37">
        <v>-14.187865405388665</v>
      </c>
      <c r="AL76" s="37">
        <v>-9.4943372724555903</v>
      </c>
      <c r="AM76" s="37">
        <v>8.0247851530137471</v>
      </c>
      <c r="AN76" s="37">
        <v>1.4341733060928572</v>
      </c>
      <c r="AO76" s="37">
        <v>0</v>
      </c>
      <c r="AP76" s="37">
        <v>0</v>
      </c>
      <c r="AQ76" s="37">
        <v>9.4589584591066043</v>
      </c>
      <c r="AR76" s="37">
        <v>1.4176211875259837</v>
      </c>
      <c r="AS76" s="36">
        <v>6.6724161167584342</v>
      </c>
      <c r="AT76" s="37">
        <v>8.0247851530137471</v>
      </c>
      <c r="AU76" s="37">
        <v>1.6976340259913045</v>
      </c>
      <c r="AV76" s="37">
        <v>0</v>
      </c>
      <c r="AW76" s="37">
        <v>0</v>
      </c>
      <c r="AX76" s="37">
        <v>9.7224191790050511</v>
      </c>
      <c r="AY76" s="37">
        <v>3.2759069454070913</v>
      </c>
      <c r="AZ76" s="36">
        <v>2.9678557239350591</v>
      </c>
      <c r="BA76" s="37">
        <v>8.0247851530137471</v>
      </c>
      <c r="BB76" s="37">
        <v>3.1318073320841617</v>
      </c>
      <c r="BC76" s="37">
        <v>0</v>
      </c>
      <c r="BD76" s="37">
        <v>0</v>
      </c>
      <c r="BE76" s="37">
        <v>11.156592485097908</v>
      </c>
      <c r="BF76" s="37">
        <v>4.6935281329330749</v>
      </c>
      <c r="BG76" s="37">
        <v>7.3965366112176865</v>
      </c>
      <c r="BH76" s="36">
        <v>2.3770162166101563</v>
      </c>
      <c r="BI76" s="37">
        <v>6.7140599066582043</v>
      </c>
      <c r="BJ76" s="37">
        <v>15.515171241539981</v>
      </c>
      <c r="BK76" s="37">
        <v>0</v>
      </c>
      <c r="BL76" s="37">
        <v>-67.195791878383588</v>
      </c>
      <c r="BM76" s="37">
        <v>-44.9665607301854</v>
      </c>
      <c r="BN76" s="37">
        <v>8.0247851530137471</v>
      </c>
      <c r="BO76" s="37">
        <v>-1.1274060626466336</v>
      </c>
      <c r="BP76" s="37">
        <v>3.1318073320841617</v>
      </c>
      <c r="BQ76" s="37">
        <v>0</v>
      </c>
      <c r="BR76" s="37">
        <v>0</v>
      </c>
      <c r="BS76" s="37">
        <v>0</v>
      </c>
      <c r="BT76" s="37">
        <v>0</v>
      </c>
      <c r="BU76" s="37">
        <v>0</v>
      </c>
      <c r="BV76" s="37">
        <v>0</v>
      </c>
      <c r="BW76" s="37">
        <v>0</v>
      </c>
      <c r="BX76" s="37">
        <v>10.469422233923909</v>
      </c>
      <c r="BY76" s="37"/>
      <c r="BZ76" s="37">
        <v>0</v>
      </c>
      <c r="CA76" s="37">
        <v>-19.9637595063795</v>
      </c>
      <c r="CB76" s="37">
        <v>10.029186422451275</v>
      </c>
      <c r="CC76" s="37">
        <v>-9.4943372724555903</v>
      </c>
      <c r="CD76" s="36">
        <v>2.6835227008302294</v>
      </c>
      <c r="CE76" s="37">
        <v>-54.45969635654513</v>
      </c>
      <c r="CF76" s="37">
        <v>0.14759511785222332</v>
      </c>
      <c r="CG76" s="37">
        <v>-1.6998987774260621E-2</v>
      </c>
      <c r="CH76" s="37">
        <v>0.1305961300779627</v>
      </c>
      <c r="CI76" s="37">
        <v>7.3797000060116073E-3</v>
      </c>
      <c r="CJ76" s="37">
        <v>-8.4994938871303172E-4</v>
      </c>
      <c r="CK76" s="37">
        <v>6.5297506172985759E-3</v>
      </c>
      <c r="CL76" s="37"/>
      <c r="CM76" s="37">
        <v>-0.14385197375509576</v>
      </c>
      <c r="CN76" s="37" t="s">
        <v>715</v>
      </c>
      <c r="CO76" s="37">
        <v>0</v>
      </c>
      <c r="CP76" s="37">
        <v>0</v>
      </c>
      <c r="CQ76" s="37">
        <v>-1.1274060626466336</v>
      </c>
      <c r="CR76" s="37">
        <v>0</v>
      </c>
      <c r="CS76" s="37">
        <v>0</v>
      </c>
      <c r="CT76" s="37">
        <v>-1.1274060626466336</v>
      </c>
      <c r="CU76" s="37">
        <v>0</v>
      </c>
      <c r="CV76" s="37">
        <v>9999</v>
      </c>
      <c r="CW76" s="127">
        <v>0</v>
      </c>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row>
    <row r="77" spans="1:131">
      <c r="A77" s="1" t="s">
        <v>738</v>
      </c>
      <c r="B77" s="1" t="s">
        <v>739</v>
      </c>
      <c r="C77" s="37">
        <v>12</v>
      </c>
      <c r="D77" s="37">
        <v>77.368427431018958</v>
      </c>
      <c r="E77" s="37">
        <v>-0.24640959977027047</v>
      </c>
      <c r="F77" s="37">
        <v>15.310672125184738</v>
      </c>
      <c r="G77" s="37">
        <v>0</v>
      </c>
      <c r="H77" s="37">
        <v>-41.6728553859801</v>
      </c>
      <c r="I77" s="37" t="s">
        <v>714</v>
      </c>
      <c r="J77" s="37"/>
      <c r="K77" s="37"/>
      <c r="L77" s="37">
        <v>83.173238448682625</v>
      </c>
      <c r="M77" s="37">
        <v>2.1728858656963793E-2</v>
      </c>
      <c r="N77" s="37">
        <v>2.1572029499344954E-2</v>
      </c>
      <c r="O77" s="37">
        <v>-0.248873696289482</v>
      </c>
      <c r="P77" s="37">
        <v>0</v>
      </c>
      <c r="Q77" s="37">
        <v>0</v>
      </c>
      <c r="R77" s="37">
        <v>3.0531525494086793</v>
      </c>
      <c r="S77" s="37">
        <v>7.0553711598021209</v>
      </c>
      <c r="T77" s="37">
        <v>0</v>
      </c>
      <c r="U77" s="37">
        <v>12.439631937450493</v>
      </c>
      <c r="V77" s="37" t="s">
        <v>356</v>
      </c>
      <c r="W77" s="37" t="s">
        <v>356</v>
      </c>
      <c r="X77" s="37" t="s">
        <v>356</v>
      </c>
      <c r="Y77" s="37" t="s">
        <v>356</v>
      </c>
      <c r="Z77" s="37">
        <v>0</v>
      </c>
      <c r="AA77" s="37">
        <v>0</v>
      </c>
      <c r="AB77" s="37">
        <v>0</v>
      </c>
      <c r="AC77" s="37">
        <v>0</v>
      </c>
      <c r="AD77" s="37">
        <v>0</v>
      </c>
      <c r="AE77" s="37">
        <v>0</v>
      </c>
      <c r="AF77" s="37">
        <v>0</v>
      </c>
      <c r="AG77" s="37">
        <v>-41.6728553859801</v>
      </c>
      <c r="AH77" s="37">
        <v>3.0531525494086793</v>
      </c>
      <c r="AI77" s="37">
        <v>7.0553711598021209</v>
      </c>
      <c r="AJ77" s="37">
        <v>0</v>
      </c>
      <c r="AK77" s="37">
        <v>-29.233223448529607</v>
      </c>
      <c r="AL77" s="37">
        <v>-19.124699739318807</v>
      </c>
      <c r="AM77" s="37">
        <v>42.960757216619989</v>
      </c>
      <c r="AN77" s="37">
        <v>7.6778592865471671</v>
      </c>
      <c r="AO77" s="37">
        <v>0</v>
      </c>
      <c r="AP77" s="37">
        <v>0</v>
      </c>
      <c r="AQ77" s="37">
        <v>50.638616503167157</v>
      </c>
      <c r="AR77" s="37">
        <v>3.0531525494086793</v>
      </c>
      <c r="AS77" s="36">
        <v>16.585681744914652</v>
      </c>
      <c r="AT77" s="37">
        <v>42.960757216619989</v>
      </c>
      <c r="AU77" s="37">
        <v>9.0882985454004004</v>
      </c>
      <c r="AV77" s="37">
        <v>0</v>
      </c>
      <c r="AW77" s="37">
        <v>0</v>
      </c>
      <c r="AX77" s="37">
        <v>52.049055762020387</v>
      </c>
      <c r="AY77" s="37">
        <v>7.0553711598021209</v>
      </c>
      <c r="AZ77" s="36">
        <v>7.3772243278382232</v>
      </c>
      <c r="BA77" s="37">
        <v>42.960757216619989</v>
      </c>
      <c r="BB77" s="37">
        <v>16.766157831947567</v>
      </c>
      <c r="BC77" s="37">
        <v>0</v>
      </c>
      <c r="BD77" s="37">
        <v>0</v>
      </c>
      <c r="BE77" s="37">
        <v>59.726915048567555</v>
      </c>
      <c r="BF77" s="37">
        <v>10.1085237092108</v>
      </c>
      <c r="BG77" s="37">
        <v>-5.8898797369881164</v>
      </c>
      <c r="BH77" s="36">
        <v>5.9085695168469456</v>
      </c>
      <c r="BI77" s="37">
        <v>2.7010648232053347</v>
      </c>
      <c r="BJ77" s="37">
        <v>6.2417499767870455</v>
      </c>
      <c r="BK77" s="37">
        <v>0</v>
      </c>
      <c r="BL77" s="37">
        <v>-25.862065602001262</v>
      </c>
      <c r="BM77" s="37">
        <v>-16.919250802008882</v>
      </c>
      <c r="BN77" s="37">
        <v>42.960757216619989</v>
      </c>
      <c r="BO77" s="37">
        <v>-1.931177372291653</v>
      </c>
      <c r="BP77" s="37">
        <v>16.766157831947567</v>
      </c>
      <c r="BQ77" s="37">
        <v>0</v>
      </c>
      <c r="BR77" s="37">
        <v>0</v>
      </c>
      <c r="BS77" s="37">
        <v>0</v>
      </c>
      <c r="BT77" s="37">
        <v>0</v>
      </c>
      <c r="BU77" s="37">
        <v>0</v>
      </c>
      <c r="BV77" s="37">
        <v>0</v>
      </c>
      <c r="BW77" s="37">
        <v>0</v>
      </c>
      <c r="BX77" s="37">
        <v>22.548155646661293</v>
      </c>
      <c r="BY77" s="37"/>
      <c r="BZ77" s="37">
        <v>0</v>
      </c>
      <c r="CA77" s="37">
        <v>-41.6728553859801</v>
      </c>
      <c r="CB77" s="37">
        <v>57.795737676275905</v>
      </c>
      <c r="CC77" s="37">
        <v>-19.124699739318807</v>
      </c>
      <c r="CD77" s="36">
        <v>4.1422603449219642</v>
      </c>
      <c r="CE77" s="37">
        <v>-30.043470186420485</v>
      </c>
      <c r="CF77" s="37">
        <v>0.79015174905043573</v>
      </c>
      <c r="CG77" s="37">
        <v>-2.9118222465869394E-2</v>
      </c>
      <c r="CH77" s="37">
        <v>0.76103352658456636</v>
      </c>
      <c r="CI77" s="37">
        <v>3.9507288263124225E-2</v>
      </c>
      <c r="CJ77" s="37">
        <v>-1.4559111232934692E-3</v>
      </c>
      <c r="CK77" s="37">
        <v>3.8051377139830755E-2</v>
      </c>
      <c r="CL77" s="37"/>
      <c r="CM77" s="37">
        <v>-0.24640959977027047</v>
      </c>
      <c r="CN77" s="37" t="s">
        <v>715</v>
      </c>
      <c r="CO77" s="37">
        <v>0</v>
      </c>
      <c r="CP77" s="37">
        <v>0</v>
      </c>
      <c r="CQ77" s="37">
        <v>-1.931177372291653</v>
      </c>
      <c r="CR77" s="37">
        <v>0</v>
      </c>
      <c r="CS77" s="37">
        <v>0</v>
      </c>
      <c r="CT77" s="37">
        <v>-1.931177372291653</v>
      </c>
      <c r="CU77" s="37">
        <v>0</v>
      </c>
      <c r="CV77" s="37">
        <v>9999</v>
      </c>
      <c r="CW77" s="127">
        <v>0</v>
      </c>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row>
    <row r="78" spans="1:131">
      <c r="A78" s="1" t="s">
        <v>740</v>
      </c>
      <c r="B78" s="1" t="s">
        <v>741</v>
      </c>
      <c r="C78" s="37">
        <v>12</v>
      </c>
      <c r="D78" s="37">
        <v>45.042010261394381</v>
      </c>
      <c r="E78" s="37">
        <v>-0.56324737831000837</v>
      </c>
      <c r="F78" s="37">
        <v>11.132580992823133</v>
      </c>
      <c r="G78" s="37">
        <v>0</v>
      </c>
      <c r="H78" s="37">
        <v>-13.461890678054216</v>
      </c>
      <c r="I78" s="37" t="s">
        <v>714</v>
      </c>
      <c r="J78" s="37"/>
      <c r="K78" s="37"/>
      <c r="L78" s="37">
        <v>48.421429568529426</v>
      </c>
      <c r="M78" s="37">
        <v>1.2650011213785653E-2</v>
      </c>
      <c r="N78" s="37">
        <v>1.2558709105660841E-2</v>
      </c>
      <c r="O78" s="37">
        <v>-0.56887985328518242</v>
      </c>
      <c r="P78" s="37">
        <v>0</v>
      </c>
      <c r="Q78" s="37">
        <v>0</v>
      </c>
      <c r="R78" s="37">
        <v>2.2199853645763077</v>
      </c>
      <c r="S78" s="37">
        <v>5.1300485196679686</v>
      </c>
      <c r="T78" s="37">
        <v>0</v>
      </c>
      <c r="U78" s="37">
        <v>9.0450118017210155</v>
      </c>
      <c r="V78" s="37" t="s">
        <v>356</v>
      </c>
      <c r="W78" s="37" t="s">
        <v>356</v>
      </c>
      <c r="X78" s="37" t="s">
        <v>356</v>
      </c>
      <c r="Y78" s="37" t="s">
        <v>356</v>
      </c>
      <c r="Z78" s="37">
        <v>0</v>
      </c>
      <c r="AA78" s="37">
        <v>0</v>
      </c>
      <c r="AB78" s="37">
        <v>0</v>
      </c>
      <c r="AC78" s="37">
        <v>0</v>
      </c>
      <c r="AD78" s="37">
        <v>0</v>
      </c>
      <c r="AE78" s="37">
        <v>0</v>
      </c>
      <c r="AF78" s="37">
        <v>0</v>
      </c>
      <c r="AG78" s="37">
        <v>-13.461890678054216</v>
      </c>
      <c r="AH78" s="37">
        <v>2.2199853645763077</v>
      </c>
      <c r="AI78" s="37">
        <v>5.1300485196679686</v>
      </c>
      <c r="AJ78" s="37">
        <v>0</v>
      </c>
      <c r="AK78" s="37">
        <v>-4.4168788763332003</v>
      </c>
      <c r="AL78" s="37">
        <v>2.9331550079110755</v>
      </c>
      <c r="AM78" s="37">
        <v>25.010704387310113</v>
      </c>
      <c r="AN78" s="37">
        <v>4.4698622972340427</v>
      </c>
      <c r="AO78" s="37">
        <v>0</v>
      </c>
      <c r="AP78" s="37">
        <v>0</v>
      </c>
      <c r="AQ78" s="37">
        <v>29.480566684544158</v>
      </c>
      <c r="AR78" s="37">
        <v>2.2199853645763077</v>
      </c>
      <c r="AS78" s="36">
        <v>13.279622088936893</v>
      </c>
      <c r="AT78" s="37">
        <v>25.010704387310113</v>
      </c>
      <c r="AU78" s="37">
        <v>5.2909856117408909</v>
      </c>
      <c r="AV78" s="37">
        <v>0</v>
      </c>
      <c r="AW78" s="37">
        <v>0</v>
      </c>
      <c r="AX78" s="37">
        <v>30.301689999051003</v>
      </c>
      <c r="AY78" s="37">
        <v>5.1300485196679686</v>
      </c>
      <c r="AZ78" s="36">
        <v>5.9067063172751855</v>
      </c>
      <c r="BA78" s="37">
        <v>25.010704387310113</v>
      </c>
      <c r="BB78" s="37">
        <v>9.7608479089749345</v>
      </c>
      <c r="BC78" s="37">
        <v>0</v>
      </c>
      <c r="BD78" s="37">
        <v>0</v>
      </c>
      <c r="BE78" s="37">
        <v>34.771552296285044</v>
      </c>
      <c r="BF78" s="37">
        <v>7.3500338842442758</v>
      </c>
      <c r="BG78" s="37">
        <v>-3.6635001741414994</v>
      </c>
      <c r="BH78" s="36">
        <v>4.7308016321968598</v>
      </c>
      <c r="BI78" s="37">
        <v>3.3735147905593932</v>
      </c>
      <c r="BJ78" s="37">
        <v>7.7956795722796031</v>
      </c>
      <c r="BK78" s="37">
        <v>0</v>
      </c>
      <c r="BL78" s="37">
        <v>-6.7119389412115336</v>
      </c>
      <c r="BM78" s="37">
        <v>4.4572554216274627</v>
      </c>
      <c r="BN78" s="37">
        <v>25.010704387310113</v>
      </c>
      <c r="BO78" s="37">
        <v>-4.4143190565991919</v>
      </c>
      <c r="BP78" s="37">
        <v>9.7608479089749345</v>
      </c>
      <c r="BQ78" s="37">
        <v>0</v>
      </c>
      <c r="BR78" s="37">
        <v>0</v>
      </c>
      <c r="BS78" s="37">
        <v>0</v>
      </c>
      <c r="BT78" s="37">
        <v>0</v>
      </c>
      <c r="BU78" s="37">
        <v>0</v>
      </c>
      <c r="BV78" s="37">
        <v>0</v>
      </c>
      <c r="BW78" s="37">
        <v>0</v>
      </c>
      <c r="BX78" s="37">
        <v>16.395045685965293</v>
      </c>
      <c r="BY78" s="37"/>
      <c r="BZ78" s="37">
        <v>0</v>
      </c>
      <c r="CA78" s="37">
        <v>-13.461890678054216</v>
      </c>
      <c r="CB78" s="37">
        <v>30.357233239685861</v>
      </c>
      <c r="CC78" s="37">
        <v>2.9331550079110773</v>
      </c>
      <c r="CD78" s="36">
        <v>2.3178719567387969</v>
      </c>
      <c r="CE78" s="37">
        <v>-3.6673901050715267</v>
      </c>
      <c r="CF78" s="37">
        <v>0.46000706451633921</v>
      </c>
      <c r="CG78" s="37">
        <v>-6.6558942834366364E-2</v>
      </c>
      <c r="CH78" s="37">
        <v>0.39344812168197285</v>
      </c>
      <c r="CI78" s="37">
        <v>2.3000179045051472E-2</v>
      </c>
      <c r="CJ78" s="37">
        <v>-3.3279471417183167E-3</v>
      </c>
      <c r="CK78" s="37">
        <v>1.9672231903333157E-2</v>
      </c>
      <c r="CL78" s="37"/>
      <c r="CM78" s="37">
        <v>-0.56324737831000837</v>
      </c>
      <c r="CN78" s="37" t="s">
        <v>715</v>
      </c>
      <c r="CO78" s="37">
        <v>0</v>
      </c>
      <c r="CP78" s="37">
        <v>0</v>
      </c>
      <c r="CQ78" s="37">
        <v>-4.4143190565991919</v>
      </c>
      <c r="CR78" s="37">
        <v>0</v>
      </c>
      <c r="CS78" s="37">
        <v>0</v>
      </c>
      <c r="CT78" s="37">
        <v>-4.4143190565991919</v>
      </c>
      <c r="CU78" s="37">
        <v>0</v>
      </c>
      <c r="CV78" s="37">
        <v>9999</v>
      </c>
      <c r="CW78" s="127">
        <v>0</v>
      </c>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row>
    <row r="79" spans="1:131">
      <c r="A79" s="1" t="s">
        <v>742</v>
      </c>
      <c r="B79" s="1" t="s">
        <v>743</v>
      </c>
      <c r="C79" s="37">
        <v>12</v>
      </c>
      <c r="D79" s="37">
        <v>48.517514286908948</v>
      </c>
      <c r="E79" s="37">
        <v>-0.60504022211246644</v>
      </c>
      <c r="F79" s="37">
        <v>7.0983192572877227</v>
      </c>
      <c r="G79" s="37">
        <v>0</v>
      </c>
      <c r="H79" s="37">
        <v>-12.438181918792578</v>
      </c>
      <c r="I79" s="37" t="s">
        <v>714</v>
      </c>
      <c r="J79" s="37"/>
      <c r="K79" s="37"/>
      <c r="L79" s="37">
        <v>52.157694278074032</v>
      </c>
      <c r="M79" s="37">
        <v>1.3626103635974879E-2</v>
      </c>
      <c r="N79" s="37">
        <v>1.3527756530469084E-2</v>
      </c>
      <c r="O79" s="37">
        <v>-0.61109062561411676</v>
      </c>
      <c r="P79" s="37">
        <v>0</v>
      </c>
      <c r="Q79" s="37">
        <v>0</v>
      </c>
      <c r="R79" s="37">
        <v>1.4154996828163895</v>
      </c>
      <c r="S79" s="37">
        <v>3.2710044707022643</v>
      </c>
      <c r="T79" s="37">
        <v>0</v>
      </c>
      <c r="U79" s="37">
        <v>5.7672503344859383</v>
      </c>
      <c r="V79" s="37" t="s">
        <v>356</v>
      </c>
      <c r="W79" s="37" t="s">
        <v>356</v>
      </c>
      <c r="X79" s="37" t="s">
        <v>356</v>
      </c>
      <c r="Y79" s="37" t="s">
        <v>356</v>
      </c>
      <c r="Z79" s="37">
        <v>0</v>
      </c>
      <c r="AA79" s="37">
        <v>0</v>
      </c>
      <c r="AB79" s="37">
        <v>0</v>
      </c>
      <c r="AC79" s="37">
        <v>0</v>
      </c>
      <c r="AD79" s="37">
        <v>0</v>
      </c>
      <c r="AE79" s="37">
        <v>0</v>
      </c>
      <c r="AF79" s="37">
        <v>0</v>
      </c>
      <c r="AG79" s="37">
        <v>-12.438181918792578</v>
      </c>
      <c r="AH79" s="37">
        <v>1.4154996828163895</v>
      </c>
      <c r="AI79" s="37">
        <v>3.2710044707022643</v>
      </c>
      <c r="AJ79" s="37">
        <v>0</v>
      </c>
      <c r="AK79" s="37">
        <v>-6.6709315843066399</v>
      </c>
      <c r="AL79" s="37">
        <v>-1.9844274307879859</v>
      </c>
      <c r="AM79" s="37">
        <v>26.940565050157876</v>
      </c>
      <c r="AN79" s="37">
        <v>4.8147630758044828</v>
      </c>
      <c r="AO79" s="37">
        <v>0</v>
      </c>
      <c r="AP79" s="37">
        <v>0</v>
      </c>
      <c r="AQ79" s="37">
        <v>31.755328125962357</v>
      </c>
      <c r="AR79" s="37">
        <v>1.4154996828163895</v>
      </c>
      <c r="AS79" s="36">
        <v>22.434005822438234</v>
      </c>
      <c r="AT79" s="37">
        <v>26.940565050157876</v>
      </c>
      <c r="AU79" s="37">
        <v>5.6992454048946222</v>
      </c>
      <c r="AV79" s="37">
        <v>0</v>
      </c>
      <c r="AW79" s="37">
        <v>0</v>
      </c>
      <c r="AX79" s="37">
        <v>32.639810455052498</v>
      </c>
      <c r="AY79" s="37">
        <v>3.2710044707022643</v>
      </c>
      <c r="AZ79" s="36">
        <v>9.9785282311292391</v>
      </c>
      <c r="BA79" s="37">
        <v>26.940565050157876</v>
      </c>
      <c r="BB79" s="37">
        <v>10.514008480699104</v>
      </c>
      <c r="BC79" s="37">
        <v>0</v>
      </c>
      <c r="BD79" s="37">
        <v>0</v>
      </c>
      <c r="BE79" s="37">
        <v>37.454573530856983</v>
      </c>
      <c r="BF79" s="37">
        <v>4.686504153518654</v>
      </c>
      <c r="BG79" s="37">
        <v>-8.2211833628131394</v>
      </c>
      <c r="BH79" s="36">
        <v>7.9920068997988354</v>
      </c>
      <c r="BI79" s="37">
        <v>1.9969238612419524</v>
      </c>
      <c r="BJ79" s="37">
        <v>4.614587312925412</v>
      </c>
      <c r="BK79" s="37">
        <v>0</v>
      </c>
      <c r="BL79" s="37">
        <v>-9.4110529441513684</v>
      </c>
      <c r="BM79" s="37">
        <v>-2.7995417699840051</v>
      </c>
      <c r="BN79" s="37">
        <v>26.940565050157876</v>
      </c>
      <c r="BO79" s="37">
        <v>-4.7418606554259961</v>
      </c>
      <c r="BP79" s="37">
        <v>10.514008480699104</v>
      </c>
      <c r="BQ79" s="37">
        <v>0</v>
      </c>
      <c r="BR79" s="37">
        <v>0</v>
      </c>
      <c r="BS79" s="37">
        <v>0</v>
      </c>
      <c r="BT79" s="37">
        <v>0</v>
      </c>
      <c r="BU79" s="37">
        <v>0</v>
      </c>
      <c r="BV79" s="37">
        <v>0</v>
      </c>
      <c r="BW79" s="37">
        <v>0</v>
      </c>
      <c r="BX79" s="37">
        <v>10.453754488004591</v>
      </c>
      <c r="BY79" s="37"/>
      <c r="BZ79" s="37">
        <v>0</v>
      </c>
      <c r="CA79" s="37">
        <v>-12.438181918792578</v>
      </c>
      <c r="CB79" s="37">
        <v>32.712712875430981</v>
      </c>
      <c r="CC79" s="37">
        <v>-1.9844274307879868</v>
      </c>
      <c r="CD79" s="36">
        <v>3.2833652983913151</v>
      </c>
      <c r="CE79" s="37">
        <v>-10.942630647241543</v>
      </c>
      <c r="CF79" s="37">
        <v>0.49550184805760539</v>
      </c>
      <c r="CG79" s="37">
        <v>-7.1497603196851667E-2</v>
      </c>
      <c r="CH79" s="37">
        <v>0.42400424486075372</v>
      </c>
      <c r="CI79" s="37">
        <v>2.4774904782085157E-2</v>
      </c>
      <c r="CJ79" s="37">
        <v>-3.5748801598425826E-3</v>
      </c>
      <c r="CK79" s="37">
        <v>2.1200024622242575E-2</v>
      </c>
      <c r="CL79" s="37"/>
      <c r="CM79" s="37">
        <v>-0.60504022211246644</v>
      </c>
      <c r="CN79" s="37" t="s">
        <v>715</v>
      </c>
      <c r="CO79" s="37">
        <v>0</v>
      </c>
      <c r="CP79" s="37">
        <v>0</v>
      </c>
      <c r="CQ79" s="37">
        <v>-4.7418606554259961</v>
      </c>
      <c r="CR79" s="37">
        <v>0</v>
      </c>
      <c r="CS79" s="37">
        <v>0</v>
      </c>
      <c r="CT79" s="37">
        <v>-4.7418606554259961</v>
      </c>
      <c r="CU79" s="37">
        <v>0</v>
      </c>
      <c r="CV79" s="37">
        <v>9999</v>
      </c>
      <c r="CW79" s="127">
        <v>0</v>
      </c>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row>
    <row r="80" spans="1:131">
      <c r="A80" s="1" t="s">
        <v>744</v>
      </c>
      <c r="B80" s="1" t="s">
        <v>745</v>
      </c>
      <c r="C80" s="37">
        <v>12</v>
      </c>
      <c r="D80" s="37">
        <v>43.415866269631003</v>
      </c>
      <c r="E80" s="37">
        <v>-0.54056303080668255</v>
      </c>
      <c r="F80" s="37">
        <v>15.921653708800646</v>
      </c>
      <c r="G80" s="37">
        <v>0</v>
      </c>
      <c r="H80" s="37">
        <v>-35.422629471574403</v>
      </c>
      <c r="I80" s="37" t="s">
        <v>714</v>
      </c>
      <c r="J80" s="37"/>
      <c r="K80" s="37"/>
      <c r="L80" s="37">
        <v>46.673278979590322</v>
      </c>
      <c r="M80" s="37">
        <v>1.2193310022794003E-2</v>
      </c>
      <c r="N80" s="37">
        <v>1.2105304179061053E-2</v>
      </c>
      <c r="O80" s="37">
        <v>-0.54596866225881346</v>
      </c>
      <c r="P80" s="37">
        <v>0</v>
      </c>
      <c r="Q80" s="37">
        <v>0</v>
      </c>
      <c r="R80" s="37">
        <v>3.1749904389805033</v>
      </c>
      <c r="S80" s="37">
        <v>7.336919991164212</v>
      </c>
      <c r="T80" s="37">
        <v>0</v>
      </c>
      <c r="U80" s="37">
        <v>12.936042934864547</v>
      </c>
      <c r="V80" s="37" t="s">
        <v>356</v>
      </c>
      <c r="W80" s="37" t="s">
        <v>356</v>
      </c>
      <c r="X80" s="37" t="s">
        <v>356</v>
      </c>
      <c r="Y80" s="37" t="s">
        <v>356</v>
      </c>
      <c r="Z80" s="37">
        <v>0</v>
      </c>
      <c r="AA80" s="37">
        <v>0</v>
      </c>
      <c r="AB80" s="37">
        <v>0</v>
      </c>
      <c r="AC80" s="37">
        <v>0</v>
      </c>
      <c r="AD80" s="37">
        <v>0</v>
      </c>
      <c r="AE80" s="37">
        <v>0</v>
      </c>
      <c r="AF80" s="37">
        <v>0</v>
      </c>
      <c r="AG80" s="37">
        <v>-35.422629471574403</v>
      </c>
      <c r="AH80" s="37">
        <v>3.1749904389805033</v>
      </c>
      <c r="AI80" s="37">
        <v>7.336919991164212</v>
      </c>
      <c r="AJ80" s="37">
        <v>0</v>
      </c>
      <c r="AK80" s="37">
        <v>-22.486586536709858</v>
      </c>
      <c r="AL80" s="37">
        <v>-11.974676106565141</v>
      </c>
      <c r="AM80" s="37">
        <v>24.107747205044785</v>
      </c>
      <c r="AN80" s="37">
        <v>4.3084876233135327</v>
      </c>
      <c r="AO80" s="37">
        <v>0</v>
      </c>
      <c r="AP80" s="37">
        <v>0</v>
      </c>
      <c r="AQ80" s="37">
        <v>28.416234828358316</v>
      </c>
      <c r="AR80" s="37">
        <v>3.1749904389805033</v>
      </c>
      <c r="AS80" s="36">
        <v>8.9500221731322238</v>
      </c>
      <c r="AT80" s="37">
        <v>24.107747205044785</v>
      </c>
      <c r="AU80" s="37">
        <v>5.0999660632547661</v>
      </c>
      <c r="AV80" s="37">
        <v>0</v>
      </c>
      <c r="AW80" s="37">
        <v>0</v>
      </c>
      <c r="AX80" s="37">
        <v>29.20771326829955</v>
      </c>
      <c r="AY80" s="37">
        <v>7.336919991164212</v>
      </c>
      <c r="AZ80" s="36">
        <v>3.9809229626974454</v>
      </c>
      <c r="BA80" s="37">
        <v>24.107747205044785</v>
      </c>
      <c r="BB80" s="37">
        <v>9.4084536865682988</v>
      </c>
      <c r="BC80" s="37">
        <v>0</v>
      </c>
      <c r="BD80" s="37">
        <v>0</v>
      </c>
      <c r="BE80" s="37">
        <v>33.516200891613082</v>
      </c>
      <c r="BF80" s="37">
        <v>10.511910430144715</v>
      </c>
      <c r="BG80" s="37">
        <v>1.7396309061505455</v>
      </c>
      <c r="BH80" s="36">
        <v>3.1884024425759563</v>
      </c>
      <c r="BI80" s="37">
        <v>5.0054626305344216</v>
      </c>
      <c r="BJ80" s="37">
        <v>11.56686281259662</v>
      </c>
      <c r="BK80" s="37">
        <v>0</v>
      </c>
      <c r="BL80" s="37">
        <v>-35.450742533234703</v>
      </c>
      <c r="BM80" s="37">
        <v>-18.878417090103653</v>
      </c>
      <c r="BN80" s="37">
        <v>24.107747205044785</v>
      </c>
      <c r="BO80" s="37">
        <v>-4.2365358101491122</v>
      </c>
      <c r="BP80" s="37">
        <v>9.4084536865682988</v>
      </c>
      <c r="BQ80" s="37">
        <v>0</v>
      </c>
      <c r="BR80" s="37">
        <v>0</v>
      </c>
      <c r="BS80" s="37">
        <v>0</v>
      </c>
      <c r="BT80" s="37">
        <v>0</v>
      </c>
      <c r="BU80" s="37">
        <v>0</v>
      </c>
      <c r="BV80" s="37">
        <v>0</v>
      </c>
      <c r="BW80" s="37">
        <v>0</v>
      </c>
      <c r="BX80" s="37">
        <v>23.447953365009262</v>
      </c>
      <c r="BY80" s="37"/>
      <c r="BZ80" s="37">
        <v>0</v>
      </c>
      <c r="CA80" s="37">
        <v>-35.422629471574403</v>
      </c>
      <c r="CB80" s="37">
        <v>29.279665081463968</v>
      </c>
      <c r="CC80" s="37">
        <v>-11.974676106565141</v>
      </c>
      <c r="CD80" s="36">
        <v>2.4901608235216099</v>
      </c>
      <c r="CE80" s="37">
        <v>-27.032092559728628</v>
      </c>
      <c r="CF80" s="37">
        <v>0.44339950815305013</v>
      </c>
      <c r="CG80" s="37">
        <v>-6.3878333484281166E-2</v>
      </c>
      <c r="CH80" s="37">
        <v>0.37952117466876895</v>
      </c>
      <c r="CI80" s="37">
        <v>2.2169807515305399E-2</v>
      </c>
      <c r="CJ80" s="37">
        <v>-3.1939166742140585E-3</v>
      </c>
      <c r="CK80" s="37">
        <v>1.8975890841091341E-2</v>
      </c>
      <c r="CL80" s="37"/>
      <c r="CM80" s="37">
        <v>-0.54056303080668255</v>
      </c>
      <c r="CN80" s="37" t="s">
        <v>715</v>
      </c>
      <c r="CO80" s="37">
        <v>0</v>
      </c>
      <c r="CP80" s="37">
        <v>0</v>
      </c>
      <c r="CQ80" s="37">
        <v>-4.2365358101491122</v>
      </c>
      <c r="CR80" s="37">
        <v>0</v>
      </c>
      <c r="CS80" s="37">
        <v>0</v>
      </c>
      <c r="CT80" s="37">
        <v>-4.2365358101491122</v>
      </c>
      <c r="CU80" s="37">
        <v>0</v>
      </c>
      <c r="CV80" s="37">
        <v>9999</v>
      </c>
      <c r="CW80" s="127">
        <v>0</v>
      </c>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row>
    <row r="81" spans="1:131">
      <c r="A81" s="1" t="s">
        <v>746</v>
      </c>
      <c r="B81" s="1" t="s">
        <v>717</v>
      </c>
      <c r="C81" s="37">
        <v>12</v>
      </c>
      <c r="D81" s="37">
        <v>18.72602411923949</v>
      </c>
      <c r="E81" s="37">
        <v>-0.21987762663711166</v>
      </c>
      <c r="F81" s="37">
        <v>3.8938572916403871</v>
      </c>
      <c r="G81" s="37">
        <v>0</v>
      </c>
      <c r="H81" s="37">
        <v>-9.9957078032538558</v>
      </c>
      <c r="I81" s="37" t="s">
        <v>714</v>
      </c>
      <c r="J81" s="37"/>
      <c r="K81" s="37"/>
      <c r="L81" s="37">
        <v>20.131003317263307</v>
      </c>
      <c r="M81" s="37">
        <v>5.2591883382486233E-3</v>
      </c>
      <c r="N81" s="37">
        <v>5.2212298752723815E-3</v>
      </c>
      <c r="O81" s="37">
        <v>-0.22207640336883852</v>
      </c>
      <c r="P81" s="37">
        <v>0</v>
      </c>
      <c r="Q81" s="37">
        <v>0</v>
      </c>
      <c r="R81" s="37">
        <v>0.77648716005418195</v>
      </c>
      <c r="S81" s="37">
        <v>1.7943437238548599</v>
      </c>
      <c r="T81" s="37">
        <v>0</v>
      </c>
      <c r="U81" s="37">
        <v>3.1636855083120512</v>
      </c>
      <c r="V81" s="37" t="s">
        <v>356</v>
      </c>
      <c r="W81" s="37" t="s">
        <v>356</v>
      </c>
      <c r="X81" s="37" t="s">
        <v>356</v>
      </c>
      <c r="Y81" s="37" t="s">
        <v>356</v>
      </c>
      <c r="Z81" s="37">
        <v>0</v>
      </c>
      <c r="AA81" s="37">
        <v>0</v>
      </c>
      <c r="AB81" s="37">
        <v>0</v>
      </c>
      <c r="AC81" s="37">
        <v>0</v>
      </c>
      <c r="AD81" s="37">
        <v>0</v>
      </c>
      <c r="AE81" s="37">
        <v>0</v>
      </c>
      <c r="AF81" s="37">
        <v>0</v>
      </c>
      <c r="AG81" s="37">
        <v>-9.9957078032538558</v>
      </c>
      <c r="AH81" s="37">
        <v>0.77648716005418195</v>
      </c>
      <c r="AI81" s="37">
        <v>1.7943437238548599</v>
      </c>
      <c r="AJ81" s="37">
        <v>0</v>
      </c>
      <c r="AK81" s="37">
        <v>-6.8320222949418046</v>
      </c>
      <c r="AL81" s="37">
        <v>-4.2611914110327627</v>
      </c>
      <c r="AM81" s="37">
        <v>10.398093932263103</v>
      </c>
      <c r="AN81" s="37">
        <v>1.8583262314876243</v>
      </c>
      <c r="AO81" s="37">
        <v>0</v>
      </c>
      <c r="AP81" s="37">
        <v>0</v>
      </c>
      <c r="AQ81" s="37">
        <v>12.256420163750727</v>
      </c>
      <c r="AR81" s="37">
        <v>0.77648716005418195</v>
      </c>
      <c r="AS81" s="36">
        <v>15.784446664765834</v>
      </c>
      <c r="AT81" s="37">
        <v>10.398093932263103</v>
      </c>
      <c r="AU81" s="37">
        <v>2.1997047557384444</v>
      </c>
      <c r="AV81" s="37">
        <v>0</v>
      </c>
      <c r="AW81" s="37">
        <v>0</v>
      </c>
      <c r="AX81" s="37">
        <v>12.597798688001548</v>
      </c>
      <c r="AY81" s="37">
        <v>1.7943437238548599</v>
      </c>
      <c r="AZ81" s="36">
        <v>7.0208391628205975</v>
      </c>
      <c r="BA81" s="37">
        <v>10.398093932263103</v>
      </c>
      <c r="BB81" s="37">
        <v>4.0580309872260685</v>
      </c>
      <c r="BC81" s="37">
        <v>0</v>
      </c>
      <c r="BD81" s="37">
        <v>0</v>
      </c>
      <c r="BE81" s="37">
        <v>14.456124919489172</v>
      </c>
      <c r="BF81" s="37">
        <v>2.5708308839090419</v>
      </c>
      <c r="BG81" s="37">
        <v>-5.4359330713110738</v>
      </c>
      <c r="BH81" s="36">
        <v>5.6231333651586244</v>
      </c>
      <c r="BI81" s="37">
        <v>2.8381737086842866</v>
      </c>
      <c r="BJ81" s="37">
        <v>6.5585877569851441</v>
      </c>
      <c r="BK81" s="37">
        <v>0</v>
      </c>
      <c r="BL81" s="37">
        <v>-24.972036953316369</v>
      </c>
      <c r="BM81" s="37">
        <v>-15.575275487646937</v>
      </c>
      <c r="BN81" s="37">
        <v>10.398093932263103</v>
      </c>
      <c r="BO81" s="37">
        <v>-1.7232392635297573</v>
      </c>
      <c r="BP81" s="37">
        <v>4.0580309872260685</v>
      </c>
      <c r="BQ81" s="37">
        <v>0</v>
      </c>
      <c r="BR81" s="37">
        <v>0</v>
      </c>
      <c r="BS81" s="37">
        <v>0</v>
      </c>
      <c r="BT81" s="37">
        <v>0</v>
      </c>
      <c r="BU81" s="37">
        <v>0</v>
      </c>
      <c r="BV81" s="37">
        <v>0</v>
      </c>
      <c r="BW81" s="37">
        <v>0</v>
      </c>
      <c r="BX81" s="37">
        <v>5.7345163922210931</v>
      </c>
      <c r="BY81" s="37"/>
      <c r="BZ81" s="37">
        <v>0</v>
      </c>
      <c r="CA81" s="37">
        <v>-9.9957078032538558</v>
      </c>
      <c r="CB81" s="37">
        <v>12.732885655959414</v>
      </c>
      <c r="CC81" s="37">
        <v>-4.2611914110327627</v>
      </c>
      <c r="CD81" s="36">
        <v>3.278711967974929</v>
      </c>
      <c r="CE81" s="37">
        <v>-24.109279430463129</v>
      </c>
      <c r="CF81" s="37">
        <v>0.19124597981224431</v>
      </c>
      <c r="CG81" s="37">
        <v>-2.5982939194154099E-2</v>
      </c>
      <c r="CH81" s="37">
        <v>0.16526304061809022</v>
      </c>
      <c r="CI81" s="37">
        <v>9.562226575700071E-3</v>
      </c>
      <c r="CJ81" s="37">
        <v>-1.2991469597077056E-3</v>
      </c>
      <c r="CK81" s="37">
        <v>8.2630796159923661E-3</v>
      </c>
      <c r="CL81" s="37"/>
      <c r="CM81" s="37">
        <v>-0.21987762663711166</v>
      </c>
      <c r="CN81" s="37" t="s">
        <v>715</v>
      </c>
      <c r="CO81" s="37">
        <v>0</v>
      </c>
      <c r="CP81" s="37">
        <v>0</v>
      </c>
      <c r="CQ81" s="37">
        <v>-1.7232392635297573</v>
      </c>
      <c r="CR81" s="37">
        <v>0</v>
      </c>
      <c r="CS81" s="37">
        <v>0</v>
      </c>
      <c r="CT81" s="37">
        <v>-1.7232392635297573</v>
      </c>
      <c r="CU81" s="37">
        <v>0</v>
      </c>
      <c r="CV81" s="37">
        <v>9999</v>
      </c>
      <c r="CW81" s="127">
        <v>0</v>
      </c>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row>
    <row r="82" spans="1:131">
      <c r="A82" s="1" t="s">
        <v>747</v>
      </c>
      <c r="B82" s="1" t="s">
        <v>719</v>
      </c>
      <c r="C82" s="37">
        <v>12</v>
      </c>
      <c r="D82" s="37">
        <v>14.107600997230717</v>
      </c>
      <c r="E82" s="37">
        <v>-0.15710754403046454</v>
      </c>
      <c r="F82" s="37">
        <v>7.2412963974195161</v>
      </c>
      <c r="G82" s="37">
        <v>0</v>
      </c>
      <c r="H82" s="37">
        <v>-14.366238888365681</v>
      </c>
      <c r="I82" s="37" t="s">
        <v>714</v>
      </c>
      <c r="J82" s="37"/>
      <c r="K82" s="37"/>
      <c r="L82" s="37">
        <v>15.166068390464758</v>
      </c>
      <c r="M82" s="37">
        <v>3.96210803600704E-3</v>
      </c>
      <c r="N82" s="37">
        <v>3.9335113169850456E-3</v>
      </c>
      <c r="O82" s="37">
        <v>-0.15867861980327638</v>
      </c>
      <c r="P82" s="37">
        <v>0</v>
      </c>
      <c r="Q82" s="37">
        <v>0</v>
      </c>
      <c r="R82" s="37">
        <v>1.4440112345191063</v>
      </c>
      <c r="S82" s="37">
        <v>3.3368903301047079</v>
      </c>
      <c r="T82" s="37">
        <v>0</v>
      </c>
      <c r="U82" s="37">
        <v>5.8834165605122388</v>
      </c>
      <c r="V82" s="37" t="s">
        <v>356</v>
      </c>
      <c r="W82" s="37" t="s">
        <v>356</v>
      </c>
      <c r="X82" s="37" t="s">
        <v>356</v>
      </c>
      <c r="Y82" s="37" t="s">
        <v>356</v>
      </c>
      <c r="Z82" s="37">
        <v>0</v>
      </c>
      <c r="AA82" s="37">
        <v>0</v>
      </c>
      <c r="AB82" s="37">
        <v>0</v>
      </c>
      <c r="AC82" s="37">
        <v>0</v>
      </c>
      <c r="AD82" s="37">
        <v>0</v>
      </c>
      <c r="AE82" s="37">
        <v>0</v>
      </c>
      <c r="AF82" s="37">
        <v>0</v>
      </c>
      <c r="AG82" s="37">
        <v>-14.366238888365681</v>
      </c>
      <c r="AH82" s="37">
        <v>1.4440112345191063</v>
      </c>
      <c r="AI82" s="37">
        <v>3.3368903301047079</v>
      </c>
      <c r="AJ82" s="37">
        <v>0</v>
      </c>
      <c r="AK82" s="37">
        <v>-8.4828223278534409</v>
      </c>
      <c r="AL82" s="37">
        <v>-3.7019207632296274</v>
      </c>
      <c r="AM82" s="37">
        <v>7.8335988138229178</v>
      </c>
      <c r="AN82" s="37">
        <v>1.4000048718072204</v>
      </c>
      <c r="AO82" s="37">
        <v>0</v>
      </c>
      <c r="AP82" s="37">
        <v>0</v>
      </c>
      <c r="AQ82" s="37">
        <v>9.233603685630138</v>
      </c>
      <c r="AR82" s="37">
        <v>1.4440112345191063</v>
      </c>
      <c r="AS82" s="36">
        <v>6.3944126367584468</v>
      </c>
      <c r="AT82" s="37">
        <v>7.8335988138229178</v>
      </c>
      <c r="AU82" s="37">
        <v>1.6571887768629621</v>
      </c>
      <c r="AV82" s="37">
        <v>0</v>
      </c>
      <c r="AW82" s="37">
        <v>0</v>
      </c>
      <c r="AX82" s="37">
        <v>9.4907875906858798</v>
      </c>
      <c r="AY82" s="37">
        <v>3.3368903301047079</v>
      </c>
      <c r="AZ82" s="36">
        <v>2.8442012328250743</v>
      </c>
      <c r="BA82" s="37">
        <v>7.8335988138229178</v>
      </c>
      <c r="BB82" s="37">
        <v>3.0571936486701823</v>
      </c>
      <c r="BC82" s="37">
        <v>0</v>
      </c>
      <c r="BD82" s="37">
        <v>0</v>
      </c>
      <c r="BE82" s="37">
        <v>10.890792462493101</v>
      </c>
      <c r="BF82" s="37">
        <v>4.7809015646238144</v>
      </c>
      <c r="BG82" s="37">
        <v>8.3629746514214744</v>
      </c>
      <c r="BH82" s="36">
        <v>2.2779788111680235</v>
      </c>
      <c r="BI82" s="37">
        <v>7.0059603711746092</v>
      </c>
      <c r="BJ82" s="37">
        <v>16.189708817227363</v>
      </c>
      <c r="BK82" s="37">
        <v>0</v>
      </c>
      <c r="BL82" s="37">
        <v>-41.156409066615204</v>
      </c>
      <c r="BM82" s="37">
        <v>-17.960739878213236</v>
      </c>
      <c r="BN82" s="37">
        <v>7.8335988138229178</v>
      </c>
      <c r="BO82" s="37">
        <v>-1.2312934817913439</v>
      </c>
      <c r="BP82" s="37">
        <v>3.0571936486701823</v>
      </c>
      <c r="BQ82" s="37">
        <v>0</v>
      </c>
      <c r="BR82" s="37">
        <v>0</v>
      </c>
      <c r="BS82" s="37">
        <v>0</v>
      </c>
      <c r="BT82" s="37">
        <v>0</v>
      </c>
      <c r="BU82" s="37">
        <v>0</v>
      </c>
      <c r="BV82" s="37">
        <v>0</v>
      </c>
      <c r="BW82" s="37">
        <v>0</v>
      </c>
      <c r="BX82" s="37">
        <v>10.664318125136052</v>
      </c>
      <c r="BY82" s="37"/>
      <c r="BZ82" s="37">
        <v>0</v>
      </c>
      <c r="CA82" s="37">
        <v>-14.366238888365681</v>
      </c>
      <c r="CB82" s="37">
        <v>9.6594989807017555</v>
      </c>
      <c r="CC82" s="37">
        <v>-3.7019207632296283</v>
      </c>
      <c r="CD82" s="36">
        <v>2.1232225954780146</v>
      </c>
      <c r="CE82" s="37">
        <v>-26.819524287279403</v>
      </c>
      <c r="CF82" s="37">
        <v>0.14407874081202207</v>
      </c>
      <c r="CG82" s="37">
        <v>-1.8565398516983307E-2</v>
      </c>
      <c r="CH82" s="37">
        <v>0.12551334229503877</v>
      </c>
      <c r="CI82" s="37">
        <v>7.2038824854707582E-3</v>
      </c>
      <c r="CJ82" s="37">
        <v>-9.2826992584916699E-4</v>
      </c>
      <c r="CK82" s="37">
        <v>6.2756125596215911E-3</v>
      </c>
      <c r="CL82" s="37"/>
      <c r="CM82" s="37">
        <v>-0.15710754403046454</v>
      </c>
      <c r="CN82" s="37" t="s">
        <v>715</v>
      </c>
      <c r="CO82" s="37">
        <v>0</v>
      </c>
      <c r="CP82" s="37">
        <v>0</v>
      </c>
      <c r="CQ82" s="37">
        <v>-1.2312934817913439</v>
      </c>
      <c r="CR82" s="37">
        <v>0</v>
      </c>
      <c r="CS82" s="37">
        <v>0</v>
      </c>
      <c r="CT82" s="37">
        <v>-1.2312934817913439</v>
      </c>
      <c r="CU82" s="37">
        <v>0</v>
      </c>
      <c r="CV82" s="37">
        <v>9999</v>
      </c>
      <c r="CW82" s="127">
        <v>0</v>
      </c>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row>
    <row r="83" spans="1:131">
      <c r="A83" s="1" t="s">
        <v>748</v>
      </c>
      <c r="B83" s="1" t="s">
        <v>721</v>
      </c>
      <c r="C83" s="37">
        <v>12</v>
      </c>
      <c r="D83" s="37">
        <v>6.9865165392984325</v>
      </c>
      <c r="E83" s="37">
        <v>-7.9624516775525511E-2</v>
      </c>
      <c r="F83" s="37">
        <v>19.103497090677337</v>
      </c>
      <c r="G83" s="37">
        <v>0</v>
      </c>
      <c r="H83" s="37">
        <v>-5.1719103459386684</v>
      </c>
      <c r="I83" s="37" t="s">
        <v>714</v>
      </c>
      <c r="J83" s="37"/>
      <c r="K83" s="37"/>
      <c r="L83" s="37">
        <v>7.5107020440195642</v>
      </c>
      <c r="M83" s="37">
        <v>1.962157373850039E-3</v>
      </c>
      <c r="N83" s="37">
        <v>1.9479954018424628E-3</v>
      </c>
      <c r="O83" s="37">
        <v>-8.0420762111800534E-2</v>
      </c>
      <c r="P83" s="37">
        <v>0</v>
      </c>
      <c r="Q83" s="37">
        <v>0</v>
      </c>
      <c r="R83" s="37">
        <v>3.8094925139884439</v>
      </c>
      <c r="S83" s="37">
        <v>8.803157779286737</v>
      </c>
      <c r="T83" s="37">
        <v>0</v>
      </c>
      <c r="U83" s="37">
        <v>15.521230588909562</v>
      </c>
      <c r="V83" s="37" t="s">
        <v>356</v>
      </c>
      <c r="W83" s="37" t="s">
        <v>356</v>
      </c>
      <c r="X83" s="37" t="s">
        <v>356</v>
      </c>
      <c r="Y83" s="37" t="s">
        <v>356</v>
      </c>
      <c r="Z83" s="37">
        <v>0</v>
      </c>
      <c r="AA83" s="37">
        <v>0</v>
      </c>
      <c r="AB83" s="37">
        <v>0</v>
      </c>
      <c r="AC83" s="37">
        <v>0</v>
      </c>
      <c r="AD83" s="37">
        <v>0</v>
      </c>
      <c r="AE83" s="37">
        <v>0</v>
      </c>
      <c r="AF83" s="37">
        <v>0</v>
      </c>
      <c r="AG83" s="37">
        <v>-5.1719103459386684</v>
      </c>
      <c r="AH83" s="37">
        <v>3.8094925139884439</v>
      </c>
      <c r="AI83" s="37">
        <v>8.803157779286737</v>
      </c>
      <c r="AJ83" s="37">
        <v>0</v>
      </c>
      <c r="AK83" s="37">
        <v>10.349320242970894</v>
      </c>
      <c r="AL83" s="37">
        <v>22.961970536246074</v>
      </c>
      <c r="AM83" s="37">
        <v>3.8794383032058852</v>
      </c>
      <c r="AN83" s="37">
        <v>0.69332533532097662</v>
      </c>
      <c r="AO83" s="37">
        <v>0</v>
      </c>
      <c r="AP83" s="37">
        <v>0</v>
      </c>
      <c r="AQ83" s="37">
        <v>4.5727636385268617</v>
      </c>
      <c r="AR83" s="37">
        <v>3.8094925139884439</v>
      </c>
      <c r="AS83" s="36">
        <v>1.2003603161669667</v>
      </c>
      <c r="AT83" s="37">
        <v>3.8794383032058852</v>
      </c>
      <c r="AU83" s="37">
        <v>0.82069069011560158</v>
      </c>
      <c r="AV83" s="37">
        <v>0</v>
      </c>
      <c r="AW83" s="37">
        <v>0</v>
      </c>
      <c r="AX83" s="37">
        <v>4.7001289933214867</v>
      </c>
      <c r="AY83" s="37">
        <v>8.803157779286737</v>
      </c>
      <c r="AZ83" s="127">
        <v>0.53391397850219013</v>
      </c>
      <c r="BA83" s="37">
        <v>3.8794383032058852</v>
      </c>
      <c r="BB83" s="37">
        <v>1.5140160254365782</v>
      </c>
      <c r="BC83" s="37">
        <v>0</v>
      </c>
      <c r="BD83" s="37">
        <v>0</v>
      </c>
      <c r="BE83" s="37">
        <v>5.3934543286424637</v>
      </c>
      <c r="BF83" s="37">
        <v>12.612650293275181</v>
      </c>
      <c r="BG83" s="37">
        <v>108.73243684791512</v>
      </c>
      <c r="BH83" s="127">
        <v>0.4276226013749187</v>
      </c>
      <c r="BI83" s="37">
        <v>37.321295053406615</v>
      </c>
      <c r="BJ83" s="37">
        <v>86.243836331489035</v>
      </c>
      <c r="BK83" s="37">
        <v>0</v>
      </c>
      <c r="BL83" s="37">
        <v>101.39146696621708</v>
      </c>
      <c r="BM83" s="37">
        <v>224.95659835111269</v>
      </c>
      <c r="BN83" s="37">
        <v>3.8794383032058852</v>
      </c>
      <c r="BO83" s="37">
        <v>-0.62403845150477988</v>
      </c>
      <c r="BP83" s="37">
        <v>1.5140160254365782</v>
      </c>
      <c r="BQ83" s="37">
        <v>0</v>
      </c>
      <c r="BR83" s="37">
        <v>0</v>
      </c>
      <c r="BS83" s="37">
        <v>0</v>
      </c>
      <c r="BT83" s="37">
        <v>0</v>
      </c>
      <c r="BU83" s="37">
        <v>0</v>
      </c>
      <c r="BV83" s="37">
        <v>0</v>
      </c>
      <c r="BW83" s="37">
        <v>0</v>
      </c>
      <c r="BX83" s="37">
        <v>28.133880882184741</v>
      </c>
      <c r="BY83" s="37"/>
      <c r="BZ83" s="37">
        <v>0</v>
      </c>
      <c r="CA83" s="37">
        <v>-5.1719103459386684</v>
      </c>
      <c r="CB83" s="37">
        <v>4.7694158771376838</v>
      </c>
      <c r="CC83" s="37">
        <v>22.961970536246071</v>
      </c>
      <c r="CD83" s="127">
        <v>0.36738974582921047</v>
      </c>
      <c r="CE83" s="37">
        <v>216.23755887127177</v>
      </c>
      <c r="CF83" s="37">
        <v>7.1352209765649002E-2</v>
      </c>
      <c r="CG83" s="37">
        <v>-9.4092291670806634E-3</v>
      </c>
      <c r="CH83" s="37">
        <v>6.1942980598568342E-2</v>
      </c>
      <c r="CI83" s="37">
        <v>3.5675834709092925E-3</v>
      </c>
      <c r="CJ83" s="37">
        <v>-4.7046145835403299E-4</v>
      </c>
      <c r="CK83" s="37">
        <v>3.0971220125552597E-3</v>
      </c>
      <c r="CL83" s="37"/>
      <c r="CM83" s="37">
        <v>-7.9624516775525511E-2</v>
      </c>
      <c r="CN83" s="37" t="s">
        <v>715</v>
      </c>
      <c r="CO83" s="37">
        <v>0</v>
      </c>
      <c r="CP83" s="37">
        <v>0</v>
      </c>
      <c r="CQ83" s="37">
        <v>-0.62403845150477988</v>
      </c>
      <c r="CR83" s="37">
        <v>0</v>
      </c>
      <c r="CS83" s="37">
        <v>0</v>
      </c>
      <c r="CT83" s="37">
        <v>-0.62403845150477988</v>
      </c>
      <c r="CU83" s="37">
        <v>0</v>
      </c>
      <c r="CV83" s="37">
        <v>9999</v>
      </c>
      <c r="CW83" s="127">
        <v>0</v>
      </c>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row>
    <row r="84" spans="1:131">
      <c r="A84" s="1" t="s">
        <v>749</v>
      </c>
      <c r="B84" s="1" t="s">
        <v>723</v>
      </c>
      <c r="C84" s="37">
        <v>12</v>
      </c>
      <c r="D84" s="37">
        <v>1.786930875529545</v>
      </c>
      <c r="E84" s="37">
        <v>-2.0006174139283333E-2</v>
      </c>
      <c r="F84" s="37">
        <v>1.3200932224231732</v>
      </c>
      <c r="G84" s="37">
        <v>0</v>
      </c>
      <c r="H84" s="37">
        <v>-1.4586967903971628</v>
      </c>
      <c r="I84" s="37" t="s">
        <v>714</v>
      </c>
      <c r="J84" s="37"/>
      <c r="K84" s="37"/>
      <c r="L84" s="37">
        <v>1.9210010172979759</v>
      </c>
      <c r="M84" s="37">
        <v>5.0185805390402609E-4</v>
      </c>
      <c r="N84" s="37">
        <v>4.9823586752596825E-4</v>
      </c>
      <c r="O84" s="37">
        <v>-2.0206235923017846E-2</v>
      </c>
      <c r="P84" s="37">
        <v>0</v>
      </c>
      <c r="Q84" s="37">
        <v>0</v>
      </c>
      <c r="R84" s="37">
        <v>0.26324422301936001</v>
      </c>
      <c r="S84" s="37">
        <v>0.60831736017744054</v>
      </c>
      <c r="T84" s="37">
        <v>0</v>
      </c>
      <c r="U84" s="37">
        <v>1.0725508113425881</v>
      </c>
      <c r="V84" s="37" t="s">
        <v>356</v>
      </c>
      <c r="W84" s="37" t="s">
        <v>356</v>
      </c>
      <c r="X84" s="37" t="s">
        <v>356</v>
      </c>
      <c r="Y84" s="37" t="s">
        <v>356</v>
      </c>
      <c r="Z84" s="37">
        <v>0</v>
      </c>
      <c r="AA84" s="37">
        <v>0</v>
      </c>
      <c r="AB84" s="37">
        <v>0</v>
      </c>
      <c r="AC84" s="37">
        <v>0</v>
      </c>
      <c r="AD84" s="37">
        <v>0</v>
      </c>
      <c r="AE84" s="37">
        <v>0</v>
      </c>
      <c r="AF84" s="37">
        <v>0</v>
      </c>
      <c r="AG84" s="37">
        <v>-1.4586967903971628</v>
      </c>
      <c r="AH84" s="37">
        <v>0.26324422301936001</v>
      </c>
      <c r="AI84" s="37">
        <v>0.60831736017744054</v>
      </c>
      <c r="AJ84" s="37">
        <v>0</v>
      </c>
      <c r="AK84" s="37">
        <v>-0.38614597905457471</v>
      </c>
      <c r="AL84" s="37">
        <v>0.48541560414222584</v>
      </c>
      <c r="AM84" s="37">
        <v>0.99223812678566481</v>
      </c>
      <c r="AN84" s="37">
        <v>0.17733078301655855</v>
      </c>
      <c r="AO84" s="37">
        <v>0</v>
      </c>
      <c r="AP84" s="37">
        <v>0</v>
      </c>
      <c r="AQ84" s="37">
        <v>1.1695689098022233</v>
      </c>
      <c r="AR84" s="37">
        <v>0.26324422301936001</v>
      </c>
      <c r="AS84" s="36">
        <v>4.442904373693354</v>
      </c>
      <c r="AT84" s="37">
        <v>0.99223812678566481</v>
      </c>
      <c r="AU84" s="37">
        <v>0.20990682912982589</v>
      </c>
      <c r="AV84" s="37">
        <v>0</v>
      </c>
      <c r="AW84" s="37">
        <v>0</v>
      </c>
      <c r="AX84" s="37">
        <v>1.2021449559154906</v>
      </c>
      <c r="AY84" s="37">
        <v>0.60831736017744054</v>
      </c>
      <c r="AZ84" s="36">
        <v>1.9761805837085369</v>
      </c>
      <c r="BA84" s="37">
        <v>0.99223812678566481</v>
      </c>
      <c r="BB84" s="37">
        <v>0.38723761214638441</v>
      </c>
      <c r="BC84" s="37">
        <v>0</v>
      </c>
      <c r="BD84" s="37">
        <v>0</v>
      </c>
      <c r="BE84" s="37">
        <v>1.3794757389320491</v>
      </c>
      <c r="BF84" s="37">
        <v>0.87156158319680055</v>
      </c>
      <c r="BG84" s="37">
        <v>18.551476649464938</v>
      </c>
      <c r="BH84" s="36">
        <v>1.5827633589267098</v>
      </c>
      <c r="BI84" s="37">
        <v>10.083269357613185</v>
      </c>
      <c r="BJ84" s="37">
        <v>23.300901828832249</v>
      </c>
      <c r="BK84" s="37">
        <v>0</v>
      </c>
      <c r="BL84" s="37">
        <v>-14.790880777961782</v>
      </c>
      <c r="BM84" s="37">
        <v>18.593290408483654</v>
      </c>
      <c r="BN84" s="37">
        <v>0.99223812678566481</v>
      </c>
      <c r="BO84" s="37">
        <v>-0.15679369164160228</v>
      </c>
      <c r="BP84" s="37">
        <v>0.38723761214638441</v>
      </c>
      <c r="BQ84" s="37">
        <v>0</v>
      </c>
      <c r="BR84" s="37">
        <v>0</v>
      </c>
      <c r="BS84" s="37">
        <v>0</v>
      </c>
      <c r="BT84" s="37">
        <v>0</v>
      </c>
      <c r="BU84" s="37">
        <v>0</v>
      </c>
      <c r="BV84" s="37">
        <v>0</v>
      </c>
      <c r="BW84" s="37">
        <v>0</v>
      </c>
      <c r="BX84" s="37">
        <v>1.9441123945393888</v>
      </c>
      <c r="BY84" s="37"/>
      <c r="BZ84" s="37">
        <v>0</v>
      </c>
      <c r="CA84" s="37">
        <v>-1.4586967903971628</v>
      </c>
      <c r="CB84" s="37">
        <v>1.2226820472904469</v>
      </c>
      <c r="CC84" s="37">
        <v>0.48541560414222595</v>
      </c>
      <c r="CD84" s="36">
        <v>1.3509278439420478</v>
      </c>
      <c r="CE84" s="37">
        <v>9.766399183207918</v>
      </c>
      <c r="CF84" s="37">
        <v>1.8249647868192428E-2</v>
      </c>
      <c r="CG84" s="37">
        <v>-2.3641296029930838E-3</v>
      </c>
      <c r="CH84" s="37">
        <v>1.5885518265199343E-2</v>
      </c>
      <c r="CI84" s="37">
        <v>9.1247548321653834E-4</v>
      </c>
      <c r="CJ84" s="37">
        <v>-1.182064801496544E-4</v>
      </c>
      <c r="CK84" s="37">
        <v>7.9426900306688399E-4</v>
      </c>
      <c r="CL84" s="37"/>
      <c r="CM84" s="37">
        <v>-2.0006174139283333E-2</v>
      </c>
      <c r="CN84" s="37" t="s">
        <v>715</v>
      </c>
      <c r="CO84" s="37">
        <v>0</v>
      </c>
      <c r="CP84" s="37">
        <v>0</v>
      </c>
      <c r="CQ84" s="37">
        <v>-0.15679369164160228</v>
      </c>
      <c r="CR84" s="37">
        <v>0</v>
      </c>
      <c r="CS84" s="37">
        <v>0</v>
      </c>
      <c r="CT84" s="37">
        <v>-0.15679369164160228</v>
      </c>
      <c r="CU84" s="37">
        <v>0</v>
      </c>
      <c r="CV84" s="37">
        <v>9999</v>
      </c>
      <c r="CW84" s="127">
        <v>0</v>
      </c>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row>
    <row r="85" spans="1:131">
      <c r="A85" s="1" t="s">
        <v>750</v>
      </c>
      <c r="B85" s="1" t="s">
        <v>725</v>
      </c>
      <c r="C85" s="37">
        <v>12</v>
      </c>
      <c r="D85" s="37">
        <v>6.9745193151439029</v>
      </c>
      <c r="E85" s="37">
        <v>-7.2304234553197913E-2</v>
      </c>
      <c r="F85" s="37">
        <v>3.4925672929957736</v>
      </c>
      <c r="G85" s="37">
        <v>0</v>
      </c>
      <c r="H85" s="37">
        <v>-1.0203517050715445</v>
      </c>
      <c r="I85" s="37" t="s">
        <v>714</v>
      </c>
      <c r="J85" s="37"/>
      <c r="K85" s="37"/>
      <c r="L85" s="37">
        <v>7.4978046901704554</v>
      </c>
      <c r="M85" s="37">
        <v>1.9587879633994761E-3</v>
      </c>
      <c r="N85" s="37">
        <v>1.9446503102855419E-3</v>
      </c>
      <c r="O85" s="37">
        <v>-7.3027277051756781E-2</v>
      </c>
      <c r="P85" s="37">
        <v>0</v>
      </c>
      <c r="Q85" s="37">
        <v>0</v>
      </c>
      <c r="R85" s="37">
        <v>0.69646457369112746</v>
      </c>
      <c r="S85" s="37">
        <v>1.6094236981365195</v>
      </c>
      <c r="T85" s="37">
        <v>0</v>
      </c>
      <c r="U85" s="37">
        <v>2.8376449633572838</v>
      </c>
      <c r="V85" s="37" t="s">
        <v>356</v>
      </c>
      <c r="W85" s="37" t="s">
        <v>356</v>
      </c>
      <c r="X85" s="37" t="s">
        <v>356</v>
      </c>
      <c r="Y85" s="37" t="s">
        <v>356</v>
      </c>
      <c r="Z85" s="37">
        <v>0</v>
      </c>
      <c r="AA85" s="37">
        <v>0</v>
      </c>
      <c r="AB85" s="37">
        <v>0</v>
      </c>
      <c r="AC85" s="37">
        <v>0</v>
      </c>
      <c r="AD85" s="37">
        <v>0</v>
      </c>
      <c r="AE85" s="37">
        <v>0</v>
      </c>
      <c r="AF85" s="37">
        <v>0</v>
      </c>
      <c r="AG85" s="37">
        <v>-1.0203517050715445</v>
      </c>
      <c r="AH85" s="37">
        <v>0.69646457369112746</v>
      </c>
      <c r="AI85" s="37">
        <v>1.6094236981365195</v>
      </c>
      <c r="AJ85" s="37">
        <v>0</v>
      </c>
      <c r="AK85" s="37">
        <v>1.8172932582857393</v>
      </c>
      <c r="AL85" s="37">
        <v>4.1231815301133867</v>
      </c>
      <c r="AM85" s="37">
        <v>3.8727765439936324</v>
      </c>
      <c r="AN85" s="37">
        <v>0.69213475924303081</v>
      </c>
      <c r="AO85" s="37">
        <v>0</v>
      </c>
      <c r="AP85" s="37">
        <v>0</v>
      </c>
      <c r="AQ85" s="37">
        <v>4.5649113032366628</v>
      </c>
      <c r="AR85" s="37">
        <v>0.69646457369112746</v>
      </c>
      <c r="AS85" s="36">
        <v>6.5544056017716974</v>
      </c>
      <c r="AT85" s="37">
        <v>3.8727765439936324</v>
      </c>
      <c r="AU85" s="37">
        <v>0.81928140265231864</v>
      </c>
      <c r="AV85" s="37">
        <v>0</v>
      </c>
      <c r="AW85" s="37">
        <v>0</v>
      </c>
      <c r="AX85" s="37">
        <v>4.6920579466459511</v>
      </c>
      <c r="AY85" s="37">
        <v>1.6094236981365195</v>
      </c>
      <c r="AZ85" s="36">
        <v>2.9153652652677335</v>
      </c>
      <c r="BA85" s="37">
        <v>3.8727765439936324</v>
      </c>
      <c r="BB85" s="37">
        <v>1.5114161618953494</v>
      </c>
      <c r="BC85" s="37">
        <v>0</v>
      </c>
      <c r="BD85" s="37">
        <v>0</v>
      </c>
      <c r="BE85" s="37">
        <v>5.3841927058889816</v>
      </c>
      <c r="BF85" s="37">
        <v>2.305888271827647</v>
      </c>
      <c r="BG85" s="37">
        <v>7.7967686345225804</v>
      </c>
      <c r="BH85" s="36">
        <v>2.3349755370504011</v>
      </c>
      <c r="BI85" s="37">
        <v>6.834944959457248</v>
      </c>
      <c r="BJ85" s="37">
        <v>15.794518212045828</v>
      </c>
      <c r="BK85" s="37">
        <v>0</v>
      </c>
      <c r="BL85" s="37">
        <v>17.834502808586986</v>
      </c>
      <c r="BM85" s="37">
        <v>40.463965980090066</v>
      </c>
      <c r="BN85" s="37">
        <v>3.8727765439936324</v>
      </c>
      <c r="BO85" s="37">
        <v>-0.56666745865495738</v>
      </c>
      <c r="BP85" s="37">
        <v>1.5114161618953494</v>
      </c>
      <c r="BQ85" s="37">
        <v>0</v>
      </c>
      <c r="BR85" s="37">
        <v>0</v>
      </c>
      <c r="BS85" s="37">
        <v>0</v>
      </c>
      <c r="BT85" s="37">
        <v>0</v>
      </c>
      <c r="BU85" s="37">
        <v>0</v>
      </c>
      <c r="BV85" s="37">
        <v>0</v>
      </c>
      <c r="BW85" s="37">
        <v>0</v>
      </c>
      <c r="BX85" s="37">
        <v>5.1435332351849308</v>
      </c>
      <c r="BY85" s="37"/>
      <c r="BZ85" s="37">
        <v>0</v>
      </c>
      <c r="CA85" s="37">
        <v>-1.0203517050715445</v>
      </c>
      <c r="CB85" s="37">
        <v>4.8175252472340242</v>
      </c>
      <c r="CC85" s="37">
        <v>4.1231815301133867</v>
      </c>
      <c r="CD85" s="36">
        <v>1.1215970776420676</v>
      </c>
      <c r="CE85" s="37">
        <v>31.192417029733242</v>
      </c>
      <c r="CF85" s="37">
        <v>7.1229683976199346E-2</v>
      </c>
      <c r="CG85" s="37">
        <v>-8.5441914150555503E-3</v>
      </c>
      <c r="CH85" s="37">
        <v>6.2685492561143794E-2</v>
      </c>
      <c r="CI85" s="37">
        <v>3.5614572278309651E-3</v>
      </c>
      <c r="CJ85" s="37">
        <v>-4.2720957075277713E-4</v>
      </c>
      <c r="CK85" s="37">
        <v>3.134247657078188E-3</v>
      </c>
      <c r="CL85" s="37"/>
      <c r="CM85" s="37">
        <v>-7.2304234553197913E-2</v>
      </c>
      <c r="CN85" s="37" t="s">
        <v>715</v>
      </c>
      <c r="CO85" s="37">
        <v>0</v>
      </c>
      <c r="CP85" s="37">
        <v>0</v>
      </c>
      <c r="CQ85" s="37">
        <v>-0.56666745865495738</v>
      </c>
      <c r="CR85" s="37">
        <v>0</v>
      </c>
      <c r="CS85" s="37">
        <v>0</v>
      </c>
      <c r="CT85" s="37">
        <v>-0.56666745865495738</v>
      </c>
      <c r="CU85" s="37">
        <v>0</v>
      </c>
      <c r="CV85" s="37">
        <v>9999</v>
      </c>
      <c r="CW85" s="127">
        <v>0</v>
      </c>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row>
    <row r="86" spans="1:131">
      <c r="A86" s="1" t="s">
        <v>751</v>
      </c>
      <c r="B86" s="1" t="s">
        <v>727</v>
      </c>
      <c r="C86" s="37">
        <v>12</v>
      </c>
      <c r="D86" s="37">
        <v>13.031573228896434</v>
      </c>
      <c r="E86" s="37">
        <v>-0.12227858406110047</v>
      </c>
      <c r="F86" s="37">
        <v>9.2685010927030476</v>
      </c>
      <c r="G86" s="37">
        <v>0</v>
      </c>
      <c r="H86" s="37">
        <v>-1.3818165049052982</v>
      </c>
      <c r="I86" s="37" t="s">
        <v>714</v>
      </c>
      <c r="J86" s="37"/>
      <c r="K86" s="37"/>
      <c r="L86" s="37">
        <v>14.009308234872018</v>
      </c>
      <c r="M86" s="37">
        <v>3.659906529973458E-3</v>
      </c>
      <c r="N86" s="37">
        <v>3.6334909659016894E-3</v>
      </c>
      <c r="O86" s="37">
        <v>-0.12350137016050561</v>
      </c>
      <c r="P86" s="37">
        <v>0</v>
      </c>
      <c r="Q86" s="37">
        <v>0</v>
      </c>
      <c r="R86" s="37">
        <v>1.848262931176968</v>
      </c>
      <c r="S86" s="37">
        <v>4.271054514745054</v>
      </c>
      <c r="T86" s="37">
        <v>0</v>
      </c>
      <c r="U86" s="37">
        <v>7.5304820887275348</v>
      </c>
      <c r="V86" s="37" t="s">
        <v>356</v>
      </c>
      <c r="W86" s="37" t="s">
        <v>356</v>
      </c>
      <c r="X86" s="37" t="s">
        <v>356</v>
      </c>
      <c r="Y86" s="37" t="s">
        <v>356</v>
      </c>
      <c r="Z86" s="37">
        <v>0</v>
      </c>
      <c r="AA86" s="37">
        <v>0</v>
      </c>
      <c r="AB86" s="37">
        <v>0</v>
      </c>
      <c r="AC86" s="37">
        <v>0</v>
      </c>
      <c r="AD86" s="37">
        <v>0</v>
      </c>
      <c r="AE86" s="37">
        <v>0</v>
      </c>
      <c r="AF86" s="37">
        <v>0</v>
      </c>
      <c r="AG86" s="37">
        <v>-1.3818165049052982</v>
      </c>
      <c r="AH86" s="37">
        <v>1.848262931176968</v>
      </c>
      <c r="AI86" s="37">
        <v>4.271054514745054</v>
      </c>
      <c r="AJ86" s="37">
        <v>0</v>
      </c>
      <c r="AK86" s="37">
        <v>6.1486655838222362</v>
      </c>
      <c r="AL86" s="37">
        <v>12.267983029744258</v>
      </c>
      <c r="AM86" s="37">
        <v>7.2361074436517212</v>
      </c>
      <c r="AN86" s="37">
        <v>1.2932224274948561</v>
      </c>
      <c r="AO86" s="37">
        <v>0</v>
      </c>
      <c r="AP86" s="37">
        <v>0</v>
      </c>
      <c r="AQ86" s="37">
        <v>8.5293298711465777</v>
      </c>
      <c r="AR86" s="37">
        <v>1.848262931176968</v>
      </c>
      <c r="AS86" s="36">
        <v>4.6147816564795399</v>
      </c>
      <c r="AT86" s="37">
        <v>7.2361074436517212</v>
      </c>
      <c r="AU86" s="37">
        <v>1.5307901679409697</v>
      </c>
      <c r="AV86" s="37">
        <v>0</v>
      </c>
      <c r="AW86" s="37">
        <v>0</v>
      </c>
      <c r="AX86" s="37">
        <v>8.7668976115926913</v>
      </c>
      <c r="AY86" s="37">
        <v>4.271054514745054</v>
      </c>
      <c r="AZ86" s="36">
        <v>2.0526306984203879</v>
      </c>
      <c r="BA86" s="37">
        <v>7.2361074436517212</v>
      </c>
      <c r="BB86" s="37">
        <v>2.8240125954358257</v>
      </c>
      <c r="BC86" s="37">
        <v>0</v>
      </c>
      <c r="BD86" s="37">
        <v>0</v>
      </c>
      <c r="BE86" s="37">
        <v>10.060120039087547</v>
      </c>
      <c r="BF86" s="37">
        <v>6.1193174459220216</v>
      </c>
      <c r="BG86" s="37">
        <v>17.308085074581125</v>
      </c>
      <c r="BH86" s="36">
        <v>1.6439938159756229</v>
      </c>
      <c r="BI86" s="37">
        <v>9.7077185585078087</v>
      </c>
      <c r="BJ86" s="37">
        <v>22.433061053053816</v>
      </c>
      <c r="BK86" s="37">
        <v>0</v>
      </c>
      <c r="BL86" s="37">
        <v>32.294926220329096</v>
      </c>
      <c r="BM86" s="37">
        <v>64.435705831890729</v>
      </c>
      <c r="BN86" s="37">
        <v>7.2361074436517212</v>
      </c>
      <c r="BO86" s="37">
        <v>-0.95832968713401068</v>
      </c>
      <c r="BP86" s="37">
        <v>2.8240125954358257</v>
      </c>
      <c r="BQ86" s="37">
        <v>0</v>
      </c>
      <c r="BR86" s="37">
        <v>0</v>
      </c>
      <c r="BS86" s="37">
        <v>0</v>
      </c>
      <c r="BT86" s="37">
        <v>0</v>
      </c>
      <c r="BU86" s="37">
        <v>0</v>
      </c>
      <c r="BV86" s="37">
        <v>0</v>
      </c>
      <c r="BW86" s="37">
        <v>0</v>
      </c>
      <c r="BX86" s="37">
        <v>13.649799534649556</v>
      </c>
      <c r="BY86" s="37"/>
      <c r="BZ86" s="37">
        <v>0</v>
      </c>
      <c r="CA86" s="37">
        <v>-1.3818165049052982</v>
      </c>
      <c r="CB86" s="37">
        <v>9.1017903519535359</v>
      </c>
      <c r="CC86" s="37">
        <v>12.267983029744258</v>
      </c>
      <c r="CD86" s="127">
        <v>0.78325816880991761</v>
      </c>
      <c r="CE86" s="37">
        <v>54.636491505994471</v>
      </c>
      <c r="CF86" s="37">
        <v>0.13308943611232116</v>
      </c>
      <c r="CG86" s="37">
        <v>-1.4449660308779162E-2</v>
      </c>
      <c r="CH86" s="37">
        <v>0.118639775803542</v>
      </c>
      <c r="CI86" s="37">
        <v>6.6544214115642078E-3</v>
      </c>
      <c r="CJ86" s="37">
        <v>-7.2248301543895784E-4</v>
      </c>
      <c r="CK86" s="37">
        <v>5.9319383961252501E-3</v>
      </c>
      <c r="CL86" s="37"/>
      <c r="CM86" s="37">
        <v>-0.12227858406110047</v>
      </c>
      <c r="CN86" s="37" t="s">
        <v>715</v>
      </c>
      <c r="CO86" s="37">
        <v>0</v>
      </c>
      <c r="CP86" s="37">
        <v>0</v>
      </c>
      <c r="CQ86" s="37">
        <v>-0.95832968713401068</v>
      </c>
      <c r="CR86" s="37">
        <v>0</v>
      </c>
      <c r="CS86" s="37">
        <v>0</v>
      </c>
      <c r="CT86" s="37">
        <v>-0.95832968713401068</v>
      </c>
      <c r="CU86" s="37">
        <v>0</v>
      </c>
      <c r="CV86" s="37">
        <v>9999</v>
      </c>
      <c r="CW86" s="127">
        <v>0</v>
      </c>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row>
    <row r="87" spans="1:131">
      <c r="A87" s="1" t="s">
        <v>752</v>
      </c>
      <c r="B87" s="1" t="s">
        <v>729</v>
      </c>
      <c r="C87" s="37">
        <v>12</v>
      </c>
      <c r="D87" s="37">
        <v>13.954253657795835</v>
      </c>
      <c r="E87" s="37">
        <v>-0.1729841222530478</v>
      </c>
      <c r="F87" s="37">
        <v>2.0666793267960895</v>
      </c>
      <c r="G87" s="37">
        <v>0</v>
      </c>
      <c r="H87" s="37">
        <v>-10.091001479698518</v>
      </c>
      <c r="I87" s="37" t="s">
        <v>714</v>
      </c>
      <c r="J87" s="37"/>
      <c r="K87" s="37"/>
      <c r="L87" s="37">
        <v>15.001215681785107</v>
      </c>
      <c r="M87" s="37">
        <v>3.9190405629480479E-3</v>
      </c>
      <c r="N87" s="37">
        <v>3.8907546856332617E-3</v>
      </c>
      <c r="O87" s="37">
        <v>-0.17471396384168716</v>
      </c>
      <c r="P87" s="37">
        <v>0</v>
      </c>
      <c r="Q87" s="37">
        <v>0</v>
      </c>
      <c r="R87" s="37">
        <v>0.41212346550341655</v>
      </c>
      <c r="S87" s="37">
        <v>0.9523546451531405</v>
      </c>
      <c r="T87" s="37">
        <v>0</v>
      </c>
      <c r="U87" s="37">
        <v>1.6791379207835471</v>
      </c>
      <c r="V87" s="37" t="s">
        <v>356</v>
      </c>
      <c r="W87" s="37" t="s">
        <v>356</v>
      </c>
      <c r="X87" s="37" t="s">
        <v>356</v>
      </c>
      <c r="Y87" s="37" t="s">
        <v>356</v>
      </c>
      <c r="Z87" s="37">
        <v>0</v>
      </c>
      <c r="AA87" s="37">
        <v>0</v>
      </c>
      <c r="AB87" s="37">
        <v>0</v>
      </c>
      <c r="AC87" s="37">
        <v>0</v>
      </c>
      <c r="AD87" s="37">
        <v>0</v>
      </c>
      <c r="AE87" s="37">
        <v>0</v>
      </c>
      <c r="AF87" s="37">
        <v>0</v>
      </c>
      <c r="AG87" s="37">
        <v>-10.091001479698518</v>
      </c>
      <c r="AH87" s="37">
        <v>0.41212346550341655</v>
      </c>
      <c r="AI87" s="37">
        <v>0.9523546451531405</v>
      </c>
      <c r="AJ87" s="37">
        <v>0</v>
      </c>
      <c r="AK87" s="37">
        <v>-8.4118635589149697</v>
      </c>
      <c r="AL87" s="37">
        <v>-7.0473854482584137</v>
      </c>
      <c r="AM87" s="37">
        <v>7.7484488626344907</v>
      </c>
      <c r="AN87" s="37">
        <v>1.3847870454503757</v>
      </c>
      <c r="AO87" s="37">
        <v>0</v>
      </c>
      <c r="AP87" s="37">
        <v>0</v>
      </c>
      <c r="AQ87" s="37">
        <v>9.1332359080848668</v>
      </c>
      <c r="AR87" s="37">
        <v>0.41212346550341655</v>
      </c>
      <c r="AS87" s="36">
        <v>22.161407133001873</v>
      </c>
      <c r="AT87" s="37">
        <v>7.7484488626344907</v>
      </c>
      <c r="AU87" s="37">
        <v>1.6391754030850136</v>
      </c>
      <c r="AV87" s="37">
        <v>0</v>
      </c>
      <c r="AW87" s="37">
        <v>0</v>
      </c>
      <c r="AX87" s="37">
        <v>9.3876242657195039</v>
      </c>
      <c r="AY87" s="37">
        <v>0.9523546451531405</v>
      </c>
      <c r="AZ87" s="36">
        <v>9.8572777625397681</v>
      </c>
      <c r="BA87" s="37">
        <v>7.7484488626344907</v>
      </c>
      <c r="BB87" s="37">
        <v>3.0239624485353893</v>
      </c>
      <c r="BC87" s="37">
        <v>0</v>
      </c>
      <c r="BD87" s="37">
        <v>0</v>
      </c>
      <c r="BE87" s="37">
        <v>10.772411311169879</v>
      </c>
      <c r="BF87" s="37">
        <v>1.3644781106565571</v>
      </c>
      <c r="BG87" s="37">
        <v>-8.1398577831486492</v>
      </c>
      <c r="BH87" s="36">
        <v>7.8948949250541141</v>
      </c>
      <c r="BI87" s="37">
        <v>2.0214872305357794</v>
      </c>
      <c r="BJ87" s="37">
        <v>4.6713495232960645</v>
      </c>
      <c r="BK87" s="37">
        <v>0</v>
      </c>
      <c r="BL87" s="37">
        <v>-41.260632292763482</v>
      </c>
      <c r="BM87" s="37">
        <v>-34.567795538931648</v>
      </c>
      <c r="BN87" s="37">
        <v>7.7484488626344907</v>
      </c>
      <c r="BO87" s="37">
        <v>-1.3557224352146531</v>
      </c>
      <c r="BP87" s="37">
        <v>3.0239624485353893</v>
      </c>
      <c r="BQ87" s="37">
        <v>0</v>
      </c>
      <c r="BR87" s="37">
        <v>0</v>
      </c>
      <c r="BS87" s="37">
        <v>0</v>
      </c>
      <c r="BT87" s="37">
        <v>0</v>
      </c>
      <c r="BU87" s="37">
        <v>0</v>
      </c>
      <c r="BV87" s="37">
        <v>0</v>
      </c>
      <c r="BW87" s="37">
        <v>0</v>
      </c>
      <c r="BX87" s="37">
        <v>3.043616031440104</v>
      </c>
      <c r="BY87" s="37"/>
      <c r="BZ87" s="37">
        <v>0</v>
      </c>
      <c r="CA87" s="37">
        <v>-10.091001479698518</v>
      </c>
      <c r="CB87" s="37">
        <v>9.4166888759552272</v>
      </c>
      <c r="CC87" s="37">
        <v>-7.0473854482584137</v>
      </c>
      <c r="CD87" s="36">
        <v>4.7423977375245858</v>
      </c>
      <c r="CE87" s="37">
        <v>-42.750600369705722</v>
      </c>
      <c r="CF87" s="37">
        <v>0.14251262821945662</v>
      </c>
      <c r="CG87" s="37">
        <v>-2.0441533769477407E-2</v>
      </c>
      <c r="CH87" s="37">
        <v>0.12207109444997921</v>
      </c>
      <c r="CI87" s="37">
        <v>7.1255774488479234E-3</v>
      </c>
      <c r="CJ87" s="37">
        <v>-1.0220766884738697E-3</v>
      </c>
      <c r="CK87" s="37">
        <v>6.1035007603740532E-3</v>
      </c>
      <c r="CL87" s="37"/>
      <c r="CM87" s="37">
        <v>-0.1729841222530478</v>
      </c>
      <c r="CN87" s="37" t="s">
        <v>715</v>
      </c>
      <c r="CO87" s="37">
        <v>0</v>
      </c>
      <c r="CP87" s="37">
        <v>0</v>
      </c>
      <c r="CQ87" s="37">
        <v>-1.3557224352146531</v>
      </c>
      <c r="CR87" s="37">
        <v>0</v>
      </c>
      <c r="CS87" s="37">
        <v>0</v>
      </c>
      <c r="CT87" s="37">
        <v>-1.3557224352146531</v>
      </c>
      <c r="CU87" s="37">
        <v>0</v>
      </c>
      <c r="CV87" s="37">
        <v>9999</v>
      </c>
      <c r="CW87" s="127">
        <v>0</v>
      </c>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row>
    <row r="88" spans="1:131">
      <c r="A88" s="1" t="s">
        <v>753</v>
      </c>
      <c r="B88" s="1" t="s">
        <v>731</v>
      </c>
      <c r="C88" s="37">
        <v>12</v>
      </c>
      <c r="D88" s="37">
        <v>9.6104962497264026</v>
      </c>
      <c r="E88" s="37">
        <v>-0.11670880585429022</v>
      </c>
      <c r="F88" s="37">
        <v>1.9510287475567527</v>
      </c>
      <c r="G88" s="37">
        <v>0</v>
      </c>
      <c r="H88" s="37">
        <v>-15.783083430003369</v>
      </c>
      <c r="I88" s="37" t="s">
        <v>714</v>
      </c>
      <c r="J88" s="37"/>
      <c r="K88" s="37"/>
      <c r="L88" s="37">
        <v>10.331554133000125</v>
      </c>
      <c r="M88" s="37">
        <v>2.6990998985958756E-3</v>
      </c>
      <c r="N88" s="37">
        <v>2.6796190059218267E-3</v>
      </c>
      <c r="O88" s="37">
        <v>-0.11787589415983921</v>
      </c>
      <c r="P88" s="37">
        <v>0</v>
      </c>
      <c r="Q88" s="37">
        <v>0</v>
      </c>
      <c r="R88" s="37">
        <v>0.38906119508457881</v>
      </c>
      <c r="S88" s="37">
        <v>0.89906124596673609</v>
      </c>
      <c r="T88" s="37">
        <v>0</v>
      </c>
      <c r="U88" s="37">
        <v>1.5851740093806084</v>
      </c>
      <c r="V88" s="37" t="s">
        <v>356</v>
      </c>
      <c r="W88" s="37" t="s">
        <v>356</v>
      </c>
      <c r="X88" s="37" t="s">
        <v>356</v>
      </c>
      <c r="Y88" s="37" t="s">
        <v>356</v>
      </c>
      <c r="Z88" s="37">
        <v>0</v>
      </c>
      <c r="AA88" s="37">
        <v>0</v>
      </c>
      <c r="AB88" s="37">
        <v>0</v>
      </c>
      <c r="AC88" s="37">
        <v>0</v>
      </c>
      <c r="AD88" s="37">
        <v>0</v>
      </c>
      <c r="AE88" s="37">
        <v>0</v>
      </c>
      <c r="AF88" s="37">
        <v>0</v>
      </c>
      <c r="AG88" s="37">
        <v>-15.783083430003369</v>
      </c>
      <c r="AH88" s="37">
        <v>0.38906119508457881</v>
      </c>
      <c r="AI88" s="37">
        <v>0.89906124596673609</v>
      </c>
      <c r="AJ88" s="37">
        <v>0</v>
      </c>
      <c r="AK88" s="37">
        <v>-14.197909420622761</v>
      </c>
      <c r="AL88" s="37">
        <v>-12.909786979571447</v>
      </c>
      <c r="AM88" s="37">
        <v>5.3364687615480859</v>
      </c>
      <c r="AN88" s="37">
        <v>0.95372285994926542</v>
      </c>
      <c r="AO88" s="37">
        <v>0</v>
      </c>
      <c r="AP88" s="37">
        <v>0</v>
      </c>
      <c r="AQ88" s="37">
        <v>6.2901916214973514</v>
      </c>
      <c r="AR88" s="37">
        <v>0.38906119508457881</v>
      </c>
      <c r="AS88" s="36">
        <v>16.167615020382367</v>
      </c>
      <c r="AT88" s="37">
        <v>5.3364687615480859</v>
      </c>
      <c r="AU88" s="37">
        <v>1.1289237998903214</v>
      </c>
      <c r="AV88" s="37">
        <v>0</v>
      </c>
      <c r="AW88" s="37">
        <v>0</v>
      </c>
      <c r="AX88" s="37">
        <v>6.4653925614384073</v>
      </c>
      <c r="AY88" s="37">
        <v>0.89906124596673609</v>
      </c>
      <c r="AZ88" s="36">
        <v>7.1912704395197755</v>
      </c>
      <c r="BA88" s="37">
        <v>5.3364687615480859</v>
      </c>
      <c r="BB88" s="37">
        <v>2.082646659839587</v>
      </c>
      <c r="BC88" s="37">
        <v>0</v>
      </c>
      <c r="BD88" s="37">
        <v>0</v>
      </c>
      <c r="BE88" s="37">
        <v>7.4191154213876729</v>
      </c>
      <c r="BF88" s="37">
        <v>1.288122441051315</v>
      </c>
      <c r="BG88" s="37">
        <v>-5.6586339232537997</v>
      </c>
      <c r="BH88" s="36">
        <v>5.7596352527889207</v>
      </c>
      <c r="BI88" s="37">
        <v>2.7709097151057915</v>
      </c>
      <c r="BJ88" s="37">
        <v>6.403150898620912</v>
      </c>
      <c r="BK88" s="37">
        <v>0</v>
      </c>
      <c r="BL88" s="37">
        <v>-101.11809053391509</v>
      </c>
      <c r="BM88" s="37">
        <v>-91.944029920188413</v>
      </c>
      <c r="BN88" s="37">
        <v>5.3364687615480859</v>
      </c>
      <c r="BO88" s="37">
        <v>-0.91467785842399596</v>
      </c>
      <c r="BP88" s="37">
        <v>2.082646659839587</v>
      </c>
      <c r="BQ88" s="37">
        <v>0</v>
      </c>
      <c r="BR88" s="37">
        <v>0</v>
      </c>
      <c r="BS88" s="37">
        <v>0</v>
      </c>
      <c r="BT88" s="37">
        <v>0</v>
      </c>
      <c r="BU88" s="37">
        <v>0</v>
      </c>
      <c r="BV88" s="37">
        <v>0</v>
      </c>
      <c r="BW88" s="37">
        <v>0</v>
      </c>
      <c r="BX88" s="37">
        <v>2.8732964504319236</v>
      </c>
      <c r="BY88" s="37"/>
      <c r="BZ88" s="37">
        <v>0</v>
      </c>
      <c r="CA88" s="37">
        <v>-15.783083430003369</v>
      </c>
      <c r="CB88" s="37">
        <v>6.5044375629636768</v>
      </c>
      <c r="CC88" s="37">
        <v>-12.909786979571447</v>
      </c>
      <c r="CD88" s="36">
        <v>6.125226033647202</v>
      </c>
      <c r="CE88" s="37">
        <v>-100.26235140706753</v>
      </c>
      <c r="CF88" s="37">
        <v>9.8150507553413771E-2</v>
      </c>
      <c r="CG88" s="37">
        <v>-1.3791479616701192E-2</v>
      </c>
      <c r="CH88" s="37">
        <v>8.4359027936712572E-2</v>
      </c>
      <c r="CI88" s="37">
        <v>4.9074882131750581E-3</v>
      </c>
      <c r="CJ88" s="37">
        <v>-6.8957398083505919E-4</v>
      </c>
      <c r="CK88" s="37">
        <v>4.2179142323399994E-3</v>
      </c>
      <c r="CL88" s="37"/>
      <c r="CM88" s="37">
        <v>-0.11670880585429022</v>
      </c>
      <c r="CN88" s="37" t="s">
        <v>715</v>
      </c>
      <c r="CO88" s="37">
        <v>0</v>
      </c>
      <c r="CP88" s="37">
        <v>0</v>
      </c>
      <c r="CQ88" s="37">
        <v>-0.91467785842399596</v>
      </c>
      <c r="CR88" s="37">
        <v>0</v>
      </c>
      <c r="CS88" s="37">
        <v>0</v>
      </c>
      <c r="CT88" s="37">
        <v>-0.91467785842399596</v>
      </c>
      <c r="CU88" s="37">
        <v>0</v>
      </c>
      <c r="CV88" s="37">
        <v>9999</v>
      </c>
      <c r="CW88" s="127">
        <v>0</v>
      </c>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row>
    <row r="89" spans="1:131">
      <c r="A89" s="1" t="s">
        <v>754</v>
      </c>
      <c r="B89" s="1" t="s">
        <v>733</v>
      </c>
      <c r="C89" s="37">
        <v>12</v>
      </c>
      <c r="D89" s="37">
        <v>10.39786331991872</v>
      </c>
      <c r="E89" s="37">
        <v>-0.1063795378277818</v>
      </c>
      <c r="F89" s="37">
        <v>7.5966821450610711</v>
      </c>
      <c r="G89" s="37">
        <v>0</v>
      </c>
      <c r="H89" s="37">
        <v>-29.31455908553146</v>
      </c>
      <c r="I89" s="37" t="s">
        <v>714</v>
      </c>
      <c r="J89" s="37"/>
      <c r="K89" s="37"/>
      <c r="L89" s="37">
        <v>11.177995908414712</v>
      </c>
      <c r="M89" s="37">
        <v>2.920231287037374E-3</v>
      </c>
      <c r="N89" s="37">
        <v>2.8991543671665057E-3</v>
      </c>
      <c r="O89" s="37">
        <v>-0.10744333343120452</v>
      </c>
      <c r="P89" s="37">
        <v>0</v>
      </c>
      <c r="Q89" s="37">
        <v>0</v>
      </c>
      <c r="R89" s="37">
        <v>1.5148799000201141</v>
      </c>
      <c r="S89" s="37">
        <v>3.5006570370143626</v>
      </c>
      <c r="T89" s="37">
        <v>0</v>
      </c>
      <c r="U89" s="37">
        <v>6.1721607684954174</v>
      </c>
      <c r="V89" s="37" t="s">
        <v>356</v>
      </c>
      <c r="W89" s="37" t="s">
        <v>356</v>
      </c>
      <c r="X89" s="37" t="s">
        <v>356</v>
      </c>
      <c r="Y89" s="37" t="s">
        <v>356</v>
      </c>
      <c r="Z89" s="37">
        <v>0</v>
      </c>
      <c r="AA89" s="37">
        <v>0</v>
      </c>
      <c r="AB89" s="37">
        <v>0</v>
      </c>
      <c r="AC89" s="37">
        <v>0</v>
      </c>
      <c r="AD89" s="37">
        <v>0</v>
      </c>
      <c r="AE89" s="37">
        <v>0</v>
      </c>
      <c r="AF89" s="37">
        <v>0</v>
      </c>
      <c r="AG89" s="37">
        <v>-29.31455908553146</v>
      </c>
      <c r="AH89" s="37">
        <v>1.5148799000201141</v>
      </c>
      <c r="AI89" s="37">
        <v>3.5006570370143626</v>
      </c>
      <c r="AJ89" s="37">
        <v>0</v>
      </c>
      <c r="AK89" s="37">
        <v>-23.142398317036044</v>
      </c>
      <c r="AL89" s="37">
        <v>-18.126861380001564</v>
      </c>
      <c r="AM89" s="37">
        <v>5.7736740488476377</v>
      </c>
      <c r="AN89" s="37">
        <v>1.0318593010341957</v>
      </c>
      <c r="AO89" s="37">
        <v>0</v>
      </c>
      <c r="AP89" s="37">
        <v>0</v>
      </c>
      <c r="AQ89" s="37">
        <v>6.8055333498818333</v>
      </c>
      <c r="AR89" s="37">
        <v>1.5148799000201141</v>
      </c>
      <c r="AS89" s="36">
        <v>4.4924573557227019</v>
      </c>
      <c r="AT89" s="37">
        <v>5.7736740488476377</v>
      </c>
      <c r="AU89" s="37">
        <v>1.2214140732011636</v>
      </c>
      <c r="AV89" s="37">
        <v>0</v>
      </c>
      <c r="AW89" s="37">
        <v>0</v>
      </c>
      <c r="AX89" s="37">
        <v>6.9950881220488013</v>
      </c>
      <c r="AY89" s="37">
        <v>3.5006570370143626</v>
      </c>
      <c r="AZ89" s="36">
        <v>1.9982214904476234</v>
      </c>
      <c r="BA89" s="37">
        <v>5.7736740488476377</v>
      </c>
      <c r="BB89" s="37">
        <v>2.2532733742353592</v>
      </c>
      <c r="BC89" s="37">
        <v>0</v>
      </c>
      <c r="BD89" s="37">
        <v>0</v>
      </c>
      <c r="BE89" s="37">
        <v>8.0269474230829978</v>
      </c>
      <c r="BF89" s="37">
        <v>5.0155369370344767</v>
      </c>
      <c r="BG89" s="37">
        <v>18.183240491861934</v>
      </c>
      <c r="BH89" s="36">
        <v>1.6004163709397523</v>
      </c>
      <c r="BI89" s="37">
        <v>9.9720482539474133</v>
      </c>
      <c r="BJ89" s="37">
        <v>23.043886774895025</v>
      </c>
      <c r="BK89" s="37">
        <v>0</v>
      </c>
      <c r="BL89" s="37">
        <v>-152.34020381846156</v>
      </c>
      <c r="BM89" s="37">
        <v>-119.3242687896191</v>
      </c>
      <c r="BN89" s="37">
        <v>5.7736740488476377</v>
      </c>
      <c r="BO89" s="37">
        <v>-0.83372464595286755</v>
      </c>
      <c r="BP89" s="37">
        <v>2.2532733742353592</v>
      </c>
      <c r="BQ89" s="37">
        <v>0</v>
      </c>
      <c r="BR89" s="37">
        <v>0</v>
      </c>
      <c r="BS89" s="37">
        <v>0</v>
      </c>
      <c r="BT89" s="37">
        <v>0</v>
      </c>
      <c r="BU89" s="37">
        <v>0</v>
      </c>
      <c r="BV89" s="37">
        <v>0</v>
      </c>
      <c r="BW89" s="37">
        <v>0</v>
      </c>
      <c r="BX89" s="37">
        <v>11.187697705529894</v>
      </c>
      <c r="BY89" s="37"/>
      <c r="BZ89" s="37">
        <v>0</v>
      </c>
      <c r="CA89" s="37">
        <v>-29.31455908553146</v>
      </c>
      <c r="CB89" s="37">
        <v>7.1932227771301305</v>
      </c>
      <c r="CC89" s="37">
        <v>-18.126861380001564</v>
      </c>
      <c r="CD89" s="36">
        <v>3.1062469495557345</v>
      </c>
      <c r="CE89" s="37">
        <v>-128.66877749758649</v>
      </c>
      <c r="CF89" s="37">
        <v>0.1061917653159796</v>
      </c>
      <c r="CG89" s="37">
        <v>-1.2570870011450927E-2</v>
      </c>
      <c r="CH89" s="37">
        <v>9.3620895304528676E-2</v>
      </c>
      <c r="CI89" s="37">
        <v>5.3095480564969866E-3</v>
      </c>
      <c r="CJ89" s="37">
        <v>-6.2854350057254637E-4</v>
      </c>
      <c r="CK89" s="37">
        <v>4.6810045559244401E-3</v>
      </c>
      <c r="CL89" s="37"/>
      <c r="CM89" s="37">
        <v>-0.1063795378277818</v>
      </c>
      <c r="CN89" s="37" t="s">
        <v>715</v>
      </c>
      <c r="CO89" s="37">
        <v>0</v>
      </c>
      <c r="CP89" s="37">
        <v>0</v>
      </c>
      <c r="CQ89" s="37">
        <v>-0.83372464595286755</v>
      </c>
      <c r="CR89" s="37">
        <v>0</v>
      </c>
      <c r="CS89" s="37">
        <v>0</v>
      </c>
      <c r="CT89" s="37">
        <v>-0.83372464595286755</v>
      </c>
      <c r="CU89" s="37">
        <v>0</v>
      </c>
      <c r="CV89" s="37">
        <v>9999</v>
      </c>
      <c r="CW89" s="127">
        <v>0</v>
      </c>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row>
    <row r="90" spans="1:131">
      <c r="A90" s="1" t="s">
        <v>755</v>
      </c>
      <c r="B90" s="1" t="s">
        <v>735</v>
      </c>
      <c r="C90" s="37">
        <v>12</v>
      </c>
      <c r="D90" s="37">
        <v>19.834322301664386</v>
      </c>
      <c r="E90" s="37">
        <v>-0.23163430687091785</v>
      </c>
      <c r="F90" s="37">
        <v>7.7516912275500349</v>
      </c>
      <c r="G90" s="37">
        <v>0</v>
      </c>
      <c r="H90" s="37">
        <v>-24.756973476248003</v>
      </c>
      <c r="I90" s="37" t="s">
        <v>714</v>
      </c>
      <c r="J90" s="37"/>
      <c r="K90" s="37"/>
      <c r="L90" s="37">
        <v>21.322455076849025</v>
      </c>
      <c r="M90" s="37">
        <v>5.5704529633071051E-3</v>
      </c>
      <c r="N90" s="37">
        <v>5.530247931851813E-3</v>
      </c>
      <c r="O90" s="37">
        <v>-0.23395065042986496</v>
      </c>
      <c r="P90" s="37">
        <v>0</v>
      </c>
      <c r="Q90" s="37">
        <v>0</v>
      </c>
      <c r="R90" s="37">
        <v>1.5457907817575787</v>
      </c>
      <c r="S90" s="37">
        <v>3.5720873831910707</v>
      </c>
      <c r="T90" s="37">
        <v>0</v>
      </c>
      <c r="U90" s="37">
        <v>6.2981027204462263</v>
      </c>
      <c r="V90" s="37" t="s">
        <v>356</v>
      </c>
      <c r="W90" s="37" t="s">
        <v>356</v>
      </c>
      <c r="X90" s="37" t="s">
        <v>356</v>
      </c>
      <c r="Y90" s="37" t="s">
        <v>356</v>
      </c>
      <c r="Z90" s="37">
        <v>0</v>
      </c>
      <c r="AA90" s="37">
        <v>0</v>
      </c>
      <c r="AB90" s="37">
        <v>0</v>
      </c>
      <c r="AC90" s="37">
        <v>0</v>
      </c>
      <c r="AD90" s="37">
        <v>0</v>
      </c>
      <c r="AE90" s="37">
        <v>0</v>
      </c>
      <c r="AF90" s="37">
        <v>0</v>
      </c>
      <c r="AG90" s="37">
        <v>-24.756973476248003</v>
      </c>
      <c r="AH90" s="37">
        <v>1.5457907817575787</v>
      </c>
      <c r="AI90" s="37">
        <v>3.5720873831910707</v>
      </c>
      <c r="AJ90" s="37">
        <v>0</v>
      </c>
      <c r="AK90" s="37">
        <v>-18.458870755801776</v>
      </c>
      <c r="AL90" s="37">
        <v>-13.340992590853126</v>
      </c>
      <c r="AM90" s="37">
        <v>11.013504258151261</v>
      </c>
      <c r="AN90" s="37">
        <v>1.9683111151765325</v>
      </c>
      <c r="AO90" s="37">
        <v>0</v>
      </c>
      <c r="AP90" s="37">
        <v>0</v>
      </c>
      <c r="AQ90" s="37">
        <v>12.981815373327795</v>
      </c>
      <c r="AR90" s="37">
        <v>1.5457907817575787</v>
      </c>
      <c r="AS90" s="36">
        <v>8.3981710374591234</v>
      </c>
      <c r="AT90" s="37">
        <v>11.013504258151261</v>
      </c>
      <c r="AU90" s="37">
        <v>2.3298940990359109</v>
      </c>
      <c r="AV90" s="37">
        <v>0</v>
      </c>
      <c r="AW90" s="37">
        <v>0</v>
      </c>
      <c r="AX90" s="37">
        <v>13.343398357187173</v>
      </c>
      <c r="AY90" s="37">
        <v>3.5720873831910707</v>
      </c>
      <c r="AZ90" s="36">
        <v>3.7354624693607152</v>
      </c>
      <c r="BA90" s="37">
        <v>11.013504258151261</v>
      </c>
      <c r="BB90" s="37">
        <v>4.2982052142124436</v>
      </c>
      <c r="BC90" s="37">
        <v>0</v>
      </c>
      <c r="BD90" s="37">
        <v>0</v>
      </c>
      <c r="BE90" s="37">
        <v>15.311709472363706</v>
      </c>
      <c r="BF90" s="37">
        <v>5.1178781649486496</v>
      </c>
      <c r="BG90" s="37">
        <v>2.8286128494503</v>
      </c>
      <c r="BH90" s="36">
        <v>2.99180812416181</v>
      </c>
      <c r="BI90" s="37">
        <v>5.3343759409336577</v>
      </c>
      <c r="BJ90" s="37">
        <v>12.326931445497147</v>
      </c>
      <c r="BK90" s="37">
        <v>0</v>
      </c>
      <c r="BL90" s="37">
        <v>-63.699795094259443</v>
      </c>
      <c r="BM90" s="37">
        <v>-46.038487707828629</v>
      </c>
      <c r="BN90" s="37">
        <v>11.013504258151261</v>
      </c>
      <c r="BO90" s="37">
        <v>-1.8153794839674411</v>
      </c>
      <c r="BP90" s="37">
        <v>4.2982052142124436</v>
      </c>
      <c r="BQ90" s="37">
        <v>0</v>
      </c>
      <c r="BR90" s="37">
        <v>0</v>
      </c>
      <c r="BS90" s="37">
        <v>0</v>
      </c>
      <c r="BT90" s="37">
        <v>0</v>
      </c>
      <c r="BU90" s="37">
        <v>0</v>
      </c>
      <c r="BV90" s="37">
        <v>0</v>
      </c>
      <c r="BW90" s="37">
        <v>0</v>
      </c>
      <c r="BX90" s="37">
        <v>11.415980885394877</v>
      </c>
      <c r="BY90" s="37"/>
      <c r="BZ90" s="37">
        <v>0</v>
      </c>
      <c r="CA90" s="37">
        <v>-24.756973476248003</v>
      </c>
      <c r="CB90" s="37">
        <v>13.496329988396266</v>
      </c>
      <c r="CC90" s="37">
        <v>-13.340992590853126</v>
      </c>
      <c r="CD90" s="36">
        <v>3.0283116648679722</v>
      </c>
      <c r="CE90" s="37">
        <v>-54.606481512197853</v>
      </c>
      <c r="CF90" s="37">
        <v>0.20256485724571985</v>
      </c>
      <c r="CG90" s="37">
        <v>-2.7372226100294224E-2</v>
      </c>
      <c r="CH90" s="37">
        <v>0.17519263114542563</v>
      </c>
      <c r="CI90" s="37">
        <v>1.0128166161503284E-2</v>
      </c>
      <c r="CJ90" s="37">
        <v>-1.3686113050147097E-3</v>
      </c>
      <c r="CK90" s="37">
        <v>8.7595548564885738E-3</v>
      </c>
      <c r="CL90" s="37"/>
      <c r="CM90" s="37">
        <v>-0.23163430687091785</v>
      </c>
      <c r="CN90" s="37" t="s">
        <v>715</v>
      </c>
      <c r="CO90" s="37">
        <v>0</v>
      </c>
      <c r="CP90" s="37">
        <v>0</v>
      </c>
      <c r="CQ90" s="37">
        <v>-1.8153794839674411</v>
      </c>
      <c r="CR90" s="37">
        <v>0</v>
      </c>
      <c r="CS90" s="37">
        <v>0</v>
      </c>
      <c r="CT90" s="37">
        <v>-1.8153794839674411</v>
      </c>
      <c r="CU90" s="37">
        <v>0</v>
      </c>
      <c r="CV90" s="37">
        <v>9999</v>
      </c>
      <c r="CW90" s="127">
        <v>0</v>
      </c>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row>
    <row r="91" spans="1:131">
      <c r="A91" s="1" t="s">
        <v>756</v>
      </c>
      <c r="B91" s="1" t="s">
        <v>737</v>
      </c>
      <c r="C91" s="37">
        <v>12</v>
      </c>
      <c r="D91" s="37">
        <v>15.124092126814682</v>
      </c>
      <c r="E91" s="37">
        <v>-0.15054276323207694</v>
      </c>
      <c r="F91" s="37">
        <v>5.5856098464851964</v>
      </c>
      <c r="G91" s="37">
        <v>0</v>
      </c>
      <c r="H91" s="37">
        <v>-19.9637595063795</v>
      </c>
      <c r="I91" s="37" t="s">
        <v>714</v>
      </c>
      <c r="J91" s="37"/>
      <c r="K91" s="37"/>
      <c r="L91" s="37">
        <v>16.258824982644914</v>
      </c>
      <c r="M91" s="37">
        <v>4.2475887264408763E-3</v>
      </c>
      <c r="N91" s="37">
        <v>4.2169315358173125E-3</v>
      </c>
      <c r="O91" s="37">
        <v>-0.15204819118301102</v>
      </c>
      <c r="P91" s="37">
        <v>0</v>
      </c>
      <c r="Q91" s="37">
        <v>0</v>
      </c>
      <c r="R91" s="37">
        <v>1.1138452187704155</v>
      </c>
      <c r="S91" s="37">
        <v>2.5739268856769999</v>
      </c>
      <c r="T91" s="37">
        <v>0</v>
      </c>
      <c r="U91" s="37">
        <v>4.538202507921369</v>
      </c>
      <c r="V91" s="37" t="s">
        <v>356</v>
      </c>
      <c r="W91" s="37" t="s">
        <v>356</v>
      </c>
      <c r="X91" s="37" t="s">
        <v>356</v>
      </c>
      <c r="Y91" s="37" t="s">
        <v>356</v>
      </c>
      <c r="Z91" s="37">
        <v>0</v>
      </c>
      <c r="AA91" s="37">
        <v>0</v>
      </c>
      <c r="AB91" s="37">
        <v>0</v>
      </c>
      <c r="AC91" s="37">
        <v>0</v>
      </c>
      <c r="AD91" s="37">
        <v>0</v>
      </c>
      <c r="AE91" s="37">
        <v>0</v>
      </c>
      <c r="AF91" s="37">
        <v>0</v>
      </c>
      <c r="AG91" s="37">
        <v>-19.9637595063795</v>
      </c>
      <c r="AH91" s="37">
        <v>1.1138452187704155</v>
      </c>
      <c r="AI91" s="37">
        <v>2.5739268856769999</v>
      </c>
      <c r="AJ91" s="37">
        <v>0</v>
      </c>
      <c r="AK91" s="37">
        <v>-15.425556998458131</v>
      </c>
      <c r="AL91" s="37">
        <v>-11.737784894010716</v>
      </c>
      <c r="AM91" s="37">
        <v>8.3980309740841417</v>
      </c>
      <c r="AN91" s="37">
        <v>1.5008790412599664</v>
      </c>
      <c r="AO91" s="37">
        <v>0</v>
      </c>
      <c r="AP91" s="37">
        <v>0</v>
      </c>
      <c r="AQ91" s="37">
        <v>9.8989100153441072</v>
      </c>
      <c r="AR91" s="37">
        <v>1.1138452187704155</v>
      </c>
      <c r="AS91" s="36">
        <v>8.8871504303547759</v>
      </c>
      <c r="AT91" s="37">
        <v>8.3980309740841417</v>
      </c>
      <c r="AU91" s="37">
        <v>1.7765937481304348</v>
      </c>
      <c r="AV91" s="37">
        <v>0</v>
      </c>
      <c r="AW91" s="37">
        <v>0</v>
      </c>
      <c r="AX91" s="37">
        <v>10.174624722214576</v>
      </c>
      <c r="AY91" s="37">
        <v>2.5739268856769999</v>
      </c>
      <c r="AZ91" s="36">
        <v>3.952957940970582</v>
      </c>
      <c r="BA91" s="37">
        <v>8.3980309740841417</v>
      </c>
      <c r="BB91" s="37">
        <v>3.2774727893904014</v>
      </c>
      <c r="BC91" s="37">
        <v>0</v>
      </c>
      <c r="BD91" s="37">
        <v>0</v>
      </c>
      <c r="BE91" s="37">
        <v>11.675503763474541</v>
      </c>
      <c r="BF91" s="37">
        <v>3.6877721044474154</v>
      </c>
      <c r="BG91" s="37">
        <v>1.8568710711111587</v>
      </c>
      <c r="BH91" s="36">
        <v>3.1660046859712407</v>
      </c>
      <c r="BI91" s="37">
        <v>5.0408735489671912</v>
      </c>
      <c r="BJ91" s="37">
        <v>11.64869205912446</v>
      </c>
      <c r="BK91" s="37">
        <v>0</v>
      </c>
      <c r="BL91" s="37">
        <v>-69.810671124890618</v>
      </c>
      <c r="BM91" s="37">
        <v>-53.12110551679897</v>
      </c>
      <c r="BN91" s="37">
        <v>8.3980309740841417</v>
      </c>
      <c r="BO91" s="37">
        <v>-1.1798435539325245</v>
      </c>
      <c r="BP91" s="37">
        <v>3.2774727893904014</v>
      </c>
      <c r="BQ91" s="37">
        <v>0</v>
      </c>
      <c r="BR91" s="37">
        <v>0</v>
      </c>
      <c r="BS91" s="37">
        <v>0</v>
      </c>
      <c r="BT91" s="37">
        <v>0</v>
      </c>
      <c r="BU91" s="37">
        <v>0</v>
      </c>
      <c r="BV91" s="37">
        <v>0</v>
      </c>
      <c r="BW91" s="37">
        <v>0</v>
      </c>
      <c r="BX91" s="37">
        <v>8.225974612368784</v>
      </c>
      <c r="BY91" s="37"/>
      <c r="BZ91" s="37">
        <v>0</v>
      </c>
      <c r="CA91" s="37">
        <v>-19.9637595063795</v>
      </c>
      <c r="CB91" s="37">
        <v>10.495660209542017</v>
      </c>
      <c r="CC91" s="37">
        <v>-11.737784894010716</v>
      </c>
      <c r="CD91" s="36">
        <v>3.3637970360951268</v>
      </c>
      <c r="CE91" s="37">
        <v>-62.614241143158694</v>
      </c>
      <c r="CF91" s="37">
        <v>0.15446000705465215</v>
      </c>
      <c r="CG91" s="37">
        <v>-1.7789638368412266E-2</v>
      </c>
      <c r="CH91" s="37">
        <v>0.13667036868623988</v>
      </c>
      <c r="CI91" s="37">
        <v>7.7229418667563322E-3</v>
      </c>
      <c r="CJ91" s="37">
        <v>-8.8948191842061421E-4</v>
      </c>
      <c r="CK91" s="37">
        <v>6.8334599483357182E-3</v>
      </c>
      <c r="CL91" s="37"/>
      <c r="CM91" s="37">
        <v>-0.15054276323207694</v>
      </c>
      <c r="CN91" s="37" t="s">
        <v>715</v>
      </c>
      <c r="CO91" s="37">
        <v>0</v>
      </c>
      <c r="CP91" s="37">
        <v>0</v>
      </c>
      <c r="CQ91" s="37">
        <v>-1.1798435539325245</v>
      </c>
      <c r="CR91" s="37">
        <v>0</v>
      </c>
      <c r="CS91" s="37">
        <v>0</v>
      </c>
      <c r="CT91" s="37">
        <v>-1.1798435539325245</v>
      </c>
      <c r="CU91" s="37">
        <v>0</v>
      </c>
      <c r="CV91" s="37">
        <v>9999</v>
      </c>
      <c r="CW91" s="127">
        <v>0</v>
      </c>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row>
    <row r="92" spans="1:131">
      <c r="A92" s="1" t="s">
        <v>757</v>
      </c>
      <c r="B92" s="1" t="s">
        <v>739</v>
      </c>
      <c r="C92" s="37">
        <v>12</v>
      </c>
      <c r="D92" s="37">
        <v>80.966958939438442</v>
      </c>
      <c r="E92" s="37">
        <v>-0.25787051138749234</v>
      </c>
      <c r="F92" s="37">
        <v>12.02981381264515</v>
      </c>
      <c r="G92" s="37">
        <v>0</v>
      </c>
      <c r="H92" s="37">
        <v>-41.6728553859801</v>
      </c>
      <c r="I92" s="37" t="s">
        <v>714</v>
      </c>
      <c r="J92" s="37"/>
      <c r="K92" s="37"/>
      <c r="L92" s="37">
        <v>87.041761167225999</v>
      </c>
      <c r="M92" s="37">
        <v>2.2739503245659785E-2</v>
      </c>
      <c r="N92" s="37">
        <v>2.2575379708616811E-2</v>
      </c>
      <c r="O92" s="37">
        <v>-0.26044921704713231</v>
      </c>
      <c r="P92" s="37">
        <v>0</v>
      </c>
      <c r="Q92" s="37">
        <v>0</v>
      </c>
      <c r="R92" s="37">
        <v>2.3989055745353909</v>
      </c>
      <c r="S92" s="37">
        <v>5.5435059112730949</v>
      </c>
      <c r="T92" s="37">
        <v>0</v>
      </c>
      <c r="U92" s="37">
        <v>9.7739965222825269</v>
      </c>
      <c r="V92" s="37" t="s">
        <v>356</v>
      </c>
      <c r="W92" s="37" t="s">
        <v>356</v>
      </c>
      <c r="X92" s="37" t="s">
        <v>356</v>
      </c>
      <c r="Y92" s="37" t="s">
        <v>356</v>
      </c>
      <c r="Z92" s="37">
        <v>0</v>
      </c>
      <c r="AA92" s="37">
        <v>0</v>
      </c>
      <c r="AB92" s="37">
        <v>0</v>
      </c>
      <c r="AC92" s="37">
        <v>0</v>
      </c>
      <c r="AD92" s="37">
        <v>0</v>
      </c>
      <c r="AE92" s="37">
        <v>0</v>
      </c>
      <c r="AF92" s="37">
        <v>0</v>
      </c>
      <c r="AG92" s="37">
        <v>-41.6728553859801</v>
      </c>
      <c r="AH92" s="37">
        <v>2.3989055745353909</v>
      </c>
      <c r="AI92" s="37">
        <v>5.5435059112730949</v>
      </c>
      <c r="AJ92" s="37">
        <v>0</v>
      </c>
      <c r="AK92" s="37">
        <v>-31.898858863697573</v>
      </c>
      <c r="AL92" s="37">
        <v>-23.956447377889088</v>
      </c>
      <c r="AM92" s="37">
        <v>44.958931970881373</v>
      </c>
      <c r="AN92" s="37">
        <v>8.0349690208051765</v>
      </c>
      <c r="AO92" s="37">
        <v>0</v>
      </c>
      <c r="AP92" s="37">
        <v>0</v>
      </c>
      <c r="AQ92" s="37">
        <v>52.993900991686552</v>
      </c>
      <c r="AR92" s="37">
        <v>2.3989055745353909</v>
      </c>
      <c r="AS92" s="36">
        <v>22.090865749040653</v>
      </c>
      <c r="AT92" s="37">
        <v>44.958931970881373</v>
      </c>
      <c r="AU92" s="37">
        <v>9.5110101056515823</v>
      </c>
      <c r="AV92" s="37">
        <v>0</v>
      </c>
      <c r="AW92" s="37">
        <v>0</v>
      </c>
      <c r="AX92" s="37">
        <v>54.469942076532959</v>
      </c>
      <c r="AY92" s="37">
        <v>5.5435059112730949</v>
      </c>
      <c r="AZ92" s="36">
        <v>9.8259013246048212</v>
      </c>
      <c r="BA92" s="37">
        <v>44.958931970881373</v>
      </c>
      <c r="BB92" s="37">
        <v>17.545979126456757</v>
      </c>
      <c r="BC92" s="37">
        <v>0</v>
      </c>
      <c r="BD92" s="37">
        <v>0</v>
      </c>
      <c r="BE92" s="37">
        <v>62.504911097338137</v>
      </c>
      <c r="BF92" s="37">
        <v>7.9424114858084858</v>
      </c>
      <c r="BG92" s="37">
        <v>-8.1184859649227334</v>
      </c>
      <c r="BH92" s="36">
        <v>7.869764895588955</v>
      </c>
      <c r="BI92" s="37">
        <v>2.02794231964464</v>
      </c>
      <c r="BJ92" s="37">
        <v>4.6862662524131311</v>
      </c>
      <c r="BK92" s="37">
        <v>0</v>
      </c>
      <c r="BL92" s="37">
        <v>-26.966065911365657</v>
      </c>
      <c r="BM92" s="37">
        <v>-20.251857339307886</v>
      </c>
      <c r="BN92" s="37">
        <v>44.958931970881373</v>
      </c>
      <c r="BO92" s="37">
        <v>-2.0209995756540584</v>
      </c>
      <c r="BP92" s="37">
        <v>17.545979126456757</v>
      </c>
      <c r="BQ92" s="37">
        <v>0</v>
      </c>
      <c r="BR92" s="37">
        <v>0</v>
      </c>
      <c r="BS92" s="37">
        <v>0</v>
      </c>
      <c r="BT92" s="37">
        <v>0</v>
      </c>
      <c r="BU92" s="37">
        <v>0</v>
      </c>
      <c r="BV92" s="37">
        <v>0</v>
      </c>
      <c r="BW92" s="37">
        <v>0</v>
      </c>
      <c r="BX92" s="37">
        <v>17.716408008091012</v>
      </c>
      <c r="BY92" s="37"/>
      <c r="BZ92" s="37">
        <v>0</v>
      </c>
      <c r="CA92" s="37">
        <v>-41.6728553859801</v>
      </c>
      <c r="CB92" s="37">
        <v>60.483911521684078</v>
      </c>
      <c r="CC92" s="37">
        <v>-23.956447377889088</v>
      </c>
      <c r="CD92" s="36">
        <v>5.2781889435730571</v>
      </c>
      <c r="CE92" s="37">
        <v>-33.3760767237195</v>
      </c>
      <c r="CF92" s="37">
        <v>0.82690299319231697</v>
      </c>
      <c r="CG92" s="37">
        <v>-3.0472558394514525E-2</v>
      </c>
      <c r="CH92" s="37">
        <v>0.7964304347978024</v>
      </c>
      <c r="CI92" s="37">
        <v>4.1344836554432343E-2</v>
      </c>
      <c r="CJ92" s="37">
        <v>-1.523627919725724E-3</v>
      </c>
      <c r="CK92" s="37">
        <v>3.9821208634706617E-2</v>
      </c>
      <c r="CL92" s="37"/>
      <c r="CM92" s="37">
        <v>-0.25787051138749234</v>
      </c>
      <c r="CN92" s="37" t="s">
        <v>715</v>
      </c>
      <c r="CO92" s="37">
        <v>0</v>
      </c>
      <c r="CP92" s="37">
        <v>0</v>
      </c>
      <c r="CQ92" s="37">
        <v>-2.0209995756540584</v>
      </c>
      <c r="CR92" s="37">
        <v>0</v>
      </c>
      <c r="CS92" s="37">
        <v>0</v>
      </c>
      <c r="CT92" s="37">
        <v>-2.0209995756540584</v>
      </c>
      <c r="CU92" s="37">
        <v>0</v>
      </c>
      <c r="CV92" s="37">
        <v>9999</v>
      </c>
      <c r="CW92" s="127">
        <v>0</v>
      </c>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row>
    <row r="93" spans="1:131">
      <c r="A93" s="1" t="s">
        <v>758</v>
      </c>
      <c r="B93" s="1" t="s">
        <v>741</v>
      </c>
      <c r="C93" s="37">
        <v>12</v>
      </c>
      <c r="D93" s="37">
        <v>47.136987482854579</v>
      </c>
      <c r="E93" s="37">
        <v>-0.58944493078954363</v>
      </c>
      <c r="F93" s="37">
        <v>8.7470279229324603</v>
      </c>
      <c r="G93" s="37">
        <v>0</v>
      </c>
      <c r="H93" s="37">
        <v>-13.461890678054216</v>
      </c>
      <c r="I93" s="37" t="s">
        <v>714</v>
      </c>
      <c r="J93" s="37"/>
      <c r="K93" s="37"/>
      <c r="L93" s="37">
        <v>50.673589083344737</v>
      </c>
      <c r="M93" s="37">
        <v>1.3238383828380332E-2</v>
      </c>
      <c r="N93" s="37">
        <v>1.3142835110575296E-2</v>
      </c>
      <c r="O93" s="37">
        <v>-0.59533938134495834</v>
      </c>
      <c r="P93" s="37">
        <v>0</v>
      </c>
      <c r="Q93" s="37">
        <v>0</v>
      </c>
      <c r="R93" s="37">
        <v>1.7442742150242418</v>
      </c>
      <c r="S93" s="37">
        <v>4.0307524083105468</v>
      </c>
      <c r="T93" s="37">
        <v>0</v>
      </c>
      <c r="U93" s="37">
        <v>7.106794987066511</v>
      </c>
      <c r="V93" s="37" t="s">
        <v>356</v>
      </c>
      <c r="W93" s="37" t="s">
        <v>356</v>
      </c>
      <c r="X93" s="37" t="s">
        <v>356</v>
      </c>
      <c r="Y93" s="37" t="s">
        <v>356</v>
      </c>
      <c r="Z93" s="37">
        <v>0</v>
      </c>
      <c r="AA93" s="37">
        <v>0</v>
      </c>
      <c r="AB93" s="37">
        <v>0</v>
      </c>
      <c r="AC93" s="37">
        <v>0</v>
      </c>
      <c r="AD93" s="37">
        <v>0</v>
      </c>
      <c r="AE93" s="37">
        <v>0</v>
      </c>
      <c r="AF93" s="37">
        <v>0</v>
      </c>
      <c r="AG93" s="37">
        <v>-13.461890678054216</v>
      </c>
      <c r="AH93" s="37">
        <v>1.7442742150242418</v>
      </c>
      <c r="AI93" s="37">
        <v>4.0307524083105468</v>
      </c>
      <c r="AJ93" s="37">
        <v>0</v>
      </c>
      <c r="AK93" s="37">
        <v>-6.3550956909877048</v>
      </c>
      <c r="AL93" s="37">
        <v>-0.5800690676529161</v>
      </c>
      <c r="AM93" s="37">
        <v>26.173992963464084</v>
      </c>
      <c r="AN93" s="37">
        <v>4.6777628691984168</v>
      </c>
      <c r="AO93" s="37">
        <v>0</v>
      </c>
      <c r="AP93" s="37">
        <v>0</v>
      </c>
      <c r="AQ93" s="37">
        <v>30.851755832662501</v>
      </c>
      <c r="AR93" s="37">
        <v>1.7442742150242418</v>
      </c>
      <c r="AS93" s="36">
        <v>17.687445911269016</v>
      </c>
      <c r="AT93" s="37">
        <v>26.173992963464084</v>
      </c>
      <c r="AU93" s="37">
        <v>5.5370779657753495</v>
      </c>
      <c r="AV93" s="37">
        <v>0</v>
      </c>
      <c r="AW93" s="37">
        <v>0</v>
      </c>
      <c r="AX93" s="37">
        <v>31.711070929239433</v>
      </c>
      <c r="AY93" s="37">
        <v>4.0307524083105468</v>
      </c>
      <c r="AZ93" s="36">
        <v>7.867283255567374</v>
      </c>
      <c r="BA93" s="37">
        <v>26.173992963464084</v>
      </c>
      <c r="BB93" s="37">
        <v>10.214840834973767</v>
      </c>
      <c r="BC93" s="37">
        <v>0</v>
      </c>
      <c r="BD93" s="37">
        <v>0</v>
      </c>
      <c r="BE93" s="37">
        <v>36.388833798437851</v>
      </c>
      <c r="BF93" s="37">
        <v>5.7750266233347887</v>
      </c>
      <c r="BG93" s="37">
        <v>-6.4469343248807451</v>
      </c>
      <c r="BH93" s="36">
        <v>6.3010677130740431</v>
      </c>
      <c r="BI93" s="37">
        <v>2.5328134856104656</v>
      </c>
      <c r="BJ93" s="37">
        <v>5.8529467264892912</v>
      </c>
      <c r="BK93" s="37">
        <v>0</v>
      </c>
      <c r="BL93" s="37">
        <v>-9.2280628411714005</v>
      </c>
      <c r="BM93" s="37">
        <v>-0.84230262907164322</v>
      </c>
      <c r="BN93" s="37">
        <v>26.173992963464084</v>
      </c>
      <c r="BO93" s="37">
        <v>-4.6196362220224101</v>
      </c>
      <c r="BP93" s="37">
        <v>10.214840834973767</v>
      </c>
      <c r="BQ93" s="37">
        <v>0</v>
      </c>
      <c r="BR93" s="37">
        <v>0</v>
      </c>
      <c r="BS93" s="37">
        <v>0</v>
      </c>
      <c r="BT93" s="37">
        <v>0</v>
      </c>
      <c r="BU93" s="37">
        <v>0</v>
      </c>
      <c r="BV93" s="37">
        <v>0</v>
      </c>
      <c r="BW93" s="37">
        <v>0</v>
      </c>
      <c r="BX93" s="37">
        <v>12.8818216104013</v>
      </c>
      <c r="BY93" s="37"/>
      <c r="BZ93" s="37">
        <v>0</v>
      </c>
      <c r="CA93" s="37">
        <v>-13.461890678054216</v>
      </c>
      <c r="CB93" s="37">
        <v>31.76919757641544</v>
      </c>
      <c r="CC93" s="37">
        <v>-0.5800690676529161</v>
      </c>
      <c r="CD93" s="36">
        <v>2.8483755441296528</v>
      </c>
      <c r="CE93" s="37">
        <v>-8.9669481557706252</v>
      </c>
      <c r="CF93" s="37">
        <v>0.48140274193570409</v>
      </c>
      <c r="CG93" s="37">
        <v>-6.9654707617360145E-2</v>
      </c>
      <c r="CH93" s="37">
        <v>0.41174803431834395</v>
      </c>
      <c r="CI93" s="37">
        <v>2.4069954814588745E-2</v>
      </c>
      <c r="CJ93" s="37">
        <v>-3.4827353808680067E-3</v>
      </c>
      <c r="CK93" s="37">
        <v>2.0587219433720737E-2</v>
      </c>
      <c r="CL93" s="37"/>
      <c r="CM93" s="37">
        <v>-0.58944493078954363</v>
      </c>
      <c r="CN93" s="37" t="s">
        <v>715</v>
      </c>
      <c r="CO93" s="37">
        <v>0</v>
      </c>
      <c r="CP93" s="37">
        <v>0</v>
      </c>
      <c r="CQ93" s="37">
        <v>-4.6196362220224101</v>
      </c>
      <c r="CR93" s="37">
        <v>0</v>
      </c>
      <c r="CS93" s="37">
        <v>0</v>
      </c>
      <c r="CT93" s="37">
        <v>-4.6196362220224101</v>
      </c>
      <c r="CU93" s="37">
        <v>0</v>
      </c>
      <c r="CV93" s="37">
        <v>9999</v>
      </c>
      <c r="CW93" s="127">
        <v>0</v>
      </c>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row>
    <row r="94" spans="1:131">
      <c r="A94" s="1" t="s">
        <v>759</v>
      </c>
      <c r="B94" s="1" t="s">
        <v>743</v>
      </c>
      <c r="C94" s="37">
        <v>12</v>
      </c>
      <c r="D94" s="37">
        <v>50.774142858393084</v>
      </c>
      <c r="E94" s="37">
        <v>-0.63318162779211606</v>
      </c>
      <c r="F94" s="37">
        <v>5.5772508450117817</v>
      </c>
      <c r="G94" s="37">
        <v>0</v>
      </c>
      <c r="H94" s="37">
        <v>-12.438181918792578</v>
      </c>
      <c r="I94" s="37" t="s">
        <v>714</v>
      </c>
      <c r="J94" s="37"/>
      <c r="K94" s="37"/>
      <c r="L94" s="37">
        <v>54.583633546821666</v>
      </c>
      <c r="M94" s="37">
        <v>1.4259875898113245E-2</v>
      </c>
      <c r="N94" s="37">
        <v>1.4156954508630436E-2</v>
      </c>
      <c r="O94" s="37">
        <v>-0.63951344541012223</v>
      </c>
      <c r="P94" s="37">
        <v>0</v>
      </c>
      <c r="Q94" s="37">
        <v>0</v>
      </c>
      <c r="R94" s="37">
        <v>1.1121783222128776</v>
      </c>
      <c r="S94" s="37">
        <v>2.5700749412660642</v>
      </c>
      <c r="T94" s="37">
        <v>0</v>
      </c>
      <c r="U94" s="37">
        <v>4.531410977096094</v>
      </c>
      <c r="V94" s="37" t="s">
        <v>356</v>
      </c>
      <c r="W94" s="37" t="s">
        <v>356</v>
      </c>
      <c r="X94" s="37" t="s">
        <v>356</v>
      </c>
      <c r="Y94" s="37" t="s">
        <v>356</v>
      </c>
      <c r="Z94" s="37">
        <v>0</v>
      </c>
      <c r="AA94" s="37">
        <v>0</v>
      </c>
      <c r="AB94" s="37">
        <v>0</v>
      </c>
      <c r="AC94" s="37">
        <v>0</v>
      </c>
      <c r="AD94" s="37">
        <v>0</v>
      </c>
      <c r="AE94" s="37">
        <v>0</v>
      </c>
      <c r="AF94" s="37">
        <v>0</v>
      </c>
      <c r="AG94" s="37">
        <v>-12.438181918792578</v>
      </c>
      <c r="AH94" s="37">
        <v>1.1121783222128776</v>
      </c>
      <c r="AI94" s="37">
        <v>2.5700749412660642</v>
      </c>
      <c r="AJ94" s="37">
        <v>0</v>
      </c>
      <c r="AK94" s="37">
        <v>-7.9067709416964842</v>
      </c>
      <c r="AL94" s="37">
        <v>-4.2245176782175422</v>
      </c>
      <c r="AM94" s="37">
        <v>28.19361458737453</v>
      </c>
      <c r="AN94" s="37">
        <v>5.0387055444465512</v>
      </c>
      <c r="AO94" s="37">
        <v>0</v>
      </c>
      <c r="AP94" s="37">
        <v>0</v>
      </c>
      <c r="AQ94" s="37">
        <v>33.232320131821083</v>
      </c>
      <c r="AR94" s="37">
        <v>1.1121783222128776</v>
      </c>
      <c r="AS94" s="36">
        <v>29.880388304727465</v>
      </c>
      <c r="AT94" s="37">
        <v>28.19361458737453</v>
      </c>
      <c r="AU94" s="37">
        <v>5.9643265865176271</v>
      </c>
      <c r="AV94" s="37">
        <v>0</v>
      </c>
      <c r="AW94" s="37">
        <v>0</v>
      </c>
      <c r="AX94" s="37">
        <v>34.157941173892155</v>
      </c>
      <c r="AY94" s="37">
        <v>2.5700749412660642</v>
      </c>
      <c r="AZ94" s="36">
        <v>13.290640138713368</v>
      </c>
      <c r="BA94" s="37">
        <v>28.19361458737453</v>
      </c>
      <c r="BB94" s="37">
        <v>11.003032130964179</v>
      </c>
      <c r="BC94" s="37">
        <v>0</v>
      </c>
      <c r="BD94" s="37">
        <v>0</v>
      </c>
      <c r="BE94" s="37">
        <v>39.196646718338705</v>
      </c>
      <c r="BF94" s="37">
        <v>3.682253263478942</v>
      </c>
      <c r="BG94" s="37">
        <v>-9.8688139252643641</v>
      </c>
      <c r="BH94" s="36">
        <v>10.6447449193938</v>
      </c>
      <c r="BI94" s="37">
        <v>1.4992777561387995</v>
      </c>
      <c r="BJ94" s="37">
        <v>3.4646028555773318</v>
      </c>
      <c r="BK94" s="37">
        <v>0</v>
      </c>
      <c r="BL94" s="37">
        <v>-10.658763580451405</v>
      </c>
      <c r="BM94" s="37">
        <v>-5.6948829687352731</v>
      </c>
      <c r="BN94" s="37">
        <v>28.19361458737453</v>
      </c>
      <c r="BO94" s="37">
        <v>-4.9624123138179126</v>
      </c>
      <c r="BP94" s="37">
        <v>11.003032130964179</v>
      </c>
      <c r="BQ94" s="37">
        <v>0</v>
      </c>
      <c r="BR94" s="37">
        <v>0</v>
      </c>
      <c r="BS94" s="37">
        <v>0</v>
      </c>
      <c r="BT94" s="37">
        <v>0</v>
      </c>
      <c r="BU94" s="37">
        <v>0</v>
      </c>
      <c r="BV94" s="37">
        <v>0</v>
      </c>
      <c r="BW94" s="37">
        <v>0</v>
      </c>
      <c r="BX94" s="37">
        <v>8.2136642405750351</v>
      </c>
      <c r="BY94" s="37"/>
      <c r="BZ94" s="37">
        <v>0</v>
      </c>
      <c r="CA94" s="37">
        <v>-12.438181918792578</v>
      </c>
      <c r="CB94" s="37">
        <v>34.234234404520798</v>
      </c>
      <c r="CC94" s="37">
        <v>-4.2245176782175431</v>
      </c>
      <c r="CD94" s="36">
        <v>3.9188318634894439</v>
      </c>
      <c r="CE94" s="37">
        <v>-13.837971845992804</v>
      </c>
      <c r="CF94" s="37">
        <v>0.51854844564168034</v>
      </c>
      <c r="CG94" s="37">
        <v>-7.4823073112984237E-2</v>
      </c>
      <c r="CH94" s="37">
        <v>0.44372537252869609</v>
      </c>
      <c r="CI94" s="37">
        <v>2.5927225934740283E-2</v>
      </c>
      <c r="CJ94" s="37">
        <v>-3.7411536556492143E-3</v>
      </c>
      <c r="CK94" s="37">
        <v>2.2186072279091071E-2</v>
      </c>
      <c r="CL94" s="37"/>
      <c r="CM94" s="37">
        <v>-0.63318162779211606</v>
      </c>
      <c r="CN94" s="37" t="s">
        <v>715</v>
      </c>
      <c r="CO94" s="37">
        <v>0</v>
      </c>
      <c r="CP94" s="37">
        <v>0</v>
      </c>
      <c r="CQ94" s="37">
        <v>-4.9624123138179126</v>
      </c>
      <c r="CR94" s="37">
        <v>0</v>
      </c>
      <c r="CS94" s="37">
        <v>0</v>
      </c>
      <c r="CT94" s="37">
        <v>-4.9624123138179126</v>
      </c>
      <c r="CU94" s="37">
        <v>0</v>
      </c>
      <c r="CV94" s="37">
        <v>9999</v>
      </c>
      <c r="CW94" s="127">
        <v>0</v>
      </c>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row>
    <row r="95" spans="1:131">
      <c r="A95" s="1" t="s">
        <v>760</v>
      </c>
      <c r="B95" s="1" t="s">
        <v>745</v>
      </c>
      <c r="C95" s="37">
        <v>12</v>
      </c>
      <c r="D95" s="37">
        <v>45.435208886823141</v>
      </c>
      <c r="E95" s="37">
        <v>-0.56570549735583064</v>
      </c>
      <c r="F95" s="37">
        <v>12.509870771200507</v>
      </c>
      <c r="G95" s="37">
        <v>0</v>
      </c>
      <c r="H95" s="37">
        <v>-35.422629471574403</v>
      </c>
      <c r="I95" s="37" t="s">
        <v>714</v>
      </c>
      <c r="J95" s="37"/>
      <c r="K95" s="37"/>
      <c r="L95" s="37">
        <v>48.844129164687544</v>
      </c>
      <c r="M95" s="37">
        <v>1.2760440721528607E-2</v>
      </c>
      <c r="N95" s="37">
        <v>1.266834158273831E-2</v>
      </c>
      <c r="O95" s="37">
        <v>-0.57136255352666543</v>
      </c>
      <c r="P95" s="37">
        <v>0</v>
      </c>
      <c r="Q95" s="37">
        <v>0</v>
      </c>
      <c r="R95" s="37">
        <v>2.4946353449132523</v>
      </c>
      <c r="S95" s="37">
        <v>5.7647228502004522</v>
      </c>
      <c r="T95" s="37">
        <v>0</v>
      </c>
      <c r="U95" s="37">
        <v>10.164033734536428</v>
      </c>
      <c r="V95" s="37" t="s">
        <v>356</v>
      </c>
      <c r="W95" s="37" t="s">
        <v>356</v>
      </c>
      <c r="X95" s="37" t="s">
        <v>356</v>
      </c>
      <c r="Y95" s="37" t="s">
        <v>356</v>
      </c>
      <c r="Z95" s="37">
        <v>0</v>
      </c>
      <c r="AA95" s="37">
        <v>0</v>
      </c>
      <c r="AB95" s="37">
        <v>0</v>
      </c>
      <c r="AC95" s="37">
        <v>0</v>
      </c>
      <c r="AD95" s="37">
        <v>0</v>
      </c>
      <c r="AE95" s="37">
        <v>0</v>
      </c>
      <c r="AF95" s="37">
        <v>0</v>
      </c>
      <c r="AG95" s="37">
        <v>-35.422629471574403</v>
      </c>
      <c r="AH95" s="37">
        <v>2.4946353449132523</v>
      </c>
      <c r="AI95" s="37">
        <v>5.7647228502004522</v>
      </c>
      <c r="AJ95" s="37">
        <v>0</v>
      </c>
      <c r="AK95" s="37">
        <v>-25.258595737037975</v>
      </c>
      <c r="AL95" s="37">
        <v>-16.99923754192427</v>
      </c>
      <c r="AM95" s="37">
        <v>25.229037772721281</v>
      </c>
      <c r="AN95" s="37">
        <v>4.5088823964909048</v>
      </c>
      <c r="AO95" s="37">
        <v>0</v>
      </c>
      <c r="AP95" s="37">
        <v>0</v>
      </c>
      <c r="AQ95" s="37">
        <v>29.737920169212185</v>
      </c>
      <c r="AR95" s="37">
        <v>2.4946353449132523</v>
      </c>
      <c r="AS95" s="36">
        <v>11.920748348992177</v>
      </c>
      <c r="AT95" s="37">
        <v>25.229037772721281</v>
      </c>
      <c r="AU95" s="37">
        <v>5.3371737871270799</v>
      </c>
      <c r="AV95" s="37">
        <v>0</v>
      </c>
      <c r="AW95" s="37">
        <v>0</v>
      </c>
      <c r="AX95" s="37">
        <v>30.566211559848362</v>
      </c>
      <c r="AY95" s="37">
        <v>5.7647228502004522</v>
      </c>
      <c r="AZ95" s="36">
        <v>5.3022863985187954</v>
      </c>
      <c r="BA95" s="37">
        <v>25.229037772721281</v>
      </c>
      <c r="BB95" s="37">
        <v>9.8460561836179856</v>
      </c>
      <c r="BC95" s="37">
        <v>0</v>
      </c>
      <c r="BD95" s="37">
        <v>0</v>
      </c>
      <c r="BE95" s="37">
        <v>35.075093956339266</v>
      </c>
      <c r="BF95" s="37">
        <v>8.2593581951137054</v>
      </c>
      <c r="BG95" s="37">
        <v>-2.3902978153916363</v>
      </c>
      <c r="BH95" s="36">
        <v>4.2467093844034931</v>
      </c>
      <c r="BI95" s="37">
        <v>3.758069562290129</v>
      </c>
      <c r="BJ95" s="37">
        <v>8.6843271592987321</v>
      </c>
      <c r="BK95" s="37">
        <v>0</v>
      </c>
      <c r="BL95" s="37">
        <v>-38.051076290212052</v>
      </c>
      <c r="BM95" s="37">
        <v>-25.608679568623192</v>
      </c>
      <c r="BN95" s="37">
        <v>25.229037772721281</v>
      </c>
      <c r="BO95" s="37">
        <v>-4.4335839873653526</v>
      </c>
      <c r="BP95" s="37">
        <v>9.8460561836179856</v>
      </c>
      <c r="BQ95" s="37">
        <v>0</v>
      </c>
      <c r="BR95" s="37">
        <v>0</v>
      </c>
      <c r="BS95" s="37">
        <v>0</v>
      </c>
      <c r="BT95" s="37">
        <v>0</v>
      </c>
      <c r="BU95" s="37">
        <v>0</v>
      </c>
      <c r="BV95" s="37">
        <v>0</v>
      </c>
      <c r="BW95" s="37">
        <v>0</v>
      </c>
      <c r="BX95" s="37">
        <v>18.423391929650133</v>
      </c>
      <c r="BY95" s="37"/>
      <c r="BZ95" s="37">
        <v>0</v>
      </c>
      <c r="CA95" s="37">
        <v>-35.422629471574403</v>
      </c>
      <c r="CB95" s="37">
        <v>30.641509968973914</v>
      </c>
      <c r="CC95" s="37">
        <v>-16.99923754192427</v>
      </c>
      <c r="CD95" s="36">
        <v>3.0842979265438539</v>
      </c>
      <c r="CE95" s="37">
        <v>-33.76235503824816</v>
      </c>
      <c r="CF95" s="37">
        <v>0.4640227410904017</v>
      </c>
      <c r="CG95" s="37">
        <v>-6.6849418762619919E-2</v>
      </c>
      <c r="CH95" s="37">
        <v>0.3971733223277818</v>
      </c>
      <c r="CI95" s="37">
        <v>2.3200961353226576E-2</v>
      </c>
      <c r="CJ95" s="37">
        <v>-3.3424709381309923E-3</v>
      </c>
      <c r="CK95" s="37">
        <v>1.9858490415095582E-2</v>
      </c>
      <c r="CL95" s="37"/>
      <c r="CM95" s="37">
        <v>-0.56570549735583064</v>
      </c>
      <c r="CN95" s="37" t="s">
        <v>715</v>
      </c>
      <c r="CO95" s="37">
        <v>0</v>
      </c>
      <c r="CP95" s="37">
        <v>0</v>
      </c>
      <c r="CQ95" s="37">
        <v>-4.4335839873653526</v>
      </c>
      <c r="CR95" s="37">
        <v>0</v>
      </c>
      <c r="CS95" s="37">
        <v>0</v>
      </c>
      <c r="CT95" s="37">
        <v>-4.4335839873653526</v>
      </c>
      <c r="CU95" s="37">
        <v>0</v>
      </c>
      <c r="CV95" s="37">
        <v>9999</v>
      </c>
      <c r="CW95" s="127">
        <v>0</v>
      </c>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row>
    <row r="96" spans="1:131">
      <c r="A96" s="1"/>
      <c r="B96" s="1"/>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row>
    <row r="97" spans="1:131">
      <c r="A97" s="1"/>
      <c r="B97" s="1"/>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row>
    <row r="98" spans="1:131" ht="13.5" thickBot="1">
      <c r="A98" s="43" t="s">
        <v>357</v>
      </c>
      <c r="B98" s="44"/>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row>
    <row r="99" spans="1:131" ht="26.25" thickBot="1">
      <c r="A99" s="120" t="s">
        <v>261</v>
      </c>
      <c r="B99" s="121"/>
      <c r="C99" s="122" t="s">
        <v>262</v>
      </c>
      <c r="D99" s="123"/>
      <c r="E99" s="123"/>
      <c r="F99" s="123"/>
      <c r="G99" s="123"/>
      <c r="H99" s="123"/>
      <c r="I99" s="123"/>
      <c r="J99" s="123"/>
      <c r="K99" s="124"/>
      <c r="L99" s="122" t="s">
        <v>24</v>
      </c>
      <c r="M99" s="123"/>
      <c r="N99" s="123"/>
      <c r="O99" s="123"/>
      <c r="P99" s="123"/>
      <c r="Q99" s="124"/>
      <c r="R99" s="122" t="s">
        <v>263</v>
      </c>
      <c r="S99" s="123"/>
      <c r="T99" s="123"/>
      <c r="U99" s="124"/>
      <c r="V99" s="122" t="s">
        <v>264</v>
      </c>
      <c r="W99" s="123"/>
      <c r="X99" s="123"/>
      <c r="Y99" s="124"/>
      <c r="Z99" s="122" t="s">
        <v>265</v>
      </c>
      <c r="AA99" s="123"/>
      <c r="AB99" s="123"/>
      <c r="AC99" s="124"/>
      <c r="AD99" s="122" t="s">
        <v>266</v>
      </c>
      <c r="AE99" s="123"/>
      <c r="AF99" s="123"/>
      <c r="AG99" s="124"/>
      <c r="AH99" s="122" t="s">
        <v>267</v>
      </c>
      <c r="AI99" s="123"/>
      <c r="AJ99" s="123"/>
      <c r="AK99" s="123"/>
      <c r="AL99" s="124"/>
      <c r="AM99" s="122" t="s">
        <v>268</v>
      </c>
      <c r="AN99" s="123"/>
      <c r="AO99" s="123"/>
      <c r="AP99" s="123"/>
      <c r="AQ99" s="123"/>
      <c r="AR99" s="123"/>
      <c r="AS99" s="124"/>
      <c r="AT99" s="122" t="s">
        <v>269</v>
      </c>
      <c r="AU99" s="123"/>
      <c r="AV99" s="123"/>
      <c r="AW99" s="123"/>
      <c r="AX99" s="123"/>
      <c r="AY99" s="123"/>
      <c r="AZ99" s="124"/>
      <c r="BA99" s="122" t="s">
        <v>270</v>
      </c>
      <c r="BB99" s="123"/>
      <c r="BC99" s="123"/>
      <c r="BD99" s="123"/>
      <c r="BE99" s="123"/>
      <c r="BF99" s="124"/>
      <c r="BG99" s="122" t="s">
        <v>271</v>
      </c>
      <c r="BH99" s="124"/>
      <c r="BI99" s="122" t="s">
        <v>272</v>
      </c>
      <c r="BJ99" s="123"/>
      <c r="BK99" s="123"/>
      <c r="BL99" s="123"/>
      <c r="BM99" s="124"/>
      <c r="BN99" s="122" t="s">
        <v>273</v>
      </c>
      <c r="BO99" s="123"/>
      <c r="BP99" s="123"/>
      <c r="BQ99" s="123"/>
      <c r="BR99" s="123"/>
      <c r="BS99" s="123"/>
      <c r="BT99" s="123"/>
      <c r="BU99" s="123"/>
      <c r="BV99" s="123"/>
      <c r="BW99" s="123"/>
      <c r="BX99" s="123"/>
      <c r="BY99" s="123"/>
      <c r="BZ99" s="123"/>
      <c r="CA99" s="123"/>
      <c r="CB99" s="123"/>
      <c r="CC99" s="124"/>
      <c r="CD99" s="122" t="s">
        <v>274</v>
      </c>
      <c r="CE99" s="124"/>
      <c r="CF99" s="122" t="s">
        <v>275</v>
      </c>
      <c r="CG99" s="123"/>
      <c r="CH99" s="123"/>
      <c r="CI99" s="123"/>
      <c r="CJ99" s="123"/>
      <c r="CK99" s="124"/>
      <c r="CL99" s="125"/>
      <c r="CM99" s="122" t="s">
        <v>8</v>
      </c>
      <c r="CN99" s="123"/>
      <c r="CO99" s="123"/>
      <c r="CP99" s="124"/>
      <c r="CQ99" s="122" t="s">
        <v>276</v>
      </c>
      <c r="CR99" s="123"/>
      <c r="CS99" s="123"/>
      <c r="CT99" s="123"/>
      <c r="CU99" s="124"/>
      <c r="CV99" s="122" t="s">
        <v>277</v>
      </c>
      <c r="CW99" s="124"/>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row>
    <row r="100" spans="1:131" ht="216.75">
      <c r="A100" s="51" t="s">
        <v>35</v>
      </c>
      <c r="B100" s="52" t="s">
        <v>25</v>
      </c>
      <c r="C100" s="53" t="s">
        <v>176</v>
      </c>
      <c r="D100" s="53" t="s">
        <v>278</v>
      </c>
      <c r="E100" s="53" t="s">
        <v>279</v>
      </c>
      <c r="F100" s="53" t="s">
        <v>280</v>
      </c>
      <c r="G100" s="53" t="s">
        <v>281</v>
      </c>
      <c r="H100" s="53" t="s">
        <v>282</v>
      </c>
      <c r="I100" s="53" t="s">
        <v>283</v>
      </c>
      <c r="J100" s="53" t="s">
        <v>284</v>
      </c>
      <c r="K100" s="53" t="s">
        <v>285</v>
      </c>
      <c r="L100" s="53" t="s">
        <v>286</v>
      </c>
      <c r="M100" s="53" t="s">
        <v>287</v>
      </c>
      <c r="N100" s="53" t="s">
        <v>288</v>
      </c>
      <c r="O100" s="53" t="s">
        <v>289</v>
      </c>
      <c r="P100" s="53" t="s">
        <v>290</v>
      </c>
      <c r="Q100" s="53" t="s">
        <v>291</v>
      </c>
      <c r="R100" s="53" t="s">
        <v>292</v>
      </c>
      <c r="S100" s="53" t="s">
        <v>293</v>
      </c>
      <c r="T100" s="53" t="s">
        <v>294</v>
      </c>
      <c r="U100" s="53" t="s">
        <v>202</v>
      </c>
      <c r="V100" s="53" t="s">
        <v>292</v>
      </c>
      <c r="W100" s="53" t="s">
        <v>293</v>
      </c>
      <c r="X100" s="53" t="s">
        <v>294</v>
      </c>
      <c r="Y100" s="53" t="s">
        <v>202</v>
      </c>
      <c r="Z100" s="53" t="s">
        <v>292</v>
      </c>
      <c r="AA100" s="53" t="s">
        <v>293</v>
      </c>
      <c r="AB100" s="53" t="s">
        <v>294</v>
      </c>
      <c r="AC100" s="53" t="s">
        <v>202</v>
      </c>
      <c r="AD100" s="53" t="s">
        <v>292</v>
      </c>
      <c r="AE100" s="53" t="s">
        <v>293</v>
      </c>
      <c r="AF100" s="53" t="s">
        <v>294</v>
      </c>
      <c r="AG100" s="53" t="s">
        <v>202</v>
      </c>
      <c r="AH100" s="53" t="s">
        <v>292</v>
      </c>
      <c r="AI100" s="53" t="s">
        <v>293</v>
      </c>
      <c r="AJ100" s="53" t="s">
        <v>294</v>
      </c>
      <c r="AK100" s="53" t="s">
        <v>202</v>
      </c>
      <c r="AL100" s="53" t="s">
        <v>295</v>
      </c>
      <c r="AM100" s="53" t="s">
        <v>296</v>
      </c>
      <c r="AN100" s="53" t="s">
        <v>297</v>
      </c>
      <c r="AO100" s="53" t="s">
        <v>298</v>
      </c>
      <c r="AP100" s="53" t="s">
        <v>299</v>
      </c>
      <c r="AQ100" s="53" t="s">
        <v>300</v>
      </c>
      <c r="AR100" s="53" t="s">
        <v>301</v>
      </c>
      <c r="AS100" s="53" t="s">
        <v>302</v>
      </c>
      <c r="AT100" s="53" t="s">
        <v>303</v>
      </c>
      <c r="AU100" s="53" t="s">
        <v>304</v>
      </c>
      <c r="AV100" s="53" t="s">
        <v>305</v>
      </c>
      <c r="AW100" s="53" t="s">
        <v>306</v>
      </c>
      <c r="AX100" s="53" t="s">
        <v>307</v>
      </c>
      <c r="AY100" s="53" t="s">
        <v>308</v>
      </c>
      <c r="AZ100" s="53" t="s">
        <v>309</v>
      </c>
      <c r="BA100" s="53" t="s">
        <v>310</v>
      </c>
      <c r="BB100" s="53" t="s">
        <v>311</v>
      </c>
      <c r="BC100" s="53" t="s">
        <v>312</v>
      </c>
      <c r="BD100" s="53" t="s">
        <v>313</v>
      </c>
      <c r="BE100" s="53" t="s">
        <v>314</v>
      </c>
      <c r="BF100" s="53" t="s">
        <v>315</v>
      </c>
      <c r="BG100" s="53" t="s">
        <v>316</v>
      </c>
      <c r="BH100" s="53" t="s">
        <v>317</v>
      </c>
      <c r="BI100" s="53" t="s">
        <v>318</v>
      </c>
      <c r="BJ100" s="53" t="s">
        <v>319</v>
      </c>
      <c r="BK100" s="53" t="s">
        <v>320</v>
      </c>
      <c r="BL100" s="53" t="s">
        <v>321</v>
      </c>
      <c r="BM100" s="53" t="s">
        <v>322</v>
      </c>
      <c r="BN100" s="53" t="s">
        <v>323</v>
      </c>
      <c r="BO100" s="53" t="s">
        <v>324</v>
      </c>
      <c r="BP100" s="53" t="s">
        <v>325</v>
      </c>
      <c r="BQ100" s="53" t="s">
        <v>326</v>
      </c>
      <c r="BR100" s="53" t="s">
        <v>327</v>
      </c>
      <c r="BS100" s="53" t="s">
        <v>328</v>
      </c>
      <c r="BT100" s="53" t="s">
        <v>329</v>
      </c>
      <c r="BU100" s="53" t="s">
        <v>330</v>
      </c>
      <c r="BV100" s="53" t="s">
        <v>331</v>
      </c>
      <c r="BW100" s="53" t="s">
        <v>332</v>
      </c>
      <c r="BX100" s="53" t="s">
        <v>333</v>
      </c>
      <c r="BY100" s="53" t="s">
        <v>334</v>
      </c>
      <c r="BZ100" s="53" t="s">
        <v>335</v>
      </c>
      <c r="CA100" s="53" t="s">
        <v>336</v>
      </c>
      <c r="CB100" s="53" t="s">
        <v>337</v>
      </c>
      <c r="CC100" s="53" t="s">
        <v>338</v>
      </c>
      <c r="CD100" s="53" t="s">
        <v>45</v>
      </c>
      <c r="CE100" s="53" t="s">
        <v>44</v>
      </c>
      <c r="CF100" s="53" t="s">
        <v>339</v>
      </c>
      <c r="CG100" s="53" t="s">
        <v>340</v>
      </c>
      <c r="CH100" s="53" t="s">
        <v>341</v>
      </c>
      <c r="CI100" s="53" t="s">
        <v>342</v>
      </c>
      <c r="CJ100" s="53" t="s">
        <v>343</v>
      </c>
      <c r="CK100" s="53" t="s">
        <v>344</v>
      </c>
      <c r="CL100" s="53"/>
      <c r="CM100" s="53" t="s">
        <v>345</v>
      </c>
      <c r="CN100" s="53" t="s">
        <v>346</v>
      </c>
      <c r="CO100" s="53" t="s">
        <v>347</v>
      </c>
      <c r="CP100" s="53" t="s">
        <v>348</v>
      </c>
      <c r="CQ100" s="53" t="s">
        <v>349</v>
      </c>
      <c r="CR100" s="53" t="s">
        <v>350</v>
      </c>
      <c r="CS100" s="53" t="s">
        <v>351</v>
      </c>
      <c r="CT100" s="53" t="s">
        <v>352</v>
      </c>
      <c r="CU100" s="53" t="s">
        <v>353</v>
      </c>
      <c r="CV100" s="53" t="s">
        <v>354</v>
      </c>
      <c r="CW100" s="53" t="s">
        <v>355</v>
      </c>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row>
    <row r="101" spans="1:131">
      <c r="A101" s="1" t="s">
        <v>753</v>
      </c>
      <c r="B101" s="1"/>
      <c r="C101" s="37">
        <v>12</v>
      </c>
      <c r="D101" s="37">
        <v>9.6104962497264026</v>
      </c>
      <c r="E101" s="37">
        <v>-0.11670880585429022</v>
      </c>
      <c r="F101" s="37">
        <v>1.9510287475567527</v>
      </c>
      <c r="G101" s="37">
        <v>0</v>
      </c>
      <c r="H101" s="37">
        <v>-15.783083430003369</v>
      </c>
      <c r="I101" s="37"/>
      <c r="J101" s="37"/>
      <c r="K101" s="37"/>
      <c r="L101" s="37">
        <v>10.331554133000125</v>
      </c>
      <c r="M101" s="37">
        <v>2.6990998985958756E-3</v>
      </c>
      <c r="N101" s="37">
        <v>2.6796190059218267E-3</v>
      </c>
      <c r="O101" s="37">
        <v>-0.11787589415983921</v>
      </c>
      <c r="P101" s="37">
        <v>0</v>
      </c>
      <c r="Q101" s="37">
        <v>0</v>
      </c>
      <c r="R101" s="37">
        <v>0.38906119508457881</v>
      </c>
      <c r="S101" s="37">
        <v>0.89906124596673609</v>
      </c>
      <c r="T101" s="37">
        <v>0</v>
      </c>
      <c r="U101" s="37">
        <v>1.5851740093806084</v>
      </c>
      <c r="V101" s="37">
        <v>0.11706172485340516</v>
      </c>
      <c r="W101" s="37">
        <v>0.27314402465794535</v>
      </c>
      <c r="X101" s="37">
        <v>0</v>
      </c>
      <c r="Y101" s="37">
        <v>0</v>
      </c>
      <c r="Z101" s="37">
        <v>0</v>
      </c>
      <c r="AA101" s="37">
        <v>0</v>
      </c>
      <c r="AB101" s="37">
        <v>0</v>
      </c>
      <c r="AC101" s="37">
        <v>0</v>
      </c>
      <c r="AD101" s="37">
        <v>0</v>
      </c>
      <c r="AE101" s="37">
        <v>0</v>
      </c>
      <c r="AF101" s="37">
        <v>0</v>
      </c>
      <c r="AG101" s="37">
        <v>-15.783083430003369</v>
      </c>
      <c r="AH101" s="37">
        <v>0.50612291993798397</v>
      </c>
      <c r="AI101" s="37">
        <v>1.1722052706246815</v>
      </c>
      <c r="AJ101" s="37">
        <v>0</v>
      </c>
      <c r="AK101" s="37">
        <v>-14.197909420622761</v>
      </c>
      <c r="AL101" s="37">
        <v>-12.519581230060096</v>
      </c>
      <c r="AM101" s="37">
        <v>5.3364687615480859</v>
      </c>
      <c r="AN101" s="37">
        <v>0.95372285994926542</v>
      </c>
      <c r="AO101" s="37">
        <v>0</v>
      </c>
      <c r="AP101" s="37">
        <v>0</v>
      </c>
      <c r="AQ101" s="37">
        <v>6.2901916214973514</v>
      </c>
      <c r="AR101" s="37">
        <v>0.50612291993798397</v>
      </c>
      <c r="AS101" s="36">
        <v>12.428189622924206</v>
      </c>
      <c r="AT101" s="37">
        <v>5.3364687615480859</v>
      </c>
      <c r="AU101" s="37">
        <v>1.1289237998903214</v>
      </c>
      <c r="AV101" s="37">
        <v>0</v>
      </c>
      <c r="AW101" s="37">
        <v>0</v>
      </c>
      <c r="AX101" s="37">
        <v>6.4653925614384073</v>
      </c>
      <c r="AY101" s="37">
        <v>1.1722052706246815</v>
      </c>
      <c r="AZ101" s="36">
        <v>5.5155805245551628</v>
      </c>
      <c r="BA101" s="37">
        <v>5.3364687615480859</v>
      </c>
      <c r="BB101" s="37">
        <v>2.082646659839587</v>
      </c>
      <c r="BC101" s="37">
        <v>0</v>
      </c>
      <c r="BD101" s="37">
        <v>0</v>
      </c>
      <c r="BE101" s="37">
        <v>7.4191154213876729</v>
      </c>
      <c r="BF101" s="37">
        <v>1.6783281905626655</v>
      </c>
      <c r="BG101" s="37">
        <v>-2.8795726447932513</v>
      </c>
      <c r="BH101" s="36">
        <v>4.4205391192889323</v>
      </c>
      <c r="BI101" s="37">
        <v>3.6046280986439556</v>
      </c>
      <c r="BJ101" s="37">
        <v>8.3484937935432963</v>
      </c>
      <c r="BK101" s="37">
        <v>0</v>
      </c>
      <c r="BL101" s="37">
        <v>-101.11809053391509</v>
      </c>
      <c r="BM101" s="37">
        <v>-89.164968641727853</v>
      </c>
      <c r="BN101" s="37">
        <v>5.3364687615480859</v>
      </c>
      <c r="BO101" s="37">
        <v>-0.91467785842399596</v>
      </c>
      <c r="BP101" s="37">
        <v>2.082646659839587</v>
      </c>
      <c r="BQ101" s="37">
        <v>0</v>
      </c>
      <c r="BR101" s="37">
        <v>0</v>
      </c>
      <c r="BS101" s="37">
        <v>0</v>
      </c>
      <c r="BT101" s="37">
        <v>0</v>
      </c>
      <c r="BU101" s="37">
        <v>0</v>
      </c>
      <c r="BV101" s="37">
        <v>0</v>
      </c>
      <c r="BW101" s="37">
        <v>0</v>
      </c>
      <c r="BX101" s="37">
        <v>2.8732964504319236</v>
      </c>
      <c r="BY101" s="37">
        <v>0.39020574951135056</v>
      </c>
      <c r="BZ101" s="37">
        <v>0</v>
      </c>
      <c r="CA101" s="37">
        <v>-15.783083430003369</v>
      </c>
      <c r="CB101" s="37">
        <v>6.5044375629636768</v>
      </c>
      <c r="CC101" s="37">
        <v>-12.519581230060096</v>
      </c>
      <c r="CD101" s="36">
        <v>5.5531830910269324</v>
      </c>
      <c r="CE101" s="37">
        <v>-97.483290128606981</v>
      </c>
      <c r="CF101" s="37">
        <v>9.8150507553413771E-2</v>
      </c>
      <c r="CG101" s="37">
        <v>-1.3791479616701192E-2</v>
      </c>
      <c r="CH101" s="37">
        <v>8.4359027936712572E-2</v>
      </c>
      <c r="CI101" s="37">
        <v>4.9074882131750581E-3</v>
      </c>
      <c r="CJ101" s="37">
        <v>-6.8957398083505919E-4</v>
      </c>
      <c r="CK101" s="37">
        <v>4.2179142323399994E-3</v>
      </c>
      <c r="CL101" s="37"/>
      <c r="CM101" s="37">
        <v>-0.11787589415983921</v>
      </c>
      <c r="CN101" s="37"/>
      <c r="CO101" s="37">
        <v>0</v>
      </c>
      <c r="CP101" s="37">
        <v>0</v>
      </c>
      <c r="CQ101" s="37">
        <v>-0.91467785842399596</v>
      </c>
      <c r="CR101" s="37">
        <v>0</v>
      </c>
      <c r="CS101" s="37">
        <v>0</v>
      </c>
      <c r="CT101" s="37">
        <v>-0.91467785842399596</v>
      </c>
      <c r="CU101" s="37">
        <v>0</v>
      </c>
      <c r="CV101" s="37">
        <v>9999</v>
      </c>
      <c r="CW101" s="127">
        <v>0</v>
      </c>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row>
    <row r="102" spans="1:131">
      <c r="A102" s="1" t="s">
        <v>757</v>
      </c>
      <c r="B102" s="1"/>
      <c r="C102" s="37">
        <v>12</v>
      </c>
      <c r="D102" s="37">
        <v>80.966958939438442</v>
      </c>
      <c r="E102" s="37">
        <v>-0.25787051138749234</v>
      </c>
      <c r="F102" s="37">
        <v>12.02981381264515</v>
      </c>
      <c r="G102" s="37">
        <v>0</v>
      </c>
      <c r="H102" s="37">
        <v>-41.6728553859801</v>
      </c>
      <c r="I102" s="37"/>
      <c r="J102" s="37"/>
      <c r="K102" s="37"/>
      <c r="L102" s="37">
        <v>87.041761167225999</v>
      </c>
      <c r="M102" s="37">
        <v>2.2739503245659785E-2</v>
      </c>
      <c r="N102" s="37">
        <v>2.2575379708616811E-2</v>
      </c>
      <c r="O102" s="37">
        <v>-0.26044921704713231</v>
      </c>
      <c r="P102" s="37">
        <v>0</v>
      </c>
      <c r="Q102" s="37">
        <v>0</v>
      </c>
      <c r="R102" s="37">
        <v>2.3989055745353909</v>
      </c>
      <c r="S102" s="37">
        <v>5.5435059112730949</v>
      </c>
      <c r="T102" s="37">
        <v>0</v>
      </c>
      <c r="U102" s="37">
        <v>9.7739965222825269</v>
      </c>
      <c r="V102" s="37">
        <v>0.72178882875870898</v>
      </c>
      <c r="W102" s="37">
        <v>1.684173933770321</v>
      </c>
      <c r="X102" s="37">
        <v>0</v>
      </c>
      <c r="Y102" s="37">
        <v>0</v>
      </c>
      <c r="Z102" s="37">
        <v>0</v>
      </c>
      <c r="AA102" s="37">
        <v>0</v>
      </c>
      <c r="AB102" s="37">
        <v>0</v>
      </c>
      <c r="AC102" s="37">
        <v>0</v>
      </c>
      <c r="AD102" s="37">
        <v>0</v>
      </c>
      <c r="AE102" s="37">
        <v>0</v>
      </c>
      <c r="AF102" s="37">
        <v>0</v>
      </c>
      <c r="AG102" s="37">
        <v>-41.6728553859801</v>
      </c>
      <c r="AH102" s="37">
        <v>3.1206944032940998</v>
      </c>
      <c r="AI102" s="37">
        <v>7.2276798450434159</v>
      </c>
      <c r="AJ102" s="37">
        <v>0</v>
      </c>
      <c r="AK102" s="37">
        <v>-31.898858863697573</v>
      </c>
      <c r="AL102" s="37">
        <v>-21.550484615360059</v>
      </c>
      <c r="AM102" s="37">
        <v>44.958931970881373</v>
      </c>
      <c r="AN102" s="37">
        <v>8.0349690208051765</v>
      </c>
      <c r="AO102" s="37">
        <v>0</v>
      </c>
      <c r="AP102" s="37">
        <v>0</v>
      </c>
      <c r="AQ102" s="37">
        <v>52.993900991686552</v>
      </c>
      <c r="AR102" s="37">
        <v>3.1206944032940998</v>
      </c>
      <c r="AS102" s="36">
        <v>16.981445198782673</v>
      </c>
      <c r="AT102" s="37">
        <v>44.958931970881373</v>
      </c>
      <c r="AU102" s="37">
        <v>9.5110101056515823</v>
      </c>
      <c r="AV102" s="37">
        <v>0</v>
      </c>
      <c r="AW102" s="37">
        <v>0</v>
      </c>
      <c r="AX102" s="37">
        <v>54.469942076532959</v>
      </c>
      <c r="AY102" s="37">
        <v>7.2276798450434159</v>
      </c>
      <c r="AZ102" s="36">
        <v>7.53629701983649</v>
      </c>
      <c r="BA102" s="37">
        <v>44.958931970881373</v>
      </c>
      <c r="BB102" s="37">
        <v>17.545979126456757</v>
      </c>
      <c r="BC102" s="37">
        <v>0</v>
      </c>
      <c r="BD102" s="37">
        <v>0</v>
      </c>
      <c r="BE102" s="37">
        <v>62.504911097338137</v>
      </c>
      <c r="BF102" s="37">
        <v>10.348374248337516</v>
      </c>
      <c r="BG102" s="37">
        <v>-6.084577770530081</v>
      </c>
      <c r="BH102" s="36">
        <v>6.040070604073839</v>
      </c>
      <c r="BI102" s="37">
        <v>2.6381147779624361</v>
      </c>
      <c r="BJ102" s="37">
        <v>6.1100019884879888</v>
      </c>
      <c r="BK102" s="37">
        <v>0</v>
      </c>
      <c r="BL102" s="37">
        <v>-26.966065911365657</v>
      </c>
      <c r="BM102" s="37">
        <v>-18.217949144915234</v>
      </c>
      <c r="BN102" s="37">
        <v>44.958931970881373</v>
      </c>
      <c r="BO102" s="37">
        <v>-2.0209995756540584</v>
      </c>
      <c r="BP102" s="37">
        <v>17.545979126456757</v>
      </c>
      <c r="BQ102" s="37">
        <v>0</v>
      </c>
      <c r="BR102" s="37">
        <v>0</v>
      </c>
      <c r="BS102" s="37">
        <v>0</v>
      </c>
      <c r="BT102" s="37">
        <v>0</v>
      </c>
      <c r="BU102" s="37">
        <v>0</v>
      </c>
      <c r="BV102" s="37">
        <v>0</v>
      </c>
      <c r="BW102" s="37">
        <v>0</v>
      </c>
      <c r="BX102" s="37">
        <v>17.716408008091012</v>
      </c>
      <c r="BY102" s="37">
        <v>2.4059627625290303</v>
      </c>
      <c r="BZ102" s="37">
        <v>0</v>
      </c>
      <c r="CA102" s="37">
        <v>-41.6728553859801</v>
      </c>
      <c r="CB102" s="37">
        <v>60.483911521684078</v>
      </c>
      <c r="CC102" s="37">
        <v>-21.550484615360059</v>
      </c>
      <c r="CD102" s="36">
        <v>4.7046933169704879</v>
      </c>
      <c r="CE102" s="37">
        <v>-31.342168529326845</v>
      </c>
      <c r="CF102" s="37">
        <v>0.82690299319231697</v>
      </c>
      <c r="CG102" s="37">
        <v>-3.0472558394514525E-2</v>
      </c>
      <c r="CH102" s="37">
        <v>0.7964304347978024</v>
      </c>
      <c r="CI102" s="37">
        <v>4.1344836554432343E-2</v>
      </c>
      <c r="CJ102" s="37">
        <v>-1.523627919725724E-3</v>
      </c>
      <c r="CK102" s="37">
        <v>3.9821208634706617E-2</v>
      </c>
      <c r="CL102" s="37"/>
      <c r="CM102" s="37">
        <v>-0.26044921704713231</v>
      </c>
      <c r="CN102" s="37"/>
      <c r="CO102" s="37">
        <v>0</v>
      </c>
      <c r="CP102" s="37">
        <v>0</v>
      </c>
      <c r="CQ102" s="37">
        <v>-2.0209995756540584</v>
      </c>
      <c r="CR102" s="37">
        <v>0</v>
      </c>
      <c r="CS102" s="37">
        <v>0</v>
      </c>
      <c r="CT102" s="37">
        <v>-2.0209995756540584</v>
      </c>
      <c r="CU102" s="37">
        <v>0</v>
      </c>
      <c r="CV102" s="37">
        <v>9999</v>
      </c>
      <c r="CW102" s="127">
        <v>0</v>
      </c>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row>
    <row r="103" spans="1:131">
      <c r="A103" s="1" t="s">
        <v>730</v>
      </c>
      <c r="B103" s="1"/>
      <c r="C103" s="37">
        <v>12</v>
      </c>
      <c r="D103" s="37">
        <v>9.183363083071896</v>
      </c>
      <c r="E103" s="37">
        <v>-0.11152174781632176</v>
      </c>
      <c r="F103" s="37">
        <v>2.4831274968904125</v>
      </c>
      <c r="G103" s="37">
        <v>0</v>
      </c>
      <c r="H103" s="37">
        <v>-15.783083430003369</v>
      </c>
      <c r="I103" s="37"/>
      <c r="J103" s="37"/>
      <c r="K103" s="37"/>
      <c r="L103" s="37">
        <v>9.8723739493112301</v>
      </c>
      <c r="M103" s="37">
        <v>2.5791399031027257E-3</v>
      </c>
      <c r="N103" s="37">
        <v>2.5605248278808565E-3</v>
      </c>
      <c r="O103" s="37">
        <v>-0.11263696553051303</v>
      </c>
      <c r="P103" s="37">
        <v>0</v>
      </c>
      <c r="Q103" s="37">
        <v>0</v>
      </c>
      <c r="R103" s="37">
        <v>0.49516879374400935</v>
      </c>
      <c r="S103" s="37">
        <v>1.1442597675940276</v>
      </c>
      <c r="T103" s="37">
        <v>0</v>
      </c>
      <c r="U103" s="37">
        <v>2.017494193757138</v>
      </c>
      <c r="V103" s="37">
        <v>0.14898764981342474</v>
      </c>
      <c r="W103" s="37">
        <v>0.34763784956465776</v>
      </c>
      <c r="X103" s="37">
        <v>0</v>
      </c>
      <c r="Y103" s="37">
        <v>0</v>
      </c>
      <c r="Z103" s="37">
        <v>0</v>
      </c>
      <c r="AA103" s="37">
        <v>0</v>
      </c>
      <c r="AB103" s="37">
        <v>0</v>
      </c>
      <c r="AC103" s="37">
        <v>0</v>
      </c>
      <c r="AD103" s="37">
        <v>0</v>
      </c>
      <c r="AE103" s="37">
        <v>0</v>
      </c>
      <c r="AF103" s="37">
        <v>0</v>
      </c>
      <c r="AG103" s="37">
        <v>-15.783083430003369</v>
      </c>
      <c r="AH103" s="37">
        <v>0.64415644355743407</v>
      </c>
      <c r="AI103" s="37">
        <v>1.4918976171586853</v>
      </c>
      <c r="AJ103" s="37">
        <v>0</v>
      </c>
      <c r="AK103" s="37">
        <v>-13.765589236246232</v>
      </c>
      <c r="AL103" s="37">
        <v>-11.629535175530112</v>
      </c>
      <c r="AM103" s="37">
        <v>5.0992923721459462</v>
      </c>
      <c r="AN103" s="37">
        <v>0.91133517728485391</v>
      </c>
      <c r="AO103" s="37">
        <v>0</v>
      </c>
      <c r="AP103" s="37">
        <v>0</v>
      </c>
      <c r="AQ103" s="37">
        <v>6.0106275494307999</v>
      </c>
      <c r="AR103" s="37">
        <v>0.64415644355743407</v>
      </c>
      <c r="AS103" s="36">
        <v>9.3310058597510288</v>
      </c>
      <c r="AT103" s="37">
        <v>5.0992923721459462</v>
      </c>
      <c r="AU103" s="37">
        <v>1.0787494087840845</v>
      </c>
      <c r="AV103" s="37">
        <v>0</v>
      </c>
      <c r="AW103" s="37">
        <v>0</v>
      </c>
      <c r="AX103" s="37">
        <v>6.1780417809300303</v>
      </c>
      <c r="AY103" s="37">
        <v>1.4918976171586853</v>
      </c>
      <c r="AZ103" s="36">
        <v>4.1410628382771284</v>
      </c>
      <c r="BA103" s="37">
        <v>5.0992923721459462</v>
      </c>
      <c r="BB103" s="37">
        <v>1.9900845860689385</v>
      </c>
      <c r="BC103" s="37">
        <v>0</v>
      </c>
      <c r="BD103" s="37">
        <v>0</v>
      </c>
      <c r="BE103" s="37">
        <v>7.089376958214884</v>
      </c>
      <c r="BF103" s="37">
        <v>2.1360540607161198</v>
      </c>
      <c r="BG103" s="37">
        <v>1.0879540720638337</v>
      </c>
      <c r="BH103" s="36">
        <v>3.3189127038470856</v>
      </c>
      <c r="BI103" s="37">
        <v>4.8010902793777843</v>
      </c>
      <c r="BJ103" s="37">
        <v>11.119558329666544</v>
      </c>
      <c r="BK103" s="37">
        <v>0</v>
      </c>
      <c r="BL103" s="37">
        <v>-102.59904613708417</v>
      </c>
      <c r="BM103" s="37">
        <v>-86.678397528039852</v>
      </c>
      <c r="BN103" s="37">
        <v>5.0992923721459462</v>
      </c>
      <c r="BO103" s="37">
        <v>-0.87402550916070743</v>
      </c>
      <c r="BP103" s="37">
        <v>1.9900845860689385</v>
      </c>
      <c r="BQ103" s="37">
        <v>0</v>
      </c>
      <c r="BR103" s="37">
        <v>0</v>
      </c>
      <c r="BS103" s="37">
        <v>0</v>
      </c>
      <c r="BT103" s="37">
        <v>0</v>
      </c>
      <c r="BU103" s="37">
        <v>0</v>
      </c>
      <c r="BV103" s="37">
        <v>0</v>
      </c>
      <c r="BW103" s="37">
        <v>0</v>
      </c>
      <c r="BX103" s="37">
        <v>3.6569227550951751</v>
      </c>
      <c r="BY103" s="37">
        <v>0.49662549937808254</v>
      </c>
      <c r="BZ103" s="37">
        <v>0</v>
      </c>
      <c r="CA103" s="37">
        <v>-15.783083430003369</v>
      </c>
      <c r="CB103" s="37">
        <v>6.215351449054177</v>
      </c>
      <c r="CC103" s="37">
        <v>-11.629535175530112</v>
      </c>
      <c r="CD103" s="36">
        <v>4.5494032437001746</v>
      </c>
      <c r="CE103" s="37">
        <v>-94.996719014918995</v>
      </c>
      <c r="CF103" s="37">
        <v>9.3788262773262035E-2</v>
      </c>
      <c r="CG103" s="37">
        <v>-1.3178524967070022E-2</v>
      </c>
      <c r="CH103" s="37">
        <v>8.0609737806192017E-2</v>
      </c>
      <c r="CI103" s="37">
        <v>4.6893776259228333E-3</v>
      </c>
      <c r="CJ103" s="37">
        <v>-6.5892624835350128E-4</v>
      </c>
      <c r="CK103" s="37">
        <v>4.0304513775693317E-3</v>
      </c>
      <c r="CL103" s="37"/>
      <c r="CM103" s="37">
        <v>-0.11263696553051303</v>
      </c>
      <c r="CN103" s="37"/>
      <c r="CO103" s="37">
        <v>0</v>
      </c>
      <c r="CP103" s="37">
        <v>0</v>
      </c>
      <c r="CQ103" s="37">
        <v>-0.87402550916070743</v>
      </c>
      <c r="CR103" s="37">
        <v>0</v>
      </c>
      <c r="CS103" s="37">
        <v>0</v>
      </c>
      <c r="CT103" s="37">
        <v>-0.87402550916070743</v>
      </c>
      <c r="CU103" s="37">
        <v>0</v>
      </c>
      <c r="CV103" s="37">
        <v>9999</v>
      </c>
      <c r="CW103" s="127">
        <v>0</v>
      </c>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row>
    <row r="104" spans="1:131">
      <c r="A104" s="1" t="s">
        <v>752</v>
      </c>
      <c r="B104" s="1"/>
      <c r="C104" s="37">
        <v>12.000000000000002</v>
      </c>
      <c r="D104" s="37">
        <v>13.954253657795835</v>
      </c>
      <c r="E104" s="37">
        <v>-0.1729841222530478</v>
      </c>
      <c r="F104" s="37">
        <v>2.0666793267960895</v>
      </c>
      <c r="G104" s="37">
        <v>0</v>
      </c>
      <c r="H104" s="37">
        <v>-10.091001479698518</v>
      </c>
      <c r="I104" s="37"/>
      <c r="J104" s="37"/>
      <c r="K104" s="37"/>
      <c r="L104" s="37">
        <v>15.001215681785107</v>
      </c>
      <c r="M104" s="37">
        <v>3.9190405629480479E-3</v>
      </c>
      <c r="N104" s="37">
        <v>3.8907546856332617E-3</v>
      </c>
      <c r="O104" s="37">
        <v>-0.17471396384168716</v>
      </c>
      <c r="P104" s="37">
        <v>0</v>
      </c>
      <c r="Q104" s="37">
        <v>0</v>
      </c>
      <c r="R104" s="37">
        <v>0.41212346550341655</v>
      </c>
      <c r="S104" s="37">
        <v>0.9523546451531405</v>
      </c>
      <c r="T104" s="37">
        <v>0</v>
      </c>
      <c r="U104" s="37">
        <v>1.6791379207835471</v>
      </c>
      <c r="V104" s="37">
        <v>0.12400075960776537</v>
      </c>
      <c r="W104" s="37">
        <v>0.28933510575145255</v>
      </c>
      <c r="X104" s="37">
        <v>0</v>
      </c>
      <c r="Y104" s="37">
        <v>0</v>
      </c>
      <c r="Z104" s="37">
        <v>0</v>
      </c>
      <c r="AA104" s="37">
        <v>0</v>
      </c>
      <c r="AB104" s="37">
        <v>0</v>
      </c>
      <c r="AC104" s="37">
        <v>0</v>
      </c>
      <c r="AD104" s="37">
        <v>0</v>
      </c>
      <c r="AE104" s="37">
        <v>0</v>
      </c>
      <c r="AF104" s="37">
        <v>0</v>
      </c>
      <c r="AG104" s="37">
        <v>-10.091001479698518</v>
      </c>
      <c r="AH104" s="37">
        <v>0.53612422511118196</v>
      </c>
      <c r="AI104" s="37">
        <v>1.241689750904593</v>
      </c>
      <c r="AJ104" s="37">
        <v>0</v>
      </c>
      <c r="AK104" s="37">
        <v>-8.4118635589149697</v>
      </c>
      <c r="AL104" s="37">
        <v>-6.6340495828991957</v>
      </c>
      <c r="AM104" s="37">
        <v>7.7484488626344907</v>
      </c>
      <c r="AN104" s="37">
        <v>1.3847870454503757</v>
      </c>
      <c r="AO104" s="37">
        <v>0</v>
      </c>
      <c r="AP104" s="37">
        <v>0</v>
      </c>
      <c r="AQ104" s="37">
        <v>9.1332359080848668</v>
      </c>
      <c r="AR104" s="37">
        <v>0.53612422511118196</v>
      </c>
      <c r="AS104" s="36">
        <v>17.035670988735507</v>
      </c>
      <c r="AT104" s="37">
        <v>7.7484488626344907</v>
      </c>
      <c r="AU104" s="37">
        <v>1.6391754030850136</v>
      </c>
      <c r="AV104" s="37">
        <v>0</v>
      </c>
      <c r="AW104" s="37">
        <v>0</v>
      </c>
      <c r="AX104" s="37">
        <v>9.3876242657195039</v>
      </c>
      <c r="AY104" s="37">
        <v>1.241689750904593</v>
      </c>
      <c r="AZ104" s="36">
        <v>7.5603622071298027</v>
      </c>
      <c r="BA104" s="37">
        <v>7.7484488626344907</v>
      </c>
      <c r="BB104" s="37">
        <v>3.0239624485353893</v>
      </c>
      <c r="BC104" s="37">
        <v>0</v>
      </c>
      <c r="BD104" s="37">
        <v>0</v>
      </c>
      <c r="BE104" s="37">
        <v>10.772411311169879</v>
      </c>
      <c r="BF104" s="37">
        <v>1.777813976015775</v>
      </c>
      <c r="BG104" s="37">
        <v>-6.1124236676816492</v>
      </c>
      <c r="BH104" s="36">
        <v>6.0593579848616814</v>
      </c>
      <c r="BI104" s="37">
        <v>2.6297174651758803</v>
      </c>
      <c r="BJ104" s="37">
        <v>6.0905534041229661</v>
      </c>
      <c r="BK104" s="37">
        <v>0</v>
      </c>
      <c r="BL104" s="37">
        <v>-41.260632292763482</v>
      </c>
      <c r="BM104" s="37">
        <v>-32.540361423464638</v>
      </c>
      <c r="BN104" s="37">
        <v>7.7484488626344907</v>
      </c>
      <c r="BO104" s="37">
        <v>-1.3557224352146531</v>
      </c>
      <c r="BP104" s="37">
        <v>3.0239624485353893</v>
      </c>
      <c r="BQ104" s="37">
        <v>0</v>
      </c>
      <c r="BR104" s="37">
        <v>0</v>
      </c>
      <c r="BS104" s="37">
        <v>0</v>
      </c>
      <c r="BT104" s="37">
        <v>0</v>
      </c>
      <c r="BU104" s="37">
        <v>0</v>
      </c>
      <c r="BV104" s="37">
        <v>0</v>
      </c>
      <c r="BW104" s="37">
        <v>0</v>
      </c>
      <c r="BX104" s="37">
        <v>3.043616031440104</v>
      </c>
      <c r="BY104" s="37">
        <v>0.4133358653592179</v>
      </c>
      <c r="BZ104" s="37">
        <v>0</v>
      </c>
      <c r="CA104" s="37">
        <v>-10.091001479698518</v>
      </c>
      <c r="CB104" s="37">
        <v>9.4166888759552272</v>
      </c>
      <c r="CC104" s="37">
        <v>-6.6340495828991957</v>
      </c>
      <c r="CD104" s="36">
        <v>4.3350975677046533</v>
      </c>
      <c r="CE104" s="37">
        <v>-40.723166254238713</v>
      </c>
      <c r="CF104" s="37">
        <v>0.14251262821945662</v>
      </c>
      <c r="CG104" s="37">
        <v>-2.0441533769477407E-2</v>
      </c>
      <c r="CH104" s="37">
        <v>0.12207109444997921</v>
      </c>
      <c r="CI104" s="37">
        <v>7.1255774488479234E-3</v>
      </c>
      <c r="CJ104" s="37">
        <v>-1.0220766884738697E-3</v>
      </c>
      <c r="CK104" s="37">
        <v>6.1035007603740532E-3</v>
      </c>
      <c r="CL104" s="37"/>
      <c r="CM104" s="37">
        <v>-0.17471396384168716</v>
      </c>
      <c r="CN104" s="37"/>
      <c r="CO104" s="37">
        <v>0</v>
      </c>
      <c r="CP104" s="37">
        <v>0</v>
      </c>
      <c r="CQ104" s="37">
        <v>-1.3557224352146531</v>
      </c>
      <c r="CR104" s="37">
        <v>0</v>
      </c>
      <c r="CS104" s="37">
        <v>0</v>
      </c>
      <c r="CT104" s="37">
        <v>-1.3557224352146531</v>
      </c>
      <c r="CU104" s="37">
        <v>0</v>
      </c>
      <c r="CV104" s="37">
        <v>9999</v>
      </c>
      <c r="CW104" s="127">
        <v>0</v>
      </c>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row>
    <row r="105" spans="1:131">
      <c r="A105" s="1" t="s">
        <v>738</v>
      </c>
      <c r="B105" s="1"/>
      <c r="C105" s="37">
        <v>12</v>
      </c>
      <c r="D105" s="37">
        <v>77.368427431018958</v>
      </c>
      <c r="E105" s="37">
        <v>-0.24640959977027047</v>
      </c>
      <c r="F105" s="37">
        <v>15.310672125184738</v>
      </c>
      <c r="G105" s="37">
        <v>0</v>
      </c>
      <c r="H105" s="37">
        <v>-41.6728553859801</v>
      </c>
      <c r="I105" s="37"/>
      <c r="J105" s="37"/>
      <c r="K105" s="37"/>
      <c r="L105" s="37">
        <v>83.173238448682625</v>
      </c>
      <c r="M105" s="37">
        <v>2.1728858656963793E-2</v>
      </c>
      <c r="N105" s="37">
        <v>2.1572029499344954E-2</v>
      </c>
      <c r="O105" s="37">
        <v>-0.248873696289482</v>
      </c>
      <c r="P105" s="37">
        <v>0</v>
      </c>
      <c r="Q105" s="37">
        <v>0</v>
      </c>
      <c r="R105" s="37">
        <v>3.0531525494086793</v>
      </c>
      <c r="S105" s="37">
        <v>7.0553711598021209</v>
      </c>
      <c r="T105" s="37">
        <v>0</v>
      </c>
      <c r="U105" s="37">
        <v>12.439631937450493</v>
      </c>
      <c r="V105" s="37">
        <v>0.91864032751108426</v>
      </c>
      <c r="W105" s="37">
        <v>2.1434940975258634</v>
      </c>
      <c r="X105" s="37">
        <v>0</v>
      </c>
      <c r="Y105" s="37">
        <v>0</v>
      </c>
      <c r="Z105" s="37">
        <v>0</v>
      </c>
      <c r="AA105" s="37">
        <v>0</v>
      </c>
      <c r="AB105" s="37">
        <v>0</v>
      </c>
      <c r="AC105" s="37">
        <v>0</v>
      </c>
      <c r="AD105" s="37">
        <v>0</v>
      </c>
      <c r="AE105" s="37">
        <v>0</v>
      </c>
      <c r="AF105" s="37">
        <v>0</v>
      </c>
      <c r="AG105" s="37">
        <v>-41.6728553859801</v>
      </c>
      <c r="AH105" s="37">
        <v>3.9717928769197637</v>
      </c>
      <c r="AI105" s="37">
        <v>9.1988652573279843</v>
      </c>
      <c r="AJ105" s="37">
        <v>0</v>
      </c>
      <c r="AK105" s="37">
        <v>-29.233223448529607</v>
      </c>
      <c r="AL105" s="37">
        <v>-16.062565314281859</v>
      </c>
      <c r="AM105" s="37">
        <v>42.960757216619989</v>
      </c>
      <c r="AN105" s="37">
        <v>7.6778592865471671</v>
      </c>
      <c r="AO105" s="37">
        <v>0</v>
      </c>
      <c r="AP105" s="37">
        <v>0</v>
      </c>
      <c r="AQ105" s="37">
        <v>50.638616503167157</v>
      </c>
      <c r="AR105" s="37">
        <v>3.9717928769197637</v>
      </c>
      <c r="AS105" s="36">
        <v>12.749561236546358</v>
      </c>
      <c r="AT105" s="37">
        <v>42.960757216619989</v>
      </c>
      <c r="AU105" s="37">
        <v>9.0882985454004004</v>
      </c>
      <c r="AV105" s="37">
        <v>0</v>
      </c>
      <c r="AW105" s="37">
        <v>0</v>
      </c>
      <c r="AX105" s="37">
        <v>52.049055762020387</v>
      </c>
      <c r="AY105" s="37">
        <v>9.1988652573279843</v>
      </c>
      <c r="AZ105" s="36">
        <v>5.658203952988349</v>
      </c>
      <c r="BA105" s="37">
        <v>42.960757216619989</v>
      </c>
      <c r="BB105" s="37">
        <v>16.766157831947567</v>
      </c>
      <c r="BC105" s="37">
        <v>0</v>
      </c>
      <c r="BD105" s="37">
        <v>0</v>
      </c>
      <c r="BE105" s="37">
        <v>59.726915048567555</v>
      </c>
      <c r="BF105" s="37">
        <v>13.170658134247748</v>
      </c>
      <c r="BG105" s="37">
        <v>-3.1808688226807722</v>
      </c>
      <c r="BH105" s="36">
        <v>4.5348466598840087</v>
      </c>
      <c r="BI105" s="37">
        <v>3.5137680974975369</v>
      </c>
      <c r="BJ105" s="37">
        <v>8.1380576168021843</v>
      </c>
      <c r="BK105" s="37">
        <v>0</v>
      </c>
      <c r="BL105" s="37">
        <v>-25.862065602001262</v>
      </c>
      <c r="BM105" s="37">
        <v>-14.210239887701544</v>
      </c>
      <c r="BN105" s="37">
        <v>42.960757216619989</v>
      </c>
      <c r="BO105" s="37">
        <v>-1.931177372291653</v>
      </c>
      <c r="BP105" s="37">
        <v>16.766157831947567</v>
      </c>
      <c r="BQ105" s="37">
        <v>0</v>
      </c>
      <c r="BR105" s="37">
        <v>0</v>
      </c>
      <c r="BS105" s="37">
        <v>0</v>
      </c>
      <c r="BT105" s="37">
        <v>0</v>
      </c>
      <c r="BU105" s="37">
        <v>0</v>
      </c>
      <c r="BV105" s="37">
        <v>0</v>
      </c>
      <c r="BW105" s="37">
        <v>0</v>
      </c>
      <c r="BX105" s="37">
        <v>22.548155646661293</v>
      </c>
      <c r="BY105" s="37">
        <v>3.0621344250369478</v>
      </c>
      <c r="BZ105" s="37">
        <v>0</v>
      </c>
      <c r="CA105" s="37">
        <v>-41.6728553859801</v>
      </c>
      <c r="CB105" s="37">
        <v>57.795737676275905</v>
      </c>
      <c r="CC105" s="37">
        <v>-16.062565314281859</v>
      </c>
      <c r="CD105" s="36">
        <v>3.6817126988879871</v>
      </c>
      <c r="CE105" s="37">
        <v>-27.334459272113147</v>
      </c>
      <c r="CF105" s="37">
        <v>0.79015174905043573</v>
      </c>
      <c r="CG105" s="37">
        <v>-2.9118222465869394E-2</v>
      </c>
      <c r="CH105" s="37">
        <v>0.76103352658456636</v>
      </c>
      <c r="CI105" s="37">
        <v>3.9507288263124225E-2</v>
      </c>
      <c r="CJ105" s="37">
        <v>-1.4559111232934692E-3</v>
      </c>
      <c r="CK105" s="37">
        <v>3.8051377139830755E-2</v>
      </c>
      <c r="CL105" s="37"/>
      <c r="CM105" s="37">
        <v>-0.248873696289482</v>
      </c>
      <c r="CN105" s="37"/>
      <c r="CO105" s="37">
        <v>0</v>
      </c>
      <c r="CP105" s="37">
        <v>0</v>
      </c>
      <c r="CQ105" s="37">
        <v>-1.931177372291653</v>
      </c>
      <c r="CR105" s="37">
        <v>0</v>
      </c>
      <c r="CS105" s="37">
        <v>0</v>
      </c>
      <c r="CT105" s="37">
        <v>-1.931177372291653</v>
      </c>
      <c r="CU105" s="37">
        <v>0</v>
      </c>
      <c r="CV105" s="37">
        <v>9999</v>
      </c>
      <c r="CW105" s="127">
        <v>0</v>
      </c>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row>
    <row r="106" spans="1:131">
      <c r="A106" s="1" t="s">
        <v>759</v>
      </c>
      <c r="B106" s="1"/>
      <c r="C106" s="37">
        <v>12</v>
      </c>
      <c r="D106" s="37">
        <v>50.774142858393084</v>
      </c>
      <c r="E106" s="37">
        <v>-0.63318162779211606</v>
      </c>
      <c r="F106" s="37">
        <v>5.5772508450117817</v>
      </c>
      <c r="G106" s="37">
        <v>0</v>
      </c>
      <c r="H106" s="37">
        <v>-12.438181918792578</v>
      </c>
      <c r="I106" s="37"/>
      <c r="J106" s="37"/>
      <c r="K106" s="37"/>
      <c r="L106" s="37">
        <v>54.583633546821666</v>
      </c>
      <c r="M106" s="37">
        <v>1.4259875898113245E-2</v>
      </c>
      <c r="N106" s="37">
        <v>1.4156954508630436E-2</v>
      </c>
      <c r="O106" s="37">
        <v>-0.63951344541012223</v>
      </c>
      <c r="P106" s="37">
        <v>0</v>
      </c>
      <c r="Q106" s="37">
        <v>0</v>
      </c>
      <c r="R106" s="37">
        <v>1.1121783222128776</v>
      </c>
      <c r="S106" s="37">
        <v>2.5700749412660642</v>
      </c>
      <c r="T106" s="37">
        <v>0</v>
      </c>
      <c r="U106" s="37">
        <v>4.531410977096094</v>
      </c>
      <c r="V106" s="37">
        <v>0.33463505070070693</v>
      </c>
      <c r="W106" s="37">
        <v>0.7808151183016494</v>
      </c>
      <c r="X106" s="37">
        <v>0</v>
      </c>
      <c r="Y106" s="37">
        <v>0</v>
      </c>
      <c r="Z106" s="37">
        <v>0</v>
      </c>
      <c r="AA106" s="37">
        <v>0</v>
      </c>
      <c r="AB106" s="37">
        <v>0</v>
      </c>
      <c r="AC106" s="37">
        <v>0</v>
      </c>
      <c r="AD106" s="37">
        <v>0</v>
      </c>
      <c r="AE106" s="37">
        <v>0</v>
      </c>
      <c r="AF106" s="37">
        <v>0</v>
      </c>
      <c r="AG106" s="37">
        <v>-12.438181918792578</v>
      </c>
      <c r="AH106" s="37">
        <v>1.4468133729135846</v>
      </c>
      <c r="AI106" s="37">
        <v>3.3508900595677136</v>
      </c>
      <c r="AJ106" s="37">
        <v>0</v>
      </c>
      <c r="AK106" s="37">
        <v>-7.9067709416964842</v>
      </c>
      <c r="AL106" s="37">
        <v>-3.1090675092151869</v>
      </c>
      <c r="AM106" s="37">
        <v>28.19361458737453</v>
      </c>
      <c r="AN106" s="37">
        <v>5.0387055444465512</v>
      </c>
      <c r="AO106" s="37">
        <v>0</v>
      </c>
      <c r="AP106" s="37">
        <v>0</v>
      </c>
      <c r="AQ106" s="37">
        <v>33.232320131821083</v>
      </c>
      <c r="AR106" s="37">
        <v>1.4468133729135846</v>
      </c>
      <c r="AS106" s="36">
        <v>22.96932054539835</v>
      </c>
      <c r="AT106" s="37">
        <v>28.19361458737453</v>
      </c>
      <c r="AU106" s="37">
        <v>5.9643265865176271</v>
      </c>
      <c r="AV106" s="37">
        <v>0</v>
      </c>
      <c r="AW106" s="37">
        <v>0</v>
      </c>
      <c r="AX106" s="37">
        <v>34.157941173892155</v>
      </c>
      <c r="AY106" s="37">
        <v>3.3508900595677136</v>
      </c>
      <c r="AZ106" s="36">
        <v>10.193691994269352</v>
      </c>
      <c r="BA106" s="37">
        <v>28.19361458737453</v>
      </c>
      <c r="BB106" s="37">
        <v>11.003032130964179</v>
      </c>
      <c r="BC106" s="37">
        <v>0</v>
      </c>
      <c r="BD106" s="37">
        <v>0</v>
      </c>
      <c r="BE106" s="37">
        <v>39.196646718338705</v>
      </c>
      <c r="BF106" s="37">
        <v>4.7977034324812982</v>
      </c>
      <c r="BG106" s="37">
        <v>-8.3651255390899042</v>
      </c>
      <c r="BH106" s="36">
        <v>8.1698769567477836</v>
      </c>
      <c r="BI106" s="37">
        <v>1.9503842719911366</v>
      </c>
      <c r="BJ106" s="37">
        <v>4.517184725899452</v>
      </c>
      <c r="BK106" s="37">
        <v>0</v>
      </c>
      <c r="BL106" s="37">
        <v>-10.658763580451405</v>
      </c>
      <c r="BM106" s="37">
        <v>-4.1911945825608168</v>
      </c>
      <c r="BN106" s="37">
        <v>28.19361458737453</v>
      </c>
      <c r="BO106" s="37">
        <v>-4.9624123138179126</v>
      </c>
      <c r="BP106" s="37">
        <v>11.003032130964179</v>
      </c>
      <c r="BQ106" s="37">
        <v>0</v>
      </c>
      <c r="BR106" s="37">
        <v>0</v>
      </c>
      <c r="BS106" s="37">
        <v>0</v>
      </c>
      <c r="BT106" s="37">
        <v>0</v>
      </c>
      <c r="BU106" s="37">
        <v>0</v>
      </c>
      <c r="BV106" s="37">
        <v>0</v>
      </c>
      <c r="BW106" s="37">
        <v>0</v>
      </c>
      <c r="BX106" s="37">
        <v>8.2136642405750351</v>
      </c>
      <c r="BY106" s="37">
        <v>1.1154501690023564</v>
      </c>
      <c r="BZ106" s="37">
        <v>0</v>
      </c>
      <c r="CA106" s="37">
        <v>-12.438181918792578</v>
      </c>
      <c r="CB106" s="37">
        <v>34.234234404520798</v>
      </c>
      <c r="CC106" s="37">
        <v>-3.1090675092151869</v>
      </c>
      <c r="CD106" s="36">
        <v>3.6129679940075823</v>
      </c>
      <c r="CE106" s="37">
        <v>-12.334283459818346</v>
      </c>
      <c r="CF106" s="37">
        <v>0.51854844564168034</v>
      </c>
      <c r="CG106" s="37">
        <v>-7.4823073112984237E-2</v>
      </c>
      <c r="CH106" s="37">
        <v>0.44372537252869609</v>
      </c>
      <c r="CI106" s="37">
        <v>2.5927225934740283E-2</v>
      </c>
      <c r="CJ106" s="37">
        <v>-3.7411536556492143E-3</v>
      </c>
      <c r="CK106" s="37">
        <v>2.2186072279091071E-2</v>
      </c>
      <c r="CL106" s="37"/>
      <c r="CM106" s="37">
        <v>-0.63951344541012223</v>
      </c>
      <c r="CN106" s="37"/>
      <c r="CO106" s="37">
        <v>0</v>
      </c>
      <c r="CP106" s="37">
        <v>0</v>
      </c>
      <c r="CQ106" s="37">
        <v>-4.9624123138179126</v>
      </c>
      <c r="CR106" s="37">
        <v>0</v>
      </c>
      <c r="CS106" s="37">
        <v>0</v>
      </c>
      <c r="CT106" s="37">
        <v>-4.9624123138179126</v>
      </c>
      <c r="CU106" s="37">
        <v>0</v>
      </c>
      <c r="CV106" s="37">
        <v>9999</v>
      </c>
      <c r="CW106" s="127">
        <v>0</v>
      </c>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row>
    <row r="107" spans="1:131">
      <c r="A107" s="1" t="s">
        <v>728</v>
      </c>
      <c r="B107" s="1"/>
      <c r="C107" s="37">
        <v>11.999999999999998</v>
      </c>
      <c r="D107" s="37">
        <v>13.334064606338242</v>
      </c>
      <c r="E107" s="37">
        <v>-0.16529593904180123</v>
      </c>
      <c r="F107" s="37">
        <v>2.630319143195023</v>
      </c>
      <c r="G107" s="37">
        <v>0</v>
      </c>
      <c r="H107" s="37">
        <v>-10.091001479698518</v>
      </c>
      <c r="I107" s="37"/>
      <c r="J107" s="37"/>
      <c r="K107" s="37"/>
      <c r="L107" s="37">
        <v>14.33449498481688</v>
      </c>
      <c r="M107" s="37">
        <v>3.7448609823725787E-3</v>
      </c>
      <c r="N107" s="37">
        <v>3.717832255160672E-3</v>
      </c>
      <c r="O107" s="37">
        <v>-0.16694889878205663</v>
      </c>
      <c r="P107" s="37">
        <v>0</v>
      </c>
      <c r="Q107" s="37">
        <v>0</v>
      </c>
      <c r="R107" s="37">
        <v>0.52452077427707555</v>
      </c>
      <c r="S107" s="37">
        <v>1.2120877301949062</v>
      </c>
      <c r="T107" s="37">
        <v>0</v>
      </c>
      <c r="U107" s="37">
        <v>2.1370846264517871</v>
      </c>
      <c r="V107" s="37">
        <v>0.15781914859170137</v>
      </c>
      <c r="W107" s="37">
        <v>0.36824468004730321</v>
      </c>
      <c r="X107" s="37">
        <v>0</v>
      </c>
      <c r="Y107" s="37">
        <v>0</v>
      </c>
      <c r="Z107" s="37">
        <v>0</v>
      </c>
      <c r="AA107" s="37">
        <v>0</v>
      </c>
      <c r="AB107" s="37">
        <v>0</v>
      </c>
      <c r="AC107" s="37">
        <v>0</v>
      </c>
      <c r="AD107" s="37">
        <v>0</v>
      </c>
      <c r="AE107" s="37">
        <v>0</v>
      </c>
      <c r="AF107" s="37">
        <v>0</v>
      </c>
      <c r="AG107" s="37">
        <v>-10.091001479698518</v>
      </c>
      <c r="AH107" s="37">
        <v>0.68233992286877698</v>
      </c>
      <c r="AI107" s="37">
        <v>1.5803324102422094</v>
      </c>
      <c r="AJ107" s="37">
        <v>0</v>
      </c>
      <c r="AK107" s="37">
        <v>-7.9539168532467306</v>
      </c>
      <c r="AL107" s="37">
        <v>-5.6912445201357444</v>
      </c>
      <c r="AM107" s="37">
        <v>7.4040733576285165</v>
      </c>
      <c r="AN107" s="37">
        <v>1.3232409545414698</v>
      </c>
      <c r="AO107" s="37">
        <v>0</v>
      </c>
      <c r="AP107" s="37">
        <v>0</v>
      </c>
      <c r="AQ107" s="37">
        <v>8.7273143121699857</v>
      </c>
      <c r="AR107" s="37">
        <v>0.68233992286877698</v>
      </c>
      <c r="AS107" s="36">
        <v>12.790273615352218</v>
      </c>
      <c r="AT107" s="37">
        <v>7.4040733576285165</v>
      </c>
      <c r="AU107" s="37">
        <v>1.5663231629479015</v>
      </c>
      <c r="AV107" s="37">
        <v>0</v>
      </c>
      <c r="AW107" s="37">
        <v>0</v>
      </c>
      <c r="AX107" s="37">
        <v>8.9703965205764185</v>
      </c>
      <c r="AY107" s="37">
        <v>1.5803324102422094</v>
      </c>
      <c r="AZ107" s="36">
        <v>5.6762719428133304</v>
      </c>
      <c r="BA107" s="37">
        <v>7.4040733576285165</v>
      </c>
      <c r="BB107" s="37">
        <v>2.8895641174893711</v>
      </c>
      <c r="BC107" s="37">
        <v>0</v>
      </c>
      <c r="BD107" s="37">
        <v>0</v>
      </c>
      <c r="BE107" s="37">
        <v>10.293637475117889</v>
      </c>
      <c r="BF107" s="37">
        <v>2.2626723331109866</v>
      </c>
      <c r="BG107" s="37">
        <v>-3.2179574383372174</v>
      </c>
      <c r="BH107" s="36">
        <v>4.5493275029199616</v>
      </c>
      <c r="BI107" s="37">
        <v>3.5025835159847878</v>
      </c>
      <c r="BJ107" s="37">
        <v>8.1121535826584967</v>
      </c>
      <c r="BK107" s="37">
        <v>0</v>
      </c>
      <c r="BL107" s="37">
        <v>-40.82900197392275</v>
      </c>
      <c r="BM107" s="37">
        <v>-29.214264875279465</v>
      </c>
      <c r="BN107" s="37">
        <v>7.4040733576285165</v>
      </c>
      <c r="BO107" s="37">
        <v>-1.2954681047606689</v>
      </c>
      <c r="BP107" s="37">
        <v>2.8895641174893711</v>
      </c>
      <c r="BQ107" s="37">
        <v>0</v>
      </c>
      <c r="BR107" s="37">
        <v>0</v>
      </c>
      <c r="BS107" s="37">
        <v>0</v>
      </c>
      <c r="BT107" s="37">
        <v>0</v>
      </c>
      <c r="BU107" s="37">
        <v>0</v>
      </c>
      <c r="BV107" s="37">
        <v>0</v>
      </c>
      <c r="BW107" s="37">
        <v>0</v>
      </c>
      <c r="BX107" s="37">
        <v>3.873693130923769</v>
      </c>
      <c r="BY107" s="37">
        <v>0.52606382863900458</v>
      </c>
      <c r="BZ107" s="37">
        <v>0</v>
      </c>
      <c r="CA107" s="37">
        <v>-10.091001479698518</v>
      </c>
      <c r="CB107" s="37">
        <v>8.9981693703572176</v>
      </c>
      <c r="CC107" s="37">
        <v>-5.6912445201357444</v>
      </c>
      <c r="CD107" s="36">
        <v>3.5792508153034643</v>
      </c>
      <c r="CE107" s="37">
        <v>-37.397069706053522</v>
      </c>
      <c r="CF107" s="37">
        <v>0.13617873363192509</v>
      </c>
      <c r="CG107" s="37">
        <v>-1.9533021157500632E-2</v>
      </c>
      <c r="CH107" s="37">
        <v>0.11664571247442446</v>
      </c>
      <c r="CI107" s="37">
        <v>6.8088851177880152E-3</v>
      </c>
      <c r="CJ107" s="37">
        <v>-9.7665105787503119E-4</v>
      </c>
      <c r="CK107" s="37">
        <v>5.8322340599129838E-3</v>
      </c>
      <c r="CL107" s="37"/>
      <c r="CM107" s="37">
        <v>-0.16694889878205663</v>
      </c>
      <c r="CN107" s="37"/>
      <c r="CO107" s="37">
        <v>0</v>
      </c>
      <c r="CP107" s="37">
        <v>0</v>
      </c>
      <c r="CQ107" s="37">
        <v>-1.2954681047606689</v>
      </c>
      <c r="CR107" s="37">
        <v>0</v>
      </c>
      <c r="CS107" s="37">
        <v>0</v>
      </c>
      <c r="CT107" s="37">
        <v>-1.2954681047606689</v>
      </c>
      <c r="CU107" s="37">
        <v>0</v>
      </c>
      <c r="CV107" s="37">
        <v>9999</v>
      </c>
      <c r="CW107" s="127">
        <v>0</v>
      </c>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row>
    <row r="108" spans="1:131">
      <c r="A108" s="1" t="s">
        <v>756</v>
      </c>
      <c r="B108" s="1"/>
      <c r="C108" s="37">
        <v>12</v>
      </c>
      <c r="D108" s="37">
        <v>15.124092126814682</v>
      </c>
      <c r="E108" s="37">
        <v>-0.15054276323207694</v>
      </c>
      <c r="F108" s="37">
        <v>5.5856098464851964</v>
      </c>
      <c r="G108" s="37">
        <v>0</v>
      </c>
      <c r="H108" s="37">
        <v>-19.9637595063795</v>
      </c>
      <c r="I108" s="37"/>
      <c r="J108" s="37"/>
      <c r="K108" s="37"/>
      <c r="L108" s="37">
        <v>16.258824982644914</v>
      </c>
      <c r="M108" s="37">
        <v>4.2475887264408763E-3</v>
      </c>
      <c r="N108" s="37">
        <v>4.2169315358173125E-3</v>
      </c>
      <c r="O108" s="37">
        <v>-0.15204819118301102</v>
      </c>
      <c r="P108" s="37">
        <v>0</v>
      </c>
      <c r="Q108" s="37">
        <v>0</v>
      </c>
      <c r="R108" s="37">
        <v>1.1138452187704155</v>
      </c>
      <c r="S108" s="37">
        <v>2.5739268856769999</v>
      </c>
      <c r="T108" s="37">
        <v>0</v>
      </c>
      <c r="U108" s="37">
        <v>4.538202507921369</v>
      </c>
      <c r="V108" s="37">
        <v>0.33513659078911179</v>
      </c>
      <c r="W108" s="37">
        <v>0.78198537850792749</v>
      </c>
      <c r="X108" s="37">
        <v>0</v>
      </c>
      <c r="Y108" s="37">
        <v>0</v>
      </c>
      <c r="Z108" s="37">
        <v>0</v>
      </c>
      <c r="AA108" s="37">
        <v>0</v>
      </c>
      <c r="AB108" s="37">
        <v>0</v>
      </c>
      <c r="AC108" s="37">
        <v>0</v>
      </c>
      <c r="AD108" s="37">
        <v>0</v>
      </c>
      <c r="AE108" s="37">
        <v>0</v>
      </c>
      <c r="AF108" s="37">
        <v>0</v>
      </c>
      <c r="AG108" s="37">
        <v>-19.9637595063795</v>
      </c>
      <c r="AH108" s="37">
        <v>1.4489818095595273</v>
      </c>
      <c r="AI108" s="37">
        <v>3.3559122641849273</v>
      </c>
      <c r="AJ108" s="37">
        <v>0</v>
      </c>
      <c r="AK108" s="37">
        <v>-15.425556998458131</v>
      </c>
      <c r="AL108" s="37">
        <v>-10.620662924713676</v>
      </c>
      <c r="AM108" s="37">
        <v>8.3980309740841417</v>
      </c>
      <c r="AN108" s="37">
        <v>1.5008790412599664</v>
      </c>
      <c r="AO108" s="37">
        <v>0</v>
      </c>
      <c r="AP108" s="37">
        <v>0</v>
      </c>
      <c r="AQ108" s="37">
        <v>9.8989100153441072</v>
      </c>
      <c r="AR108" s="37">
        <v>1.4489818095595273</v>
      </c>
      <c r="AS108" s="36">
        <v>6.8316316671727266</v>
      </c>
      <c r="AT108" s="37">
        <v>8.3980309740841417</v>
      </c>
      <c r="AU108" s="37">
        <v>1.7765937481304348</v>
      </c>
      <c r="AV108" s="37">
        <v>0</v>
      </c>
      <c r="AW108" s="37">
        <v>0</v>
      </c>
      <c r="AX108" s="37">
        <v>10.174624722214576</v>
      </c>
      <c r="AY108" s="37">
        <v>3.3559122641849273</v>
      </c>
      <c r="AZ108" s="36">
        <v>3.0318506329264108</v>
      </c>
      <c r="BA108" s="37">
        <v>8.3980309740841417</v>
      </c>
      <c r="BB108" s="37">
        <v>3.2774727893904014</v>
      </c>
      <c r="BC108" s="37">
        <v>0</v>
      </c>
      <c r="BD108" s="37">
        <v>0</v>
      </c>
      <c r="BE108" s="37">
        <v>11.675503763474541</v>
      </c>
      <c r="BF108" s="37">
        <v>4.804894073744455</v>
      </c>
      <c r="BG108" s="37">
        <v>6.9125740459068856</v>
      </c>
      <c r="BH108" s="36">
        <v>2.4299190750683541</v>
      </c>
      <c r="BI108" s="37">
        <v>6.5575844414059068</v>
      </c>
      <c r="BJ108" s="37">
        <v>15.187684141481466</v>
      </c>
      <c r="BK108" s="37">
        <v>0</v>
      </c>
      <c r="BL108" s="37">
        <v>-69.810671124890618</v>
      </c>
      <c r="BM108" s="37">
        <v>-48.065402542003241</v>
      </c>
      <c r="BN108" s="37">
        <v>8.3980309740841417</v>
      </c>
      <c r="BO108" s="37">
        <v>-1.1798435539325245</v>
      </c>
      <c r="BP108" s="37">
        <v>3.2774727893904014</v>
      </c>
      <c r="BQ108" s="37">
        <v>0</v>
      </c>
      <c r="BR108" s="37">
        <v>0</v>
      </c>
      <c r="BS108" s="37">
        <v>0</v>
      </c>
      <c r="BT108" s="37">
        <v>0</v>
      </c>
      <c r="BU108" s="37">
        <v>0</v>
      </c>
      <c r="BV108" s="37">
        <v>0</v>
      </c>
      <c r="BW108" s="37">
        <v>0</v>
      </c>
      <c r="BX108" s="37">
        <v>8.225974612368784</v>
      </c>
      <c r="BY108" s="37">
        <v>1.1171219692970393</v>
      </c>
      <c r="BZ108" s="37">
        <v>0</v>
      </c>
      <c r="CA108" s="37">
        <v>-19.9637595063795</v>
      </c>
      <c r="CB108" s="37">
        <v>10.495660209542017</v>
      </c>
      <c r="CC108" s="37">
        <v>-10.620662924713676</v>
      </c>
      <c r="CD108" s="36">
        <v>3.0066942187403205</v>
      </c>
      <c r="CE108" s="37">
        <v>-57.558538168362972</v>
      </c>
      <c r="CF108" s="37">
        <v>0.15446000705465215</v>
      </c>
      <c r="CG108" s="37">
        <v>-1.7789638368412266E-2</v>
      </c>
      <c r="CH108" s="37">
        <v>0.13667036868623988</v>
      </c>
      <c r="CI108" s="37">
        <v>7.7229418667563322E-3</v>
      </c>
      <c r="CJ108" s="37">
        <v>-8.8948191842061421E-4</v>
      </c>
      <c r="CK108" s="37">
        <v>6.8334599483357182E-3</v>
      </c>
      <c r="CL108" s="37"/>
      <c r="CM108" s="37">
        <v>-0.15204819118301102</v>
      </c>
      <c r="CN108" s="37"/>
      <c r="CO108" s="37">
        <v>0</v>
      </c>
      <c r="CP108" s="37">
        <v>0</v>
      </c>
      <c r="CQ108" s="37">
        <v>-1.1798435539325245</v>
      </c>
      <c r="CR108" s="37">
        <v>0</v>
      </c>
      <c r="CS108" s="37">
        <v>0</v>
      </c>
      <c r="CT108" s="37">
        <v>-1.1798435539325245</v>
      </c>
      <c r="CU108" s="37">
        <v>0</v>
      </c>
      <c r="CV108" s="37">
        <v>9999</v>
      </c>
      <c r="CW108" s="127">
        <v>0</v>
      </c>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row>
    <row r="109" spans="1:131">
      <c r="A109" s="1" t="s">
        <v>742</v>
      </c>
      <c r="B109" s="1"/>
      <c r="C109" s="37">
        <v>12</v>
      </c>
      <c r="D109" s="37">
        <v>48.517514286908948</v>
      </c>
      <c r="E109" s="37">
        <v>-0.60504022211246644</v>
      </c>
      <c r="F109" s="37">
        <v>7.0983192572877227</v>
      </c>
      <c r="G109" s="37">
        <v>0</v>
      </c>
      <c r="H109" s="37">
        <v>-12.438181918792578</v>
      </c>
      <c r="I109" s="37"/>
      <c r="J109" s="37"/>
      <c r="K109" s="37"/>
      <c r="L109" s="37">
        <v>52.157694278074032</v>
      </c>
      <c r="M109" s="37">
        <v>1.3626103635974879E-2</v>
      </c>
      <c r="N109" s="37">
        <v>1.3527756530469084E-2</v>
      </c>
      <c r="O109" s="37">
        <v>-0.61109062561411676</v>
      </c>
      <c r="P109" s="37">
        <v>0</v>
      </c>
      <c r="Q109" s="37">
        <v>0</v>
      </c>
      <c r="R109" s="37">
        <v>1.4154996828163895</v>
      </c>
      <c r="S109" s="37">
        <v>3.2710044707022643</v>
      </c>
      <c r="T109" s="37">
        <v>0</v>
      </c>
      <c r="U109" s="37">
        <v>5.7672503344859383</v>
      </c>
      <c r="V109" s="37">
        <v>0.42589915543726337</v>
      </c>
      <c r="W109" s="37">
        <v>0.99376469602028117</v>
      </c>
      <c r="X109" s="37">
        <v>0</v>
      </c>
      <c r="Y109" s="37">
        <v>0</v>
      </c>
      <c r="Z109" s="37">
        <v>0</v>
      </c>
      <c r="AA109" s="37">
        <v>0</v>
      </c>
      <c r="AB109" s="37">
        <v>0</v>
      </c>
      <c r="AC109" s="37">
        <v>0</v>
      </c>
      <c r="AD109" s="37">
        <v>0</v>
      </c>
      <c r="AE109" s="37">
        <v>0</v>
      </c>
      <c r="AF109" s="37">
        <v>0</v>
      </c>
      <c r="AG109" s="37">
        <v>-12.438181918792578</v>
      </c>
      <c r="AH109" s="37">
        <v>1.8413988382536528</v>
      </c>
      <c r="AI109" s="37">
        <v>4.2647691667225454</v>
      </c>
      <c r="AJ109" s="37">
        <v>0</v>
      </c>
      <c r="AK109" s="37">
        <v>-6.6709315843066399</v>
      </c>
      <c r="AL109" s="37">
        <v>-0.56476357933044219</v>
      </c>
      <c r="AM109" s="37">
        <v>26.940565050157876</v>
      </c>
      <c r="AN109" s="37">
        <v>4.8147630758044828</v>
      </c>
      <c r="AO109" s="37">
        <v>0</v>
      </c>
      <c r="AP109" s="37">
        <v>0</v>
      </c>
      <c r="AQ109" s="37">
        <v>31.755328125962357</v>
      </c>
      <c r="AR109" s="37">
        <v>1.8413988382536528</v>
      </c>
      <c r="AS109" s="36">
        <v>17.245220028529236</v>
      </c>
      <c r="AT109" s="37">
        <v>26.940565050157876</v>
      </c>
      <c r="AU109" s="37">
        <v>5.6992454048946222</v>
      </c>
      <c r="AV109" s="37">
        <v>0</v>
      </c>
      <c r="AW109" s="37">
        <v>0</v>
      </c>
      <c r="AX109" s="37">
        <v>32.639810455052498</v>
      </c>
      <c r="AY109" s="37">
        <v>4.2647691667225454</v>
      </c>
      <c r="AZ109" s="36">
        <v>7.6533592274434952</v>
      </c>
      <c r="BA109" s="37">
        <v>26.940565050157876</v>
      </c>
      <c r="BB109" s="37">
        <v>10.514008480699104</v>
      </c>
      <c r="BC109" s="37">
        <v>0</v>
      </c>
      <c r="BD109" s="37">
        <v>0</v>
      </c>
      <c r="BE109" s="37">
        <v>37.454573530856983</v>
      </c>
      <c r="BF109" s="37">
        <v>6.1061680049761984</v>
      </c>
      <c r="BG109" s="37">
        <v>-6.2183848780564643</v>
      </c>
      <c r="BH109" s="36">
        <v>6.1338917468915888</v>
      </c>
      <c r="BI109" s="37">
        <v>2.5977634066689559</v>
      </c>
      <c r="BJ109" s="37">
        <v>6.0165462522550852</v>
      </c>
      <c r="BK109" s="37">
        <v>0</v>
      </c>
      <c r="BL109" s="37">
        <v>-9.4110529441513684</v>
      </c>
      <c r="BM109" s="37">
        <v>-0.79674328522732907</v>
      </c>
      <c r="BN109" s="37">
        <v>26.940565050157876</v>
      </c>
      <c r="BO109" s="37">
        <v>-4.7418606554259961</v>
      </c>
      <c r="BP109" s="37">
        <v>10.514008480699104</v>
      </c>
      <c r="BQ109" s="37">
        <v>0</v>
      </c>
      <c r="BR109" s="37">
        <v>0</v>
      </c>
      <c r="BS109" s="37">
        <v>0</v>
      </c>
      <c r="BT109" s="37">
        <v>0</v>
      </c>
      <c r="BU109" s="37">
        <v>0</v>
      </c>
      <c r="BV109" s="37">
        <v>0</v>
      </c>
      <c r="BW109" s="37">
        <v>0</v>
      </c>
      <c r="BX109" s="37">
        <v>10.453754488004591</v>
      </c>
      <c r="BY109" s="37">
        <v>1.4196638514575446</v>
      </c>
      <c r="BZ109" s="37">
        <v>0</v>
      </c>
      <c r="CA109" s="37">
        <v>-12.438181918792578</v>
      </c>
      <c r="CB109" s="37">
        <v>32.712712875430981</v>
      </c>
      <c r="CC109" s="37">
        <v>-0.56476357933044219</v>
      </c>
      <c r="CD109" s="36">
        <v>3.0028238144541293</v>
      </c>
      <c r="CE109" s="37">
        <v>-8.9398321624848585</v>
      </c>
      <c r="CF109" s="37">
        <v>0.49550184805760539</v>
      </c>
      <c r="CG109" s="37">
        <v>-7.1497603196851667E-2</v>
      </c>
      <c r="CH109" s="37">
        <v>0.42400424486075372</v>
      </c>
      <c r="CI109" s="37">
        <v>2.4774904782085157E-2</v>
      </c>
      <c r="CJ109" s="37">
        <v>-3.5748801598425826E-3</v>
      </c>
      <c r="CK109" s="37">
        <v>2.1200024622242575E-2</v>
      </c>
      <c r="CL109" s="37"/>
      <c r="CM109" s="37">
        <v>-0.61109062561411676</v>
      </c>
      <c r="CN109" s="37"/>
      <c r="CO109" s="37">
        <v>0</v>
      </c>
      <c r="CP109" s="37">
        <v>0</v>
      </c>
      <c r="CQ109" s="37">
        <v>-4.7418606554259961</v>
      </c>
      <c r="CR109" s="37">
        <v>0</v>
      </c>
      <c r="CS109" s="37">
        <v>0</v>
      </c>
      <c r="CT109" s="37">
        <v>-4.7418606554259961</v>
      </c>
      <c r="CU109" s="37">
        <v>0</v>
      </c>
      <c r="CV109" s="37">
        <v>9999</v>
      </c>
      <c r="CW109" s="127">
        <v>0</v>
      </c>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row>
    <row r="110" spans="1:131">
      <c r="A110" s="1" t="s">
        <v>746</v>
      </c>
      <c r="B110" s="1"/>
      <c r="C110" s="37">
        <v>12</v>
      </c>
      <c r="D110" s="37">
        <v>18.72602411923949</v>
      </c>
      <c r="E110" s="37">
        <v>-0.21987762663711166</v>
      </c>
      <c r="F110" s="37">
        <v>3.8938572916403871</v>
      </c>
      <c r="G110" s="37">
        <v>0</v>
      </c>
      <c r="H110" s="37">
        <v>-9.9957078032538558</v>
      </c>
      <c r="I110" s="37"/>
      <c r="J110" s="37"/>
      <c r="K110" s="37"/>
      <c r="L110" s="37">
        <v>20.131003317263307</v>
      </c>
      <c r="M110" s="37">
        <v>5.2591883382486233E-3</v>
      </c>
      <c r="N110" s="37">
        <v>5.2212298752723815E-3</v>
      </c>
      <c r="O110" s="37">
        <v>-0.22207640336883852</v>
      </c>
      <c r="P110" s="37">
        <v>0</v>
      </c>
      <c r="Q110" s="37">
        <v>0</v>
      </c>
      <c r="R110" s="37">
        <v>0.77648716005418195</v>
      </c>
      <c r="S110" s="37">
        <v>1.7943437238548599</v>
      </c>
      <c r="T110" s="37">
        <v>0</v>
      </c>
      <c r="U110" s="37">
        <v>3.1636855083120512</v>
      </c>
      <c r="V110" s="37">
        <v>0.23363143749842322</v>
      </c>
      <c r="W110" s="37">
        <v>0.54514002082965418</v>
      </c>
      <c r="X110" s="37">
        <v>0</v>
      </c>
      <c r="Y110" s="37">
        <v>0</v>
      </c>
      <c r="Z110" s="37">
        <v>0</v>
      </c>
      <c r="AA110" s="37">
        <v>0</v>
      </c>
      <c r="AB110" s="37">
        <v>0</v>
      </c>
      <c r="AC110" s="37">
        <v>0</v>
      </c>
      <c r="AD110" s="37">
        <v>0</v>
      </c>
      <c r="AE110" s="37">
        <v>0</v>
      </c>
      <c r="AF110" s="37">
        <v>0</v>
      </c>
      <c r="AG110" s="37">
        <v>-9.9957078032538558</v>
      </c>
      <c r="AH110" s="37">
        <v>1.0101185975526052</v>
      </c>
      <c r="AI110" s="37">
        <v>2.339483744684514</v>
      </c>
      <c r="AJ110" s="37">
        <v>0</v>
      </c>
      <c r="AK110" s="37">
        <v>-6.8320222949418046</v>
      </c>
      <c r="AL110" s="37">
        <v>-3.4824199527046851</v>
      </c>
      <c r="AM110" s="37">
        <v>10.398093932263103</v>
      </c>
      <c r="AN110" s="37">
        <v>1.8583262314876243</v>
      </c>
      <c r="AO110" s="37">
        <v>0</v>
      </c>
      <c r="AP110" s="37">
        <v>0</v>
      </c>
      <c r="AQ110" s="37">
        <v>12.256420163750727</v>
      </c>
      <c r="AR110" s="37">
        <v>1.0101185975526052</v>
      </c>
      <c r="AS110" s="36">
        <v>12.133644696223341</v>
      </c>
      <c r="AT110" s="37">
        <v>10.398093932263103</v>
      </c>
      <c r="AU110" s="37">
        <v>2.1997047557384444</v>
      </c>
      <c r="AV110" s="37">
        <v>0</v>
      </c>
      <c r="AW110" s="37">
        <v>0</v>
      </c>
      <c r="AX110" s="37">
        <v>12.597798688001548</v>
      </c>
      <c r="AY110" s="37">
        <v>2.339483744684514</v>
      </c>
      <c r="AZ110" s="36">
        <v>5.3848626717859061</v>
      </c>
      <c r="BA110" s="37">
        <v>10.398093932263103</v>
      </c>
      <c r="BB110" s="37">
        <v>4.0580309872260685</v>
      </c>
      <c r="BC110" s="37">
        <v>0</v>
      </c>
      <c r="BD110" s="37">
        <v>0</v>
      </c>
      <c r="BE110" s="37">
        <v>14.456124919489172</v>
      </c>
      <c r="BF110" s="37">
        <v>3.3496023422371195</v>
      </c>
      <c r="BG110" s="37">
        <v>-2.5894099196001772</v>
      </c>
      <c r="BH110" s="36">
        <v>4.3157734687498071</v>
      </c>
      <c r="BI110" s="37">
        <v>3.6921306541975549</v>
      </c>
      <c r="BJ110" s="37">
        <v>8.5511539631827684</v>
      </c>
      <c r="BK110" s="37">
        <v>0</v>
      </c>
      <c r="BL110" s="37">
        <v>-24.972036953316369</v>
      </c>
      <c r="BM110" s="37">
        <v>-12.728752335936045</v>
      </c>
      <c r="BN110" s="37">
        <v>10.398093932263103</v>
      </c>
      <c r="BO110" s="37">
        <v>-1.7232392635297573</v>
      </c>
      <c r="BP110" s="37">
        <v>4.0580309872260685</v>
      </c>
      <c r="BQ110" s="37">
        <v>0</v>
      </c>
      <c r="BR110" s="37">
        <v>0</v>
      </c>
      <c r="BS110" s="37">
        <v>0</v>
      </c>
      <c r="BT110" s="37">
        <v>0</v>
      </c>
      <c r="BU110" s="37">
        <v>0</v>
      </c>
      <c r="BV110" s="37">
        <v>0</v>
      </c>
      <c r="BW110" s="37">
        <v>0</v>
      </c>
      <c r="BX110" s="37">
        <v>5.7345163922210931</v>
      </c>
      <c r="BY110" s="37">
        <v>0.77877145832807748</v>
      </c>
      <c r="BZ110" s="37">
        <v>0</v>
      </c>
      <c r="CA110" s="37">
        <v>-9.9957078032538558</v>
      </c>
      <c r="CB110" s="37">
        <v>12.732885655959414</v>
      </c>
      <c r="CC110" s="37">
        <v>-3.4824199527046851</v>
      </c>
      <c r="CD110" s="36">
        <v>2.9687066386203989</v>
      </c>
      <c r="CE110" s="37">
        <v>-21.262756278752239</v>
      </c>
      <c r="CF110" s="37">
        <v>0.19124597981224431</v>
      </c>
      <c r="CG110" s="37">
        <v>-2.5982939194154099E-2</v>
      </c>
      <c r="CH110" s="37">
        <v>0.16526304061809022</v>
      </c>
      <c r="CI110" s="37">
        <v>9.562226575700071E-3</v>
      </c>
      <c r="CJ110" s="37">
        <v>-1.2991469597077056E-3</v>
      </c>
      <c r="CK110" s="37">
        <v>8.2630796159923661E-3</v>
      </c>
      <c r="CL110" s="37"/>
      <c r="CM110" s="37">
        <v>-0.22207640336883852</v>
      </c>
      <c r="CN110" s="37"/>
      <c r="CO110" s="37">
        <v>0</v>
      </c>
      <c r="CP110" s="37">
        <v>0</v>
      </c>
      <c r="CQ110" s="37">
        <v>-1.7232392635297573</v>
      </c>
      <c r="CR110" s="37">
        <v>0</v>
      </c>
      <c r="CS110" s="37">
        <v>0</v>
      </c>
      <c r="CT110" s="37">
        <v>-1.7232392635297573</v>
      </c>
      <c r="CU110" s="37">
        <v>0</v>
      </c>
      <c r="CV110" s="37">
        <v>9999</v>
      </c>
      <c r="CW110" s="127">
        <v>0</v>
      </c>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row>
    <row r="111" spans="1:131">
      <c r="A111" s="1" t="s">
        <v>760</v>
      </c>
      <c r="B111" s="1"/>
      <c r="C111" s="37">
        <v>12</v>
      </c>
      <c r="D111" s="37">
        <v>45.435208886823141</v>
      </c>
      <c r="E111" s="37">
        <v>-0.56570549735583064</v>
      </c>
      <c r="F111" s="37">
        <v>12.509870771200507</v>
      </c>
      <c r="G111" s="37">
        <v>0</v>
      </c>
      <c r="H111" s="37">
        <v>-35.422629471574403</v>
      </c>
      <c r="I111" s="37"/>
      <c r="J111" s="37"/>
      <c r="K111" s="37"/>
      <c r="L111" s="37">
        <v>48.844129164687544</v>
      </c>
      <c r="M111" s="37">
        <v>1.2760440721528607E-2</v>
      </c>
      <c r="N111" s="37">
        <v>1.266834158273831E-2</v>
      </c>
      <c r="O111" s="37">
        <v>-0.57136255352666543</v>
      </c>
      <c r="P111" s="37">
        <v>0</v>
      </c>
      <c r="Q111" s="37">
        <v>0</v>
      </c>
      <c r="R111" s="37">
        <v>2.4946353449132523</v>
      </c>
      <c r="S111" s="37">
        <v>5.7647228502004522</v>
      </c>
      <c r="T111" s="37">
        <v>0</v>
      </c>
      <c r="U111" s="37">
        <v>10.164033734536428</v>
      </c>
      <c r="V111" s="37">
        <v>0.75059224627203047</v>
      </c>
      <c r="W111" s="37">
        <v>1.751381907968071</v>
      </c>
      <c r="X111" s="37">
        <v>0</v>
      </c>
      <c r="Y111" s="37">
        <v>0</v>
      </c>
      <c r="Z111" s="37">
        <v>0</v>
      </c>
      <c r="AA111" s="37">
        <v>0</v>
      </c>
      <c r="AB111" s="37">
        <v>0</v>
      </c>
      <c r="AC111" s="37">
        <v>0</v>
      </c>
      <c r="AD111" s="37">
        <v>0</v>
      </c>
      <c r="AE111" s="37">
        <v>0</v>
      </c>
      <c r="AF111" s="37">
        <v>0</v>
      </c>
      <c r="AG111" s="37">
        <v>-35.422629471574403</v>
      </c>
      <c r="AH111" s="37">
        <v>3.2452275911852828</v>
      </c>
      <c r="AI111" s="37">
        <v>7.516104758168523</v>
      </c>
      <c r="AJ111" s="37">
        <v>0</v>
      </c>
      <c r="AK111" s="37">
        <v>-25.258595737037975</v>
      </c>
      <c r="AL111" s="37">
        <v>-14.497263387684168</v>
      </c>
      <c r="AM111" s="37">
        <v>25.229037772721281</v>
      </c>
      <c r="AN111" s="37">
        <v>4.5088823964909048</v>
      </c>
      <c r="AO111" s="37">
        <v>0</v>
      </c>
      <c r="AP111" s="37">
        <v>0</v>
      </c>
      <c r="AQ111" s="37">
        <v>29.737920169212185</v>
      </c>
      <c r="AR111" s="37">
        <v>3.2452275911852828</v>
      </c>
      <c r="AS111" s="36">
        <v>9.1635853984437325</v>
      </c>
      <c r="AT111" s="37">
        <v>25.229037772721281</v>
      </c>
      <c r="AU111" s="37">
        <v>5.3371737871270799</v>
      </c>
      <c r="AV111" s="37">
        <v>0</v>
      </c>
      <c r="AW111" s="37">
        <v>0</v>
      </c>
      <c r="AX111" s="37">
        <v>30.566211559848362</v>
      </c>
      <c r="AY111" s="37">
        <v>7.516104758168523</v>
      </c>
      <c r="AZ111" s="36">
        <v>4.066762311505693</v>
      </c>
      <c r="BA111" s="37">
        <v>25.229037772721281</v>
      </c>
      <c r="BB111" s="37">
        <v>9.8460561836179856</v>
      </c>
      <c r="BC111" s="37">
        <v>0</v>
      </c>
      <c r="BD111" s="37">
        <v>0</v>
      </c>
      <c r="BE111" s="37">
        <v>35.075093956339266</v>
      </c>
      <c r="BF111" s="37">
        <v>10.761332349353808</v>
      </c>
      <c r="BG111" s="37">
        <v>1.3788273731289644</v>
      </c>
      <c r="BH111" s="36">
        <v>3.2593635079438319</v>
      </c>
      <c r="BI111" s="37">
        <v>4.8888071188463096</v>
      </c>
      <c r="BJ111" s="37">
        <v>11.322714791263152</v>
      </c>
      <c r="BK111" s="37">
        <v>0</v>
      </c>
      <c r="BL111" s="37">
        <v>-38.051076290212052</v>
      </c>
      <c r="BM111" s="37">
        <v>-21.839554380102587</v>
      </c>
      <c r="BN111" s="37">
        <v>25.229037772721281</v>
      </c>
      <c r="BO111" s="37">
        <v>-4.4335839873653526</v>
      </c>
      <c r="BP111" s="37">
        <v>9.8460561836179856</v>
      </c>
      <c r="BQ111" s="37">
        <v>0</v>
      </c>
      <c r="BR111" s="37">
        <v>0</v>
      </c>
      <c r="BS111" s="37">
        <v>0</v>
      </c>
      <c r="BT111" s="37">
        <v>0</v>
      </c>
      <c r="BU111" s="37">
        <v>0</v>
      </c>
      <c r="BV111" s="37">
        <v>0</v>
      </c>
      <c r="BW111" s="37">
        <v>0</v>
      </c>
      <c r="BX111" s="37">
        <v>18.423391929650133</v>
      </c>
      <c r="BY111" s="37">
        <v>2.5019741542401017</v>
      </c>
      <c r="BZ111" s="37">
        <v>0</v>
      </c>
      <c r="CA111" s="37">
        <v>-35.422629471574403</v>
      </c>
      <c r="CB111" s="37">
        <v>30.641509968973914</v>
      </c>
      <c r="CC111" s="37">
        <v>-14.497263387684168</v>
      </c>
      <c r="CD111" s="36">
        <v>2.7799937785209394</v>
      </c>
      <c r="CE111" s="37">
        <v>-29.993229849727555</v>
      </c>
      <c r="CF111" s="37">
        <v>0.4640227410904017</v>
      </c>
      <c r="CG111" s="37">
        <v>-6.6849418762619919E-2</v>
      </c>
      <c r="CH111" s="37">
        <v>0.3971733223277818</v>
      </c>
      <c r="CI111" s="37">
        <v>2.3200961353226576E-2</v>
      </c>
      <c r="CJ111" s="37">
        <v>-3.3424709381309923E-3</v>
      </c>
      <c r="CK111" s="37">
        <v>1.9858490415095582E-2</v>
      </c>
      <c r="CL111" s="37"/>
      <c r="CM111" s="37">
        <v>-0.57136255352666543</v>
      </c>
      <c r="CN111" s="37"/>
      <c r="CO111" s="37">
        <v>0</v>
      </c>
      <c r="CP111" s="37">
        <v>0</v>
      </c>
      <c r="CQ111" s="37">
        <v>-4.4335839873653526</v>
      </c>
      <c r="CR111" s="37">
        <v>0</v>
      </c>
      <c r="CS111" s="37">
        <v>0</v>
      </c>
      <c r="CT111" s="37">
        <v>-4.4335839873653526</v>
      </c>
      <c r="CU111" s="37">
        <v>0</v>
      </c>
      <c r="CV111" s="37">
        <v>9999</v>
      </c>
      <c r="CW111" s="127">
        <v>0</v>
      </c>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row>
    <row r="112" spans="1:131">
      <c r="A112" s="1" t="s">
        <v>754</v>
      </c>
      <c r="B112" s="1"/>
      <c r="C112" s="37">
        <v>12</v>
      </c>
      <c r="D112" s="37">
        <v>10.39786331991872</v>
      </c>
      <c r="E112" s="37">
        <v>-0.1063795378277818</v>
      </c>
      <c r="F112" s="37">
        <v>7.5966821450610711</v>
      </c>
      <c r="G112" s="37">
        <v>0</v>
      </c>
      <c r="H112" s="37">
        <v>-29.31455908553146</v>
      </c>
      <c r="I112" s="37"/>
      <c r="J112" s="37"/>
      <c r="K112" s="37"/>
      <c r="L112" s="37">
        <v>11.177995908414712</v>
      </c>
      <c r="M112" s="37">
        <v>2.920231287037374E-3</v>
      </c>
      <c r="N112" s="37">
        <v>2.8991543671665057E-3</v>
      </c>
      <c r="O112" s="37">
        <v>-0.10744333343120452</v>
      </c>
      <c r="P112" s="37">
        <v>0</v>
      </c>
      <c r="Q112" s="37">
        <v>0</v>
      </c>
      <c r="R112" s="37">
        <v>1.5148799000201141</v>
      </c>
      <c r="S112" s="37">
        <v>3.5006570370143626</v>
      </c>
      <c r="T112" s="37">
        <v>0</v>
      </c>
      <c r="U112" s="37">
        <v>6.1721607684954174</v>
      </c>
      <c r="V112" s="37">
        <v>0.45580092870366429</v>
      </c>
      <c r="W112" s="37">
        <v>1.06353550030855</v>
      </c>
      <c r="X112" s="37">
        <v>0</v>
      </c>
      <c r="Y112" s="37">
        <v>0</v>
      </c>
      <c r="Z112" s="37">
        <v>0</v>
      </c>
      <c r="AA112" s="37">
        <v>0</v>
      </c>
      <c r="AB112" s="37">
        <v>0</v>
      </c>
      <c r="AC112" s="37">
        <v>0</v>
      </c>
      <c r="AD112" s="37">
        <v>0</v>
      </c>
      <c r="AE112" s="37">
        <v>0</v>
      </c>
      <c r="AF112" s="37">
        <v>0</v>
      </c>
      <c r="AG112" s="37">
        <v>-29.31455908553146</v>
      </c>
      <c r="AH112" s="37">
        <v>1.9706808287237783</v>
      </c>
      <c r="AI112" s="37">
        <v>4.5641925373229126</v>
      </c>
      <c r="AJ112" s="37">
        <v>0</v>
      </c>
      <c r="AK112" s="37">
        <v>-23.142398317036044</v>
      </c>
      <c r="AL112" s="37">
        <v>-16.607524950989351</v>
      </c>
      <c r="AM112" s="37">
        <v>5.7736740488476377</v>
      </c>
      <c r="AN112" s="37">
        <v>1.0318593010341957</v>
      </c>
      <c r="AO112" s="37">
        <v>0</v>
      </c>
      <c r="AP112" s="37">
        <v>0</v>
      </c>
      <c r="AQ112" s="37">
        <v>6.8055333498818333</v>
      </c>
      <c r="AR112" s="37">
        <v>1.9706808287237783</v>
      </c>
      <c r="AS112" s="36">
        <v>3.45339197027107</v>
      </c>
      <c r="AT112" s="37">
        <v>5.7736740488476377</v>
      </c>
      <c r="AU112" s="37">
        <v>1.2214140732011636</v>
      </c>
      <c r="AV112" s="37">
        <v>0</v>
      </c>
      <c r="AW112" s="37">
        <v>0</v>
      </c>
      <c r="AX112" s="37">
        <v>6.9950881220488013</v>
      </c>
      <c r="AY112" s="37">
        <v>4.5641925373229126</v>
      </c>
      <c r="AZ112" s="36">
        <v>1.5326014546598661</v>
      </c>
      <c r="BA112" s="37">
        <v>5.7736740488476377</v>
      </c>
      <c r="BB112" s="37">
        <v>2.2532733742353592</v>
      </c>
      <c r="BC112" s="37">
        <v>0</v>
      </c>
      <c r="BD112" s="37">
        <v>0</v>
      </c>
      <c r="BE112" s="37">
        <v>8.0269474230829978</v>
      </c>
      <c r="BF112" s="37">
        <v>6.5348733660466909</v>
      </c>
      <c r="BG112" s="37">
        <v>28.184624881402506</v>
      </c>
      <c r="BH112" s="36">
        <v>1.2283248616245102</v>
      </c>
      <c r="BI112" s="37">
        <v>12.972463570809584</v>
      </c>
      <c r="BJ112" s="37">
        <v>30.044855847573423</v>
      </c>
      <c r="BK112" s="37">
        <v>0</v>
      </c>
      <c r="BL112" s="37">
        <v>-152.34020381846156</v>
      </c>
      <c r="BM112" s="37">
        <v>-109.32288440007855</v>
      </c>
      <c r="BN112" s="37">
        <v>5.7736740488476377</v>
      </c>
      <c r="BO112" s="37">
        <v>-0.83372464595286755</v>
      </c>
      <c r="BP112" s="37">
        <v>2.2532733742353592</v>
      </c>
      <c r="BQ112" s="37">
        <v>0</v>
      </c>
      <c r="BR112" s="37">
        <v>0</v>
      </c>
      <c r="BS112" s="37">
        <v>0</v>
      </c>
      <c r="BT112" s="37">
        <v>0</v>
      </c>
      <c r="BU112" s="37">
        <v>0</v>
      </c>
      <c r="BV112" s="37">
        <v>0</v>
      </c>
      <c r="BW112" s="37">
        <v>0</v>
      </c>
      <c r="BX112" s="37">
        <v>11.187697705529894</v>
      </c>
      <c r="BY112" s="37">
        <v>1.5193364290122142</v>
      </c>
      <c r="BZ112" s="37">
        <v>0</v>
      </c>
      <c r="CA112" s="37">
        <v>-29.31455908553146</v>
      </c>
      <c r="CB112" s="37">
        <v>7.1932227771301305</v>
      </c>
      <c r="CC112" s="37">
        <v>-16.607524950989351</v>
      </c>
      <c r="CD112" s="36">
        <v>2.7577115222230888</v>
      </c>
      <c r="CE112" s="37">
        <v>-118.66739310804593</v>
      </c>
      <c r="CF112" s="37">
        <v>0.1061917653159796</v>
      </c>
      <c r="CG112" s="37">
        <v>-1.2570870011450927E-2</v>
      </c>
      <c r="CH112" s="37">
        <v>9.3620895304528676E-2</v>
      </c>
      <c r="CI112" s="37">
        <v>5.3095480564969866E-3</v>
      </c>
      <c r="CJ112" s="37">
        <v>-6.2854350057254637E-4</v>
      </c>
      <c r="CK112" s="37">
        <v>4.6810045559244401E-3</v>
      </c>
      <c r="CL112" s="37"/>
      <c r="CM112" s="37">
        <v>-0.10744333343120452</v>
      </c>
      <c r="CN112" s="37"/>
      <c r="CO112" s="37">
        <v>0</v>
      </c>
      <c r="CP112" s="37">
        <v>0</v>
      </c>
      <c r="CQ112" s="37">
        <v>-0.83372464595286755</v>
      </c>
      <c r="CR112" s="37">
        <v>0</v>
      </c>
      <c r="CS112" s="37">
        <v>0</v>
      </c>
      <c r="CT112" s="37">
        <v>-0.83372464595286755</v>
      </c>
      <c r="CU112" s="37">
        <v>0</v>
      </c>
      <c r="CV112" s="37">
        <v>9999</v>
      </c>
      <c r="CW112" s="127">
        <v>0</v>
      </c>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row>
    <row r="113" spans="1:131">
      <c r="A113" s="1" t="s">
        <v>755</v>
      </c>
      <c r="B113" s="1"/>
      <c r="C113" s="37">
        <v>12</v>
      </c>
      <c r="D113" s="37">
        <v>19.834322301664386</v>
      </c>
      <c r="E113" s="37">
        <v>-0.23163430687091785</v>
      </c>
      <c r="F113" s="37">
        <v>7.7516912275500349</v>
      </c>
      <c r="G113" s="37">
        <v>0</v>
      </c>
      <c r="H113" s="37">
        <v>-24.756973476248003</v>
      </c>
      <c r="I113" s="37"/>
      <c r="J113" s="37"/>
      <c r="K113" s="37"/>
      <c r="L113" s="37">
        <v>21.322455076849025</v>
      </c>
      <c r="M113" s="37">
        <v>5.5704529633071051E-3</v>
      </c>
      <c r="N113" s="37">
        <v>5.530247931851813E-3</v>
      </c>
      <c r="O113" s="37">
        <v>-0.23395065042986496</v>
      </c>
      <c r="P113" s="37">
        <v>0</v>
      </c>
      <c r="Q113" s="37">
        <v>0</v>
      </c>
      <c r="R113" s="37">
        <v>1.5457907817575787</v>
      </c>
      <c r="S113" s="37">
        <v>3.5720873831910707</v>
      </c>
      <c r="T113" s="37">
        <v>0</v>
      </c>
      <c r="U113" s="37">
        <v>6.2981027204462263</v>
      </c>
      <c r="V113" s="37">
        <v>0.46510147365300208</v>
      </c>
      <c r="W113" s="37">
        <v>1.0852367718570048</v>
      </c>
      <c r="X113" s="37">
        <v>0</v>
      </c>
      <c r="Y113" s="37">
        <v>0</v>
      </c>
      <c r="Z113" s="37">
        <v>0</v>
      </c>
      <c r="AA113" s="37">
        <v>0</v>
      </c>
      <c r="AB113" s="37">
        <v>0</v>
      </c>
      <c r="AC113" s="37">
        <v>0</v>
      </c>
      <c r="AD113" s="37">
        <v>0</v>
      </c>
      <c r="AE113" s="37">
        <v>0</v>
      </c>
      <c r="AF113" s="37">
        <v>0</v>
      </c>
      <c r="AG113" s="37">
        <v>-24.756973476248003</v>
      </c>
      <c r="AH113" s="37">
        <v>2.0108922554105808</v>
      </c>
      <c r="AI113" s="37">
        <v>4.6573241550480757</v>
      </c>
      <c r="AJ113" s="37">
        <v>0</v>
      </c>
      <c r="AK113" s="37">
        <v>-18.458870755801776</v>
      </c>
      <c r="AL113" s="37">
        <v>-11.790654345343119</v>
      </c>
      <c r="AM113" s="37">
        <v>11.013504258151261</v>
      </c>
      <c r="AN113" s="37">
        <v>1.9683111151765325</v>
      </c>
      <c r="AO113" s="37">
        <v>0</v>
      </c>
      <c r="AP113" s="37">
        <v>0</v>
      </c>
      <c r="AQ113" s="37">
        <v>12.981815373327795</v>
      </c>
      <c r="AR113" s="37">
        <v>2.0108922554105808</v>
      </c>
      <c r="AS113" s="36">
        <v>6.4557488539718841</v>
      </c>
      <c r="AT113" s="37">
        <v>11.013504258151261</v>
      </c>
      <c r="AU113" s="37">
        <v>2.3298940990359109</v>
      </c>
      <c r="AV113" s="37">
        <v>0</v>
      </c>
      <c r="AW113" s="37">
        <v>0</v>
      </c>
      <c r="AX113" s="37">
        <v>13.343398357187173</v>
      </c>
      <c r="AY113" s="37">
        <v>4.6573241550480757</v>
      </c>
      <c r="AZ113" s="36">
        <v>2.8650353535568827</v>
      </c>
      <c r="BA113" s="37">
        <v>11.013504258151261</v>
      </c>
      <c r="BB113" s="37">
        <v>4.2982052142124436</v>
      </c>
      <c r="BC113" s="37">
        <v>0</v>
      </c>
      <c r="BD113" s="37">
        <v>0</v>
      </c>
      <c r="BE113" s="37">
        <v>15.311709472363706</v>
      </c>
      <c r="BF113" s="37">
        <v>6.6682164104586565</v>
      </c>
      <c r="BG113" s="37">
        <v>8.1786816522637782</v>
      </c>
      <c r="BH113" s="36">
        <v>2.2962226373379697</v>
      </c>
      <c r="BI113" s="37">
        <v>6.939396581777701</v>
      </c>
      <c r="BJ113" s="37">
        <v>16.071979607466584</v>
      </c>
      <c r="BK113" s="37">
        <v>0</v>
      </c>
      <c r="BL113" s="37">
        <v>-63.699795094259443</v>
      </c>
      <c r="BM113" s="37">
        <v>-40.688418905015148</v>
      </c>
      <c r="BN113" s="37">
        <v>11.013504258151261</v>
      </c>
      <c r="BO113" s="37">
        <v>-1.8153794839674411</v>
      </c>
      <c r="BP113" s="37">
        <v>4.2982052142124436</v>
      </c>
      <c r="BQ113" s="37">
        <v>0</v>
      </c>
      <c r="BR113" s="37">
        <v>0</v>
      </c>
      <c r="BS113" s="37">
        <v>0</v>
      </c>
      <c r="BT113" s="37">
        <v>0</v>
      </c>
      <c r="BU113" s="37">
        <v>0</v>
      </c>
      <c r="BV113" s="37">
        <v>0</v>
      </c>
      <c r="BW113" s="37">
        <v>0</v>
      </c>
      <c r="BX113" s="37">
        <v>11.415980885394877</v>
      </c>
      <c r="BY113" s="37">
        <v>1.550338245510007</v>
      </c>
      <c r="BZ113" s="37">
        <v>0</v>
      </c>
      <c r="CA113" s="37">
        <v>-24.756973476248003</v>
      </c>
      <c r="CB113" s="37">
        <v>13.496329988396266</v>
      </c>
      <c r="CC113" s="37">
        <v>-11.790654345343119</v>
      </c>
      <c r="CD113" s="36">
        <v>2.7106954344406242</v>
      </c>
      <c r="CE113" s="37">
        <v>-49.256412709384371</v>
      </c>
      <c r="CF113" s="37">
        <v>0.20256485724571985</v>
      </c>
      <c r="CG113" s="37">
        <v>-2.7372226100294224E-2</v>
      </c>
      <c r="CH113" s="37">
        <v>0.17519263114542563</v>
      </c>
      <c r="CI113" s="37">
        <v>1.0128166161503284E-2</v>
      </c>
      <c r="CJ113" s="37">
        <v>-1.3686113050147097E-3</v>
      </c>
      <c r="CK113" s="37">
        <v>8.7595548564885738E-3</v>
      </c>
      <c r="CL113" s="37"/>
      <c r="CM113" s="37">
        <v>-0.23395065042986496</v>
      </c>
      <c r="CN113" s="37"/>
      <c r="CO113" s="37">
        <v>0</v>
      </c>
      <c r="CP113" s="37">
        <v>0</v>
      </c>
      <c r="CQ113" s="37">
        <v>-1.8153794839674411</v>
      </c>
      <c r="CR113" s="37">
        <v>0</v>
      </c>
      <c r="CS113" s="37">
        <v>0</v>
      </c>
      <c r="CT113" s="37">
        <v>-1.8153794839674411</v>
      </c>
      <c r="CU113" s="37">
        <v>0</v>
      </c>
      <c r="CV113" s="37">
        <v>9999</v>
      </c>
      <c r="CW113" s="127">
        <v>0</v>
      </c>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row>
    <row r="114" spans="1:131">
      <c r="A114" s="1" t="s">
        <v>758</v>
      </c>
      <c r="B114" s="1"/>
      <c r="C114" s="37">
        <v>12</v>
      </c>
      <c r="D114" s="37">
        <v>47.136987482854579</v>
      </c>
      <c r="E114" s="37">
        <v>-0.58944493078954363</v>
      </c>
      <c r="F114" s="37">
        <v>8.7470279229324603</v>
      </c>
      <c r="G114" s="37">
        <v>0</v>
      </c>
      <c r="H114" s="37">
        <v>-13.461890678054216</v>
      </c>
      <c r="I114" s="37"/>
      <c r="J114" s="37"/>
      <c r="K114" s="37"/>
      <c r="L114" s="37">
        <v>50.673589083344737</v>
      </c>
      <c r="M114" s="37">
        <v>1.3238383828380332E-2</v>
      </c>
      <c r="N114" s="37">
        <v>1.3142835110575296E-2</v>
      </c>
      <c r="O114" s="37">
        <v>-0.59533938134495834</v>
      </c>
      <c r="P114" s="37">
        <v>0</v>
      </c>
      <c r="Q114" s="37">
        <v>0</v>
      </c>
      <c r="R114" s="37">
        <v>1.7442742150242418</v>
      </c>
      <c r="S114" s="37">
        <v>4.0307524083105468</v>
      </c>
      <c r="T114" s="37">
        <v>0</v>
      </c>
      <c r="U114" s="37">
        <v>7.106794987066511</v>
      </c>
      <c r="V114" s="37">
        <v>0.52482167537594759</v>
      </c>
      <c r="W114" s="37">
        <v>1.2245839092105444</v>
      </c>
      <c r="X114" s="37">
        <v>0</v>
      </c>
      <c r="Y114" s="37">
        <v>0</v>
      </c>
      <c r="Z114" s="37">
        <v>0</v>
      </c>
      <c r="AA114" s="37">
        <v>0</v>
      </c>
      <c r="AB114" s="37">
        <v>0</v>
      </c>
      <c r="AC114" s="37">
        <v>0</v>
      </c>
      <c r="AD114" s="37">
        <v>0</v>
      </c>
      <c r="AE114" s="37">
        <v>0</v>
      </c>
      <c r="AF114" s="37">
        <v>0</v>
      </c>
      <c r="AG114" s="37">
        <v>-13.461890678054216</v>
      </c>
      <c r="AH114" s="37">
        <v>2.2690958904001892</v>
      </c>
      <c r="AI114" s="37">
        <v>5.255336317521091</v>
      </c>
      <c r="AJ114" s="37">
        <v>0</v>
      </c>
      <c r="AK114" s="37">
        <v>-6.3550956909877048</v>
      </c>
      <c r="AL114" s="37">
        <v>1.1693365169335761</v>
      </c>
      <c r="AM114" s="37">
        <v>26.173992963464084</v>
      </c>
      <c r="AN114" s="37">
        <v>4.6777628691984168</v>
      </c>
      <c r="AO114" s="37">
        <v>0</v>
      </c>
      <c r="AP114" s="37">
        <v>0</v>
      </c>
      <c r="AQ114" s="37">
        <v>30.851755832662501</v>
      </c>
      <c r="AR114" s="37">
        <v>2.2690958904001892</v>
      </c>
      <c r="AS114" s="36">
        <v>13.596497161352371</v>
      </c>
      <c r="AT114" s="37">
        <v>26.173992963464084</v>
      </c>
      <c r="AU114" s="37">
        <v>5.5370779657753495</v>
      </c>
      <c r="AV114" s="37">
        <v>0</v>
      </c>
      <c r="AW114" s="37">
        <v>0</v>
      </c>
      <c r="AX114" s="37">
        <v>31.711070929239433</v>
      </c>
      <c r="AY114" s="37">
        <v>5.255336317521091</v>
      </c>
      <c r="AZ114" s="36">
        <v>6.0340707070479835</v>
      </c>
      <c r="BA114" s="37">
        <v>26.173992963464084</v>
      </c>
      <c r="BB114" s="37">
        <v>10.214840834973767</v>
      </c>
      <c r="BC114" s="37">
        <v>0</v>
      </c>
      <c r="BD114" s="37">
        <v>0</v>
      </c>
      <c r="BE114" s="37">
        <v>36.388833798437851</v>
      </c>
      <c r="BF114" s="37">
        <v>7.5244322079212811</v>
      </c>
      <c r="BG114" s="37">
        <v>-3.906669716095398</v>
      </c>
      <c r="BH114" s="36">
        <v>4.8360903245469897</v>
      </c>
      <c r="BI114" s="37">
        <v>3.2948928682460696</v>
      </c>
      <c r="BJ114" s="37">
        <v>7.6311319526390351</v>
      </c>
      <c r="BK114" s="37">
        <v>0</v>
      </c>
      <c r="BL114" s="37">
        <v>-9.2280628411714005</v>
      </c>
      <c r="BM114" s="37">
        <v>1.697961979713706</v>
      </c>
      <c r="BN114" s="37">
        <v>26.173992963464084</v>
      </c>
      <c r="BO114" s="37">
        <v>-4.6196362220224101</v>
      </c>
      <c r="BP114" s="37">
        <v>10.214840834973767</v>
      </c>
      <c r="BQ114" s="37">
        <v>0</v>
      </c>
      <c r="BR114" s="37">
        <v>0</v>
      </c>
      <c r="BS114" s="37">
        <v>0</v>
      </c>
      <c r="BT114" s="37">
        <v>0</v>
      </c>
      <c r="BU114" s="37">
        <v>0</v>
      </c>
      <c r="BV114" s="37">
        <v>0</v>
      </c>
      <c r="BW114" s="37">
        <v>0</v>
      </c>
      <c r="BX114" s="37">
        <v>12.8818216104013</v>
      </c>
      <c r="BY114" s="37">
        <v>1.7494055845864922</v>
      </c>
      <c r="BZ114" s="37">
        <v>0</v>
      </c>
      <c r="CA114" s="37">
        <v>-13.461890678054216</v>
      </c>
      <c r="CB114" s="37">
        <v>31.76919757641544</v>
      </c>
      <c r="CC114" s="37">
        <v>1.1693365169335761</v>
      </c>
      <c r="CD114" s="36">
        <v>2.5895318769153803</v>
      </c>
      <c r="CE114" s="37">
        <v>-6.4266835469852737</v>
      </c>
      <c r="CF114" s="37">
        <v>0.48140274193570409</v>
      </c>
      <c r="CG114" s="37">
        <v>-6.9654707617360145E-2</v>
      </c>
      <c r="CH114" s="37">
        <v>0.41174803431834395</v>
      </c>
      <c r="CI114" s="37">
        <v>2.4069954814588745E-2</v>
      </c>
      <c r="CJ114" s="37">
        <v>-3.4827353808680067E-3</v>
      </c>
      <c r="CK114" s="37">
        <v>2.0587219433720737E-2</v>
      </c>
      <c r="CL114" s="37"/>
      <c r="CM114" s="37">
        <v>-0.59533938134495834</v>
      </c>
      <c r="CN114" s="37"/>
      <c r="CO114" s="37">
        <v>0</v>
      </c>
      <c r="CP114" s="37">
        <v>0</v>
      </c>
      <c r="CQ114" s="37">
        <v>-4.6196362220224101</v>
      </c>
      <c r="CR114" s="37">
        <v>0</v>
      </c>
      <c r="CS114" s="37">
        <v>0</v>
      </c>
      <c r="CT114" s="37">
        <v>-4.6196362220224101</v>
      </c>
      <c r="CU114" s="37">
        <v>0</v>
      </c>
      <c r="CV114" s="37">
        <v>9999</v>
      </c>
      <c r="CW114" s="127">
        <v>0</v>
      </c>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row>
    <row r="115" spans="1:131">
      <c r="A115" s="1" t="s">
        <v>716</v>
      </c>
      <c r="B115" s="1"/>
      <c r="C115" s="37">
        <v>12</v>
      </c>
      <c r="D115" s="37">
        <v>17.893756380606625</v>
      </c>
      <c r="E115" s="37">
        <v>-0.21010528767546227</v>
      </c>
      <c r="F115" s="37">
        <v>4.9558183711786743</v>
      </c>
      <c r="G115" s="37">
        <v>0</v>
      </c>
      <c r="H115" s="37">
        <v>-9.9957078032538558</v>
      </c>
      <c r="I115" s="37"/>
      <c r="J115" s="37"/>
      <c r="K115" s="37"/>
      <c r="L115" s="37">
        <v>19.236292058718274</v>
      </c>
      <c r="M115" s="37">
        <v>5.0254466343264623E-3</v>
      </c>
      <c r="N115" s="37">
        <v>4.9891752141491648E-3</v>
      </c>
      <c r="O115" s="37">
        <v>-0.21220634099689015</v>
      </c>
      <c r="P115" s="37">
        <v>0</v>
      </c>
      <c r="Q115" s="37">
        <v>0</v>
      </c>
      <c r="R115" s="37">
        <v>0.98825638552350425</v>
      </c>
      <c r="S115" s="37">
        <v>2.2837101939970941</v>
      </c>
      <c r="T115" s="37">
        <v>0</v>
      </c>
      <c r="U115" s="37">
        <v>4.0265088287607913</v>
      </c>
      <c r="V115" s="37">
        <v>0.29734910227072048</v>
      </c>
      <c r="W115" s="37">
        <v>0.69381457196501439</v>
      </c>
      <c r="X115" s="37">
        <v>0</v>
      </c>
      <c r="Y115" s="37">
        <v>0</v>
      </c>
      <c r="Z115" s="37">
        <v>0</v>
      </c>
      <c r="AA115" s="37">
        <v>0</v>
      </c>
      <c r="AB115" s="37">
        <v>0</v>
      </c>
      <c r="AC115" s="37">
        <v>0</v>
      </c>
      <c r="AD115" s="37">
        <v>0</v>
      </c>
      <c r="AE115" s="37">
        <v>0</v>
      </c>
      <c r="AF115" s="37">
        <v>0</v>
      </c>
      <c r="AG115" s="37">
        <v>-9.9957078032538558</v>
      </c>
      <c r="AH115" s="37">
        <v>1.2856054877942247</v>
      </c>
      <c r="AI115" s="37">
        <v>2.9775247659621087</v>
      </c>
      <c r="AJ115" s="37">
        <v>0</v>
      </c>
      <c r="AK115" s="37">
        <v>-5.9691989744930645</v>
      </c>
      <c r="AL115" s="37">
        <v>-1.7060687207367309</v>
      </c>
      <c r="AM115" s="37">
        <v>9.9359564241625389</v>
      </c>
      <c r="AN115" s="37">
        <v>1.775733954532619</v>
      </c>
      <c r="AO115" s="37">
        <v>0</v>
      </c>
      <c r="AP115" s="37">
        <v>0</v>
      </c>
      <c r="AQ115" s="37">
        <v>11.711690378695158</v>
      </c>
      <c r="AR115" s="37">
        <v>1.2856054877942247</v>
      </c>
      <c r="AS115" s="36">
        <v>9.1098633989105551</v>
      </c>
      <c r="AT115" s="37">
        <v>9.9359564241625389</v>
      </c>
      <c r="AU115" s="37">
        <v>2.1019400999278468</v>
      </c>
      <c r="AV115" s="37">
        <v>0</v>
      </c>
      <c r="AW115" s="37">
        <v>0</v>
      </c>
      <c r="AX115" s="37">
        <v>12.037896524090385</v>
      </c>
      <c r="AY115" s="37">
        <v>2.9775247659621087</v>
      </c>
      <c r="AZ115" s="36">
        <v>4.042920704372599</v>
      </c>
      <c r="BA115" s="37">
        <v>9.9359564241625389</v>
      </c>
      <c r="BB115" s="37">
        <v>3.8776740544604658</v>
      </c>
      <c r="BC115" s="37">
        <v>0</v>
      </c>
      <c r="BD115" s="37">
        <v>0</v>
      </c>
      <c r="BE115" s="37">
        <v>13.813630478623004</v>
      </c>
      <c r="BF115" s="37">
        <v>4.2631302537563336</v>
      </c>
      <c r="BG115" s="37">
        <v>1.4744287377543901</v>
      </c>
      <c r="BH115" s="36">
        <v>3.2402553186010499</v>
      </c>
      <c r="BI115" s="37">
        <v>4.9176370235612241</v>
      </c>
      <c r="BJ115" s="37">
        <v>11.389486251173665</v>
      </c>
      <c r="BK115" s="37">
        <v>0</v>
      </c>
      <c r="BL115" s="37">
        <v>-22.833096277720053</v>
      </c>
      <c r="BM115" s="37">
        <v>-6.5259730029851637</v>
      </c>
      <c r="BN115" s="37">
        <v>9.9359564241625389</v>
      </c>
      <c r="BO115" s="37">
        <v>-1.6466508518173228</v>
      </c>
      <c r="BP115" s="37">
        <v>3.8776740544604658</v>
      </c>
      <c r="BQ115" s="37">
        <v>0</v>
      </c>
      <c r="BR115" s="37">
        <v>0</v>
      </c>
      <c r="BS115" s="37">
        <v>0</v>
      </c>
      <c r="BT115" s="37">
        <v>0</v>
      </c>
      <c r="BU115" s="37">
        <v>0</v>
      </c>
      <c r="BV115" s="37">
        <v>0</v>
      </c>
      <c r="BW115" s="37">
        <v>0</v>
      </c>
      <c r="BX115" s="37">
        <v>7.2984754082813899</v>
      </c>
      <c r="BY115" s="37">
        <v>0.99116367423573493</v>
      </c>
      <c r="BZ115" s="37">
        <v>0</v>
      </c>
      <c r="CA115" s="37">
        <v>-9.9957078032538558</v>
      </c>
      <c r="CB115" s="37">
        <v>12.166979626805681</v>
      </c>
      <c r="CC115" s="37">
        <v>-1.7060687207367309</v>
      </c>
      <c r="CD115" s="36">
        <v>2.3962000343412542</v>
      </c>
      <c r="CE115" s="37">
        <v>-15.059976945801358</v>
      </c>
      <c r="CF115" s="37">
        <v>0.1827461584872552</v>
      </c>
      <c r="CG115" s="37">
        <v>-2.4828141896636159E-2</v>
      </c>
      <c r="CH115" s="37">
        <v>0.15791801659061905</v>
      </c>
      <c r="CI115" s="37">
        <v>9.1372387278911768E-3</v>
      </c>
      <c r="CJ115" s="37">
        <v>-1.2414070948318075E-3</v>
      </c>
      <c r="CK115" s="37">
        <v>7.8958316330593695E-3</v>
      </c>
      <c r="CL115" s="37"/>
      <c r="CM115" s="37">
        <v>-0.21220634099689015</v>
      </c>
      <c r="CN115" s="37"/>
      <c r="CO115" s="37">
        <v>0</v>
      </c>
      <c r="CP115" s="37">
        <v>0</v>
      </c>
      <c r="CQ115" s="37">
        <v>-1.6466508518173228</v>
      </c>
      <c r="CR115" s="37">
        <v>0</v>
      </c>
      <c r="CS115" s="37">
        <v>0</v>
      </c>
      <c r="CT115" s="37">
        <v>-1.6466508518173228</v>
      </c>
      <c r="CU115" s="37">
        <v>0</v>
      </c>
      <c r="CV115" s="37">
        <v>9999</v>
      </c>
      <c r="CW115" s="127">
        <v>0</v>
      </c>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row>
    <row r="116" spans="1:131">
      <c r="A116" s="1" t="s">
        <v>736</v>
      </c>
      <c r="B116" s="1"/>
      <c r="C116" s="37">
        <v>12</v>
      </c>
      <c r="D116" s="37">
        <v>14.451910254511809</v>
      </c>
      <c r="E116" s="37">
        <v>-0.14385197375509576</v>
      </c>
      <c r="F116" s="37">
        <v>7.1089579864357049</v>
      </c>
      <c r="G116" s="37">
        <v>0</v>
      </c>
      <c r="H116" s="37">
        <v>-19.9637595063795</v>
      </c>
      <c r="I116" s="37"/>
      <c r="J116" s="37"/>
      <c r="K116" s="37"/>
      <c r="L116" s="37">
        <v>15.536210538971808</v>
      </c>
      <c r="M116" s="37">
        <v>4.0588070052657264E-3</v>
      </c>
      <c r="N116" s="37">
        <v>4.0295123564476551E-3</v>
      </c>
      <c r="O116" s="37">
        <v>-0.14529049379709943</v>
      </c>
      <c r="P116" s="37">
        <v>0</v>
      </c>
      <c r="Q116" s="37">
        <v>0</v>
      </c>
      <c r="R116" s="37">
        <v>1.4176211875259837</v>
      </c>
      <c r="S116" s="37">
        <v>3.2759069454070913</v>
      </c>
      <c r="T116" s="37">
        <v>0</v>
      </c>
      <c r="U116" s="37">
        <v>5.7758941009908344</v>
      </c>
      <c r="V116" s="37">
        <v>0.42653747918614232</v>
      </c>
      <c r="W116" s="37">
        <v>0.99525411810099862</v>
      </c>
      <c r="X116" s="37">
        <v>0</v>
      </c>
      <c r="Y116" s="37">
        <v>0</v>
      </c>
      <c r="Z116" s="37">
        <v>0</v>
      </c>
      <c r="AA116" s="37">
        <v>0</v>
      </c>
      <c r="AB116" s="37">
        <v>0</v>
      </c>
      <c r="AC116" s="37">
        <v>0</v>
      </c>
      <c r="AD116" s="37">
        <v>0</v>
      </c>
      <c r="AE116" s="37">
        <v>0</v>
      </c>
      <c r="AF116" s="37">
        <v>0</v>
      </c>
      <c r="AG116" s="37">
        <v>-19.9637595063795</v>
      </c>
      <c r="AH116" s="37">
        <v>1.8441586667121259</v>
      </c>
      <c r="AI116" s="37">
        <v>4.2711610635080897</v>
      </c>
      <c r="AJ116" s="37">
        <v>0</v>
      </c>
      <c r="AK116" s="37">
        <v>-14.187865405388665</v>
      </c>
      <c r="AL116" s="37">
        <v>-8.072545675168449</v>
      </c>
      <c r="AM116" s="37">
        <v>8.0247851530137471</v>
      </c>
      <c r="AN116" s="37">
        <v>1.4341733060928572</v>
      </c>
      <c r="AO116" s="37">
        <v>0</v>
      </c>
      <c r="AP116" s="37">
        <v>0</v>
      </c>
      <c r="AQ116" s="37">
        <v>9.4589584591066043</v>
      </c>
      <c r="AR116" s="37">
        <v>1.8441586667121259</v>
      </c>
      <c r="AS116" s="36">
        <v>5.1291456802741324</v>
      </c>
      <c r="AT116" s="37">
        <v>8.0247851530137471</v>
      </c>
      <c r="AU116" s="37">
        <v>1.6976340259913045</v>
      </c>
      <c r="AV116" s="37">
        <v>0</v>
      </c>
      <c r="AW116" s="37">
        <v>0</v>
      </c>
      <c r="AX116" s="37">
        <v>9.7224191790050511</v>
      </c>
      <c r="AY116" s="37">
        <v>4.2711610635080897</v>
      </c>
      <c r="AZ116" s="36">
        <v>2.2762942053558635</v>
      </c>
      <c r="BA116" s="37">
        <v>8.0247851530137471</v>
      </c>
      <c r="BB116" s="37">
        <v>3.1318073320841617</v>
      </c>
      <c r="BC116" s="37">
        <v>0</v>
      </c>
      <c r="BD116" s="37">
        <v>0</v>
      </c>
      <c r="BE116" s="37">
        <v>11.156592485097908</v>
      </c>
      <c r="BF116" s="37">
        <v>6.1153197302202162</v>
      </c>
      <c r="BG116" s="37">
        <v>14.130348184412838</v>
      </c>
      <c r="BH116" s="36">
        <v>1.8243678135037027</v>
      </c>
      <c r="BI116" s="37">
        <v>8.7342033786167494</v>
      </c>
      <c r="BJ116" s="37">
        <v>20.228839342776585</v>
      </c>
      <c r="BK116" s="37">
        <v>0</v>
      </c>
      <c r="BL116" s="37">
        <v>-67.195791878383588</v>
      </c>
      <c r="BM116" s="37">
        <v>-38.232749156990245</v>
      </c>
      <c r="BN116" s="37">
        <v>8.0247851530137471</v>
      </c>
      <c r="BO116" s="37">
        <v>-1.1274060626466336</v>
      </c>
      <c r="BP116" s="37">
        <v>3.1318073320841617</v>
      </c>
      <c r="BQ116" s="37">
        <v>0</v>
      </c>
      <c r="BR116" s="37">
        <v>0</v>
      </c>
      <c r="BS116" s="37">
        <v>0</v>
      </c>
      <c r="BT116" s="37">
        <v>0</v>
      </c>
      <c r="BU116" s="37">
        <v>0</v>
      </c>
      <c r="BV116" s="37">
        <v>0</v>
      </c>
      <c r="BW116" s="37">
        <v>0</v>
      </c>
      <c r="BX116" s="37">
        <v>10.469422233923909</v>
      </c>
      <c r="BY116" s="37">
        <v>1.4217915972871411</v>
      </c>
      <c r="BZ116" s="37">
        <v>0</v>
      </c>
      <c r="CA116" s="37">
        <v>-19.9637595063795</v>
      </c>
      <c r="CB116" s="37">
        <v>10.029186422451275</v>
      </c>
      <c r="CC116" s="37">
        <v>-8.072545675168449</v>
      </c>
      <c r="CD116" s="36">
        <v>2.3904493905809714</v>
      </c>
      <c r="CE116" s="37">
        <v>-47.72588478334999</v>
      </c>
      <c r="CF116" s="37">
        <v>0.14759511785222332</v>
      </c>
      <c r="CG116" s="37">
        <v>-1.6998987774260621E-2</v>
      </c>
      <c r="CH116" s="37">
        <v>0.1305961300779627</v>
      </c>
      <c r="CI116" s="37">
        <v>7.3797000060116073E-3</v>
      </c>
      <c r="CJ116" s="37">
        <v>-8.4994938871303172E-4</v>
      </c>
      <c r="CK116" s="37">
        <v>6.5297506172985759E-3</v>
      </c>
      <c r="CL116" s="37"/>
      <c r="CM116" s="37">
        <v>-0.14529049379709943</v>
      </c>
      <c r="CN116" s="37"/>
      <c r="CO116" s="37">
        <v>0</v>
      </c>
      <c r="CP116" s="37">
        <v>0</v>
      </c>
      <c r="CQ116" s="37">
        <v>-1.1274060626466336</v>
      </c>
      <c r="CR116" s="37">
        <v>0</v>
      </c>
      <c r="CS116" s="37">
        <v>0</v>
      </c>
      <c r="CT116" s="37">
        <v>-1.1274060626466336</v>
      </c>
      <c r="CU116" s="37">
        <v>0</v>
      </c>
      <c r="CV116" s="37">
        <v>9999</v>
      </c>
      <c r="CW116" s="127">
        <v>0</v>
      </c>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row>
    <row r="117" spans="1:131">
      <c r="A117" s="1" t="s">
        <v>744</v>
      </c>
      <c r="B117" s="1"/>
      <c r="C117" s="37">
        <v>12</v>
      </c>
      <c r="D117" s="37">
        <v>43.415866269631003</v>
      </c>
      <c r="E117" s="37">
        <v>-0.54056303080668255</v>
      </c>
      <c r="F117" s="37">
        <v>15.921653708800646</v>
      </c>
      <c r="G117" s="37">
        <v>0</v>
      </c>
      <c r="H117" s="37">
        <v>-35.422629471574403</v>
      </c>
      <c r="I117" s="37"/>
      <c r="J117" s="37"/>
      <c r="K117" s="37"/>
      <c r="L117" s="37">
        <v>46.673278979590322</v>
      </c>
      <c r="M117" s="37">
        <v>1.2193310022794003E-2</v>
      </c>
      <c r="N117" s="37">
        <v>1.2105304179061053E-2</v>
      </c>
      <c r="O117" s="37">
        <v>-0.54596866225881346</v>
      </c>
      <c r="P117" s="37">
        <v>0</v>
      </c>
      <c r="Q117" s="37">
        <v>0</v>
      </c>
      <c r="R117" s="37">
        <v>3.1749904389805033</v>
      </c>
      <c r="S117" s="37">
        <v>7.336919991164212</v>
      </c>
      <c r="T117" s="37">
        <v>0</v>
      </c>
      <c r="U117" s="37">
        <v>12.936042934864547</v>
      </c>
      <c r="V117" s="37">
        <v>0.95529922252803878</v>
      </c>
      <c r="W117" s="37">
        <v>2.2290315192320902</v>
      </c>
      <c r="X117" s="37">
        <v>0</v>
      </c>
      <c r="Y117" s="37">
        <v>0</v>
      </c>
      <c r="Z117" s="37">
        <v>0</v>
      </c>
      <c r="AA117" s="37">
        <v>0</v>
      </c>
      <c r="AB117" s="37">
        <v>0</v>
      </c>
      <c r="AC117" s="37">
        <v>0</v>
      </c>
      <c r="AD117" s="37">
        <v>0</v>
      </c>
      <c r="AE117" s="37">
        <v>0</v>
      </c>
      <c r="AF117" s="37">
        <v>0</v>
      </c>
      <c r="AG117" s="37">
        <v>-35.422629471574403</v>
      </c>
      <c r="AH117" s="37">
        <v>4.1302896615085416</v>
      </c>
      <c r="AI117" s="37">
        <v>9.5659515103963031</v>
      </c>
      <c r="AJ117" s="37">
        <v>0</v>
      </c>
      <c r="AK117" s="37">
        <v>-22.486586536709858</v>
      </c>
      <c r="AL117" s="37">
        <v>-8.7903453648050114</v>
      </c>
      <c r="AM117" s="37">
        <v>24.107747205044785</v>
      </c>
      <c r="AN117" s="37">
        <v>4.3084876233135327</v>
      </c>
      <c r="AO117" s="37">
        <v>0</v>
      </c>
      <c r="AP117" s="37">
        <v>0</v>
      </c>
      <c r="AQ117" s="37">
        <v>28.416234828358316</v>
      </c>
      <c r="AR117" s="37">
        <v>4.1302896615085416</v>
      </c>
      <c r="AS117" s="36">
        <v>6.8799617356569627</v>
      </c>
      <c r="AT117" s="37">
        <v>24.107747205044785</v>
      </c>
      <c r="AU117" s="37">
        <v>5.0999660632547661</v>
      </c>
      <c r="AV117" s="37">
        <v>0</v>
      </c>
      <c r="AW117" s="37">
        <v>0</v>
      </c>
      <c r="AX117" s="37">
        <v>29.20771326829955</v>
      </c>
      <c r="AY117" s="37">
        <v>9.5659515103963031</v>
      </c>
      <c r="AZ117" s="36">
        <v>3.0532993227653855</v>
      </c>
      <c r="BA117" s="37">
        <v>24.107747205044785</v>
      </c>
      <c r="BB117" s="37">
        <v>9.4084536865682988</v>
      </c>
      <c r="BC117" s="37">
        <v>0</v>
      </c>
      <c r="BD117" s="37">
        <v>0</v>
      </c>
      <c r="BE117" s="37">
        <v>33.516200891613082</v>
      </c>
      <c r="BF117" s="37">
        <v>13.696241171904845</v>
      </c>
      <c r="BG117" s="37">
        <v>6.7598187893809403</v>
      </c>
      <c r="BH117" s="36">
        <v>2.4471094273927507</v>
      </c>
      <c r="BI117" s="37">
        <v>6.5115189955035406</v>
      </c>
      <c r="BJ117" s="37">
        <v>15.080994330857898</v>
      </c>
      <c r="BK117" s="37">
        <v>0</v>
      </c>
      <c r="BL117" s="37">
        <v>-35.450742533234703</v>
      </c>
      <c r="BM117" s="37">
        <v>-13.858229206873256</v>
      </c>
      <c r="BN117" s="37">
        <v>24.107747205044785</v>
      </c>
      <c r="BO117" s="37">
        <v>-4.2365358101491122</v>
      </c>
      <c r="BP117" s="37">
        <v>9.4084536865682988</v>
      </c>
      <c r="BQ117" s="37">
        <v>0</v>
      </c>
      <c r="BR117" s="37">
        <v>0</v>
      </c>
      <c r="BS117" s="37">
        <v>0</v>
      </c>
      <c r="BT117" s="37">
        <v>0</v>
      </c>
      <c r="BU117" s="37">
        <v>0</v>
      </c>
      <c r="BV117" s="37">
        <v>0</v>
      </c>
      <c r="BW117" s="37">
        <v>0</v>
      </c>
      <c r="BX117" s="37">
        <v>23.447953365009262</v>
      </c>
      <c r="BY117" s="37">
        <v>3.1843307417601294</v>
      </c>
      <c r="BZ117" s="37">
        <v>0</v>
      </c>
      <c r="CA117" s="37">
        <v>-35.422629471574403</v>
      </c>
      <c r="CB117" s="37">
        <v>29.279665081463968</v>
      </c>
      <c r="CC117" s="37">
        <v>-8.7903453648050114</v>
      </c>
      <c r="CD117" s="36">
        <v>2.2332836353554177</v>
      </c>
      <c r="CE117" s="37">
        <v>-22.011904676498236</v>
      </c>
      <c r="CF117" s="37">
        <v>0.44339950815305013</v>
      </c>
      <c r="CG117" s="37">
        <v>-6.3878333484281166E-2</v>
      </c>
      <c r="CH117" s="37">
        <v>0.37952117466876895</v>
      </c>
      <c r="CI117" s="37">
        <v>2.2169807515305399E-2</v>
      </c>
      <c r="CJ117" s="37">
        <v>-3.1939166742140585E-3</v>
      </c>
      <c r="CK117" s="37">
        <v>1.8975890841091341E-2</v>
      </c>
      <c r="CL117" s="37"/>
      <c r="CM117" s="37">
        <v>-0.54596866225881346</v>
      </c>
      <c r="CN117" s="37"/>
      <c r="CO117" s="37">
        <v>0</v>
      </c>
      <c r="CP117" s="37">
        <v>0</v>
      </c>
      <c r="CQ117" s="37">
        <v>-4.2365358101491122</v>
      </c>
      <c r="CR117" s="37">
        <v>0</v>
      </c>
      <c r="CS117" s="37">
        <v>0</v>
      </c>
      <c r="CT117" s="37">
        <v>-4.2365358101491122</v>
      </c>
      <c r="CU117" s="37">
        <v>0</v>
      </c>
      <c r="CV117" s="37">
        <v>9999</v>
      </c>
      <c r="CW117" s="127">
        <v>0</v>
      </c>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row>
    <row r="118" spans="1:131">
      <c r="A118" s="1" t="s">
        <v>732</v>
      </c>
      <c r="B118" s="1"/>
      <c r="C118" s="37">
        <v>12</v>
      </c>
      <c r="D118" s="37">
        <v>9.9357360612556658</v>
      </c>
      <c r="E118" s="37">
        <v>-0.10165155836876927</v>
      </c>
      <c r="F118" s="37">
        <v>9.6685045482595466</v>
      </c>
      <c r="G118" s="37">
        <v>0</v>
      </c>
      <c r="H118" s="37">
        <v>-29.31455908553146</v>
      </c>
      <c r="I118" s="37"/>
      <c r="J118" s="37"/>
      <c r="K118" s="37"/>
      <c r="L118" s="37">
        <v>10.681196090262945</v>
      </c>
      <c r="M118" s="37">
        <v>2.7904432298357131E-3</v>
      </c>
      <c r="N118" s="37">
        <v>2.7703030619591054E-3</v>
      </c>
      <c r="O118" s="37">
        <v>-0.10266807416759544</v>
      </c>
      <c r="P118" s="37">
        <v>0</v>
      </c>
      <c r="Q118" s="37">
        <v>0</v>
      </c>
      <c r="R118" s="37">
        <v>1.9280289636619639</v>
      </c>
      <c r="S118" s="37">
        <v>4.455381683472825</v>
      </c>
      <c r="T118" s="37">
        <v>0</v>
      </c>
      <c r="U118" s="37">
        <v>7.8554773417214427</v>
      </c>
      <c r="V118" s="37">
        <v>0.58011027289557282</v>
      </c>
      <c r="W118" s="37">
        <v>1.3535906367563366</v>
      </c>
      <c r="X118" s="37">
        <v>0</v>
      </c>
      <c r="Y118" s="37">
        <v>0</v>
      </c>
      <c r="Z118" s="37">
        <v>0</v>
      </c>
      <c r="AA118" s="37">
        <v>0</v>
      </c>
      <c r="AB118" s="37">
        <v>0</v>
      </c>
      <c r="AC118" s="37">
        <v>0</v>
      </c>
      <c r="AD118" s="37">
        <v>0</v>
      </c>
      <c r="AE118" s="37">
        <v>0</v>
      </c>
      <c r="AF118" s="37">
        <v>0</v>
      </c>
      <c r="AG118" s="37">
        <v>-29.31455908553146</v>
      </c>
      <c r="AH118" s="37">
        <v>2.5081392365575366</v>
      </c>
      <c r="AI118" s="37">
        <v>5.8089723202291612</v>
      </c>
      <c r="AJ118" s="37">
        <v>0</v>
      </c>
      <c r="AK118" s="37">
        <v>-21.459081743810017</v>
      </c>
      <c r="AL118" s="37">
        <v>-13.14197018702332</v>
      </c>
      <c r="AM118" s="37">
        <v>5.5170663133432987</v>
      </c>
      <c r="AN118" s="37">
        <v>0.98599888765489807</v>
      </c>
      <c r="AO118" s="37">
        <v>0</v>
      </c>
      <c r="AP118" s="37">
        <v>0</v>
      </c>
      <c r="AQ118" s="37">
        <v>6.5030652009981971</v>
      </c>
      <c r="AR118" s="37">
        <v>2.5081392365575366</v>
      </c>
      <c r="AS118" s="36">
        <v>2.5927847649812952</v>
      </c>
      <c r="AT118" s="37">
        <v>5.5170663133432987</v>
      </c>
      <c r="AU118" s="37">
        <v>1.1671290032811117</v>
      </c>
      <c r="AV118" s="37">
        <v>0</v>
      </c>
      <c r="AW118" s="37">
        <v>0</v>
      </c>
      <c r="AX118" s="37">
        <v>6.6841953166244101</v>
      </c>
      <c r="AY118" s="37">
        <v>5.8089723202291612</v>
      </c>
      <c r="AZ118" s="36">
        <v>1.1506674413557407</v>
      </c>
      <c r="BA118" s="37">
        <v>5.5170663133432987</v>
      </c>
      <c r="BB118" s="37">
        <v>2.1531278909360099</v>
      </c>
      <c r="BC118" s="37">
        <v>0</v>
      </c>
      <c r="BD118" s="37">
        <v>0</v>
      </c>
      <c r="BE118" s="37">
        <v>7.6701942042793085</v>
      </c>
      <c r="BF118" s="37">
        <v>8.3171115567866991</v>
      </c>
      <c r="BG118" s="37">
        <v>42.463100882853119</v>
      </c>
      <c r="BH118" s="127">
        <v>0.92221850721967158</v>
      </c>
      <c r="BI118" s="37">
        <v>17.278334142938775</v>
      </c>
      <c r="BJ118" s="37">
        <v>40.017461276894835</v>
      </c>
      <c r="BK118" s="37">
        <v>0</v>
      </c>
      <c r="BL118" s="37">
        <v>-147.82958592007225</v>
      </c>
      <c r="BM118" s="37">
        <v>-90.533790500238652</v>
      </c>
      <c r="BN118" s="37">
        <v>5.5170663133432987</v>
      </c>
      <c r="BO118" s="37">
        <v>-0.79667021724384979</v>
      </c>
      <c r="BP118" s="37">
        <v>2.1531278909360099</v>
      </c>
      <c r="BQ118" s="37">
        <v>0</v>
      </c>
      <c r="BR118" s="37">
        <v>0</v>
      </c>
      <c r="BS118" s="37">
        <v>0</v>
      </c>
      <c r="BT118" s="37">
        <v>0</v>
      </c>
      <c r="BU118" s="37">
        <v>0</v>
      </c>
      <c r="BV118" s="37">
        <v>0</v>
      </c>
      <c r="BW118" s="37">
        <v>0</v>
      </c>
      <c r="BX118" s="37">
        <v>14.238887988856231</v>
      </c>
      <c r="BY118" s="37">
        <v>1.9337009096519093</v>
      </c>
      <c r="BZ118" s="37">
        <v>0</v>
      </c>
      <c r="CA118" s="37">
        <v>-29.31455908553146</v>
      </c>
      <c r="CB118" s="37">
        <v>6.8735239870354583</v>
      </c>
      <c r="CC118" s="37">
        <v>-13.14197018702332</v>
      </c>
      <c r="CD118" s="36">
        <v>2.1795149120847048</v>
      </c>
      <c r="CE118" s="37">
        <v>-99.87829920820603</v>
      </c>
      <c r="CF118" s="37">
        <v>0.10147213130193578</v>
      </c>
      <c r="CG118" s="37">
        <v>-1.2012164677608695E-2</v>
      </c>
      <c r="CH118" s="37">
        <v>8.9459966624327078E-2</v>
      </c>
      <c r="CI118" s="37">
        <v>5.0735681428748982E-3</v>
      </c>
      <c r="CJ118" s="37">
        <v>-6.0060823388043323E-4</v>
      </c>
      <c r="CK118" s="37">
        <v>4.4729599089944651E-3</v>
      </c>
      <c r="CL118" s="37"/>
      <c r="CM118" s="37">
        <v>-0.10266807416759544</v>
      </c>
      <c r="CN118" s="37"/>
      <c r="CO118" s="37">
        <v>0</v>
      </c>
      <c r="CP118" s="37">
        <v>0</v>
      </c>
      <c r="CQ118" s="37">
        <v>-0.79667021724384979</v>
      </c>
      <c r="CR118" s="37">
        <v>0</v>
      </c>
      <c r="CS118" s="37">
        <v>0</v>
      </c>
      <c r="CT118" s="37">
        <v>-0.79667021724384979</v>
      </c>
      <c r="CU118" s="37">
        <v>0</v>
      </c>
      <c r="CV118" s="37">
        <v>9999</v>
      </c>
      <c r="CW118" s="127">
        <v>0</v>
      </c>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row>
    <row r="119" spans="1:131">
      <c r="A119" s="1" t="s">
        <v>734</v>
      </c>
      <c r="B119" s="1"/>
      <c r="C119" s="37">
        <v>12</v>
      </c>
      <c r="D119" s="37">
        <v>18.952796866034859</v>
      </c>
      <c r="E119" s="37">
        <v>-0.22133944878776596</v>
      </c>
      <c r="F119" s="37">
        <v>9.8657888350636807</v>
      </c>
      <c r="G119" s="37">
        <v>0</v>
      </c>
      <c r="H119" s="37">
        <v>-24.756973476248003</v>
      </c>
      <c r="I119" s="37"/>
      <c r="J119" s="37"/>
      <c r="K119" s="37"/>
      <c r="L119" s="37">
        <v>20.374790406766845</v>
      </c>
      <c r="M119" s="37">
        <v>5.3228772760490119E-3</v>
      </c>
      <c r="N119" s="37">
        <v>5.2844591348806215E-3</v>
      </c>
      <c r="O119" s="37">
        <v>-0.2235528437440932</v>
      </c>
      <c r="P119" s="37">
        <v>0</v>
      </c>
      <c r="Q119" s="37">
        <v>0</v>
      </c>
      <c r="R119" s="37">
        <v>1.9673700858732819</v>
      </c>
      <c r="S119" s="37">
        <v>4.5462930331522715</v>
      </c>
      <c r="T119" s="37">
        <v>0</v>
      </c>
      <c r="U119" s="37">
        <v>8.0157670987497429</v>
      </c>
      <c r="V119" s="37">
        <v>0.59194733010382083</v>
      </c>
      <c r="W119" s="37">
        <v>1.3812104369089153</v>
      </c>
      <c r="X119" s="37">
        <v>0</v>
      </c>
      <c r="Y119" s="37">
        <v>0</v>
      </c>
      <c r="Z119" s="37">
        <v>0</v>
      </c>
      <c r="AA119" s="37">
        <v>0</v>
      </c>
      <c r="AB119" s="37">
        <v>0</v>
      </c>
      <c r="AC119" s="37">
        <v>0</v>
      </c>
      <c r="AD119" s="37">
        <v>0</v>
      </c>
      <c r="AE119" s="37">
        <v>0</v>
      </c>
      <c r="AF119" s="37">
        <v>0</v>
      </c>
      <c r="AG119" s="37">
        <v>-24.756973476248003</v>
      </c>
      <c r="AH119" s="37">
        <v>2.5593174159771026</v>
      </c>
      <c r="AI119" s="37">
        <v>5.9275034700611871</v>
      </c>
      <c r="AJ119" s="37">
        <v>0</v>
      </c>
      <c r="AK119" s="37">
        <v>-16.741206377498258</v>
      </c>
      <c r="AL119" s="37">
        <v>-8.2543854914599706</v>
      </c>
      <c r="AM119" s="37">
        <v>10.524015180011206</v>
      </c>
      <c r="AN119" s="37">
        <v>1.8808306211686869</v>
      </c>
      <c r="AO119" s="37">
        <v>0</v>
      </c>
      <c r="AP119" s="37">
        <v>0</v>
      </c>
      <c r="AQ119" s="37">
        <v>12.404845801179894</v>
      </c>
      <c r="AR119" s="37">
        <v>2.5593174159771026</v>
      </c>
      <c r="AS119" s="36">
        <v>4.8469352506804793</v>
      </c>
      <c r="AT119" s="37">
        <v>10.524015180011206</v>
      </c>
      <c r="AU119" s="37">
        <v>2.2263432501898706</v>
      </c>
      <c r="AV119" s="37">
        <v>0</v>
      </c>
      <c r="AW119" s="37">
        <v>0</v>
      </c>
      <c r="AX119" s="37">
        <v>12.750358430201077</v>
      </c>
      <c r="AY119" s="37">
        <v>5.9275034700611871</v>
      </c>
      <c r="AZ119" s="36">
        <v>2.1510503527498499</v>
      </c>
      <c r="BA119" s="37">
        <v>10.524015180011206</v>
      </c>
      <c r="BB119" s="37">
        <v>4.1071738713585573</v>
      </c>
      <c r="BC119" s="37">
        <v>0</v>
      </c>
      <c r="BD119" s="37">
        <v>0</v>
      </c>
      <c r="BE119" s="37">
        <v>14.631189051369764</v>
      </c>
      <c r="BF119" s="37">
        <v>8.4868208860382897</v>
      </c>
      <c r="BG119" s="37">
        <v>15.81670715271061</v>
      </c>
      <c r="BH119" s="36">
        <v>1.7239893769219996</v>
      </c>
      <c r="BI119" s="37">
        <v>9.2427480898941869</v>
      </c>
      <c r="BJ119" s="37">
        <v>21.406653599796922</v>
      </c>
      <c r="BK119" s="37">
        <v>0</v>
      </c>
      <c r="BL119" s="37">
        <v>-60.459383545855104</v>
      </c>
      <c r="BM119" s="37">
        <v>-29.80998185616399</v>
      </c>
      <c r="BN119" s="37">
        <v>10.524015180011206</v>
      </c>
      <c r="BO119" s="37">
        <v>-1.7346959513466675</v>
      </c>
      <c r="BP119" s="37">
        <v>4.1071738713585573</v>
      </c>
      <c r="BQ119" s="37">
        <v>0</v>
      </c>
      <c r="BR119" s="37">
        <v>0</v>
      </c>
      <c r="BS119" s="37">
        <v>0</v>
      </c>
      <c r="BT119" s="37">
        <v>0</v>
      </c>
      <c r="BU119" s="37">
        <v>0</v>
      </c>
      <c r="BV119" s="37">
        <v>0</v>
      </c>
      <c r="BW119" s="37">
        <v>0</v>
      </c>
      <c r="BX119" s="37">
        <v>14.529430217775296</v>
      </c>
      <c r="BY119" s="37">
        <v>1.9731577670127363</v>
      </c>
      <c r="BZ119" s="37">
        <v>0</v>
      </c>
      <c r="CA119" s="37">
        <v>-24.756973476248003</v>
      </c>
      <c r="CB119" s="37">
        <v>12.896493100023097</v>
      </c>
      <c r="CC119" s="37">
        <v>-8.2543854914599706</v>
      </c>
      <c r="CD119" s="36">
        <v>2.1597603385214326</v>
      </c>
      <c r="CE119" s="37">
        <v>-38.377975660533203</v>
      </c>
      <c r="CF119" s="37">
        <v>0.19356197470146552</v>
      </c>
      <c r="CG119" s="37">
        <v>-2.6155682718058917E-2</v>
      </c>
      <c r="CH119" s="37">
        <v>0.16740629198340662</v>
      </c>
      <c r="CI119" s="37">
        <v>9.6780254432142533E-3</v>
      </c>
      <c r="CJ119" s="37">
        <v>-1.3077841359029451E-3</v>
      </c>
      <c r="CK119" s="37">
        <v>8.3702413073113088E-3</v>
      </c>
      <c r="CL119" s="37"/>
      <c r="CM119" s="37">
        <v>-0.2235528437440932</v>
      </c>
      <c r="CN119" s="37"/>
      <c r="CO119" s="37">
        <v>0</v>
      </c>
      <c r="CP119" s="37">
        <v>0</v>
      </c>
      <c r="CQ119" s="37">
        <v>-1.7346959513466675</v>
      </c>
      <c r="CR119" s="37">
        <v>0</v>
      </c>
      <c r="CS119" s="37">
        <v>0</v>
      </c>
      <c r="CT119" s="37">
        <v>-1.7346959513466675</v>
      </c>
      <c r="CU119" s="37">
        <v>0</v>
      </c>
      <c r="CV119" s="37">
        <v>9999</v>
      </c>
      <c r="CW119" s="127">
        <v>0</v>
      </c>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row>
    <row r="120" spans="1:131">
      <c r="A120" s="1" t="s">
        <v>740</v>
      </c>
      <c r="B120" s="1"/>
      <c r="C120" s="37">
        <v>12</v>
      </c>
      <c r="D120" s="37">
        <v>45.042010261394381</v>
      </c>
      <c r="E120" s="37">
        <v>-0.56324737831000837</v>
      </c>
      <c r="F120" s="37">
        <v>11.132580992823133</v>
      </c>
      <c r="G120" s="37">
        <v>0</v>
      </c>
      <c r="H120" s="37">
        <v>-13.461890678054216</v>
      </c>
      <c r="I120" s="37"/>
      <c r="J120" s="37"/>
      <c r="K120" s="37"/>
      <c r="L120" s="37">
        <v>48.421429568529426</v>
      </c>
      <c r="M120" s="37">
        <v>1.2650011213785653E-2</v>
      </c>
      <c r="N120" s="37">
        <v>1.2558709105660841E-2</v>
      </c>
      <c r="O120" s="37">
        <v>-0.56887985328518242</v>
      </c>
      <c r="P120" s="37">
        <v>0</v>
      </c>
      <c r="Q120" s="37">
        <v>0</v>
      </c>
      <c r="R120" s="37">
        <v>2.2199853645763077</v>
      </c>
      <c r="S120" s="37">
        <v>5.1300485196679686</v>
      </c>
      <c r="T120" s="37">
        <v>0</v>
      </c>
      <c r="U120" s="37">
        <v>9.0450118017210155</v>
      </c>
      <c r="V120" s="37">
        <v>0.66795485956938794</v>
      </c>
      <c r="W120" s="37">
        <v>1.5585613389952386</v>
      </c>
      <c r="X120" s="37">
        <v>0</v>
      </c>
      <c r="Y120" s="37">
        <v>0</v>
      </c>
      <c r="Z120" s="37">
        <v>0</v>
      </c>
      <c r="AA120" s="37">
        <v>0</v>
      </c>
      <c r="AB120" s="37">
        <v>0</v>
      </c>
      <c r="AC120" s="37">
        <v>0</v>
      </c>
      <c r="AD120" s="37">
        <v>0</v>
      </c>
      <c r="AE120" s="37">
        <v>0</v>
      </c>
      <c r="AF120" s="37">
        <v>0</v>
      </c>
      <c r="AG120" s="37">
        <v>-13.461890678054216</v>
      </c>
      <c r="AH120" s="37">
        <v>2.8879402241456957</v>
      </c>
      <c r="AI120" s="37">
        <v>6.6886098586632077</v>
      </c>
      <c r="AJ120" s="37">
        <v>0</v>
      </c>
      <c r="AK120" s="37">
        <v>-4.4168788763332003</v>
      </c>
      <c r="AL120" s="37">
        <v>5.1596712064757035</v>
      </c>
      <c r="AM120" s="37">
        <v>25.010704387310113</v>
      </c>
      <c r="AN120" s="37">
        <v>4.4698622972340427</v>
      </c>
      <c r="AO120" s="37">
        <v>0</v>
      </c>
      <c r="AP120" s="37">
        <v>0</v>
      </c>
      <c r="AQ120" s="37">
        <v>29.480566684544158</v>
      </c>
      <c r="AR120" s="37">
        <v>2.8879402241456957</v>
      </c>
      <c r="AS120" s="36">
        <v>10.20816374177725</v>
      </c>
      <c r="AT120" s="37">
        <v>25.010704387310113</v>
      </c>
      <c r="AU120" s="37">
        <v>5.2909856117408909</v>
      </c>
      <c r="AV120" s="37">
        <v>0</v>
      </c>
      <c r="AW120" s="37">
        <v>0</v>
      </c>
      <c r="AX120" s="37">
        <v>30.301689999051003</v>
      </c>
      <c r="AY120" s="37">
        <v>6.6886098586632077</v>
      </c>
      <c r="AZ120" s="36">
        <v>4.530341975291579</v>
      </c>
      <c r="BA120" s="37">
        <v>25.010704387310113</v>
      </c>
      <c r="BB120" s="37">
        <v>9.7608479089749345</v>
      </c>
      <c r="BC120" s="37">
        <v>0</v>
      </c>
      <c r="BD120" s="37">
        <v>0</v>
      </c>
      <c r="BE120" s="37">
        <v>34.771552296285044</v>
      </c>
      <c r="BF120" s="37">
        <v>9.5765500828089021</v>
      </c>
      <c r="BG120" s="37">
        <v>-0.28006105461767672</v>
      </c>
      <c r="BH120" s="36">
        <v>3.630905910334485</v>
      </c>
      <c r="BI120" s="37">
        <v>4.3885465264165404</v>
      </c>
      <c r="BJ120" s="37">
        <v>10.164086955946283</v>
      </c>
      <c r="BK120" s="37">
        <v>0</v>
      </c>
      <c r="BL120" s="37">
        <v>-6.7119389412115336</v>
      </c>
      <c r="BM120" s="37">
        <v>7.8406945411512909</v>
      </c>
      <c r="BN120" s="37">
        <v>25.010704387310113</v>
      </c>
      <c r="BO120" s="37">
        <v>-4.4143190565991919</v>
      </c>
      <c r="BP120" s="37">
        <v>9.7608479089749345</v>
      </c>
      <c r="BQ120" s="37">
        <v>0</v>
      </c>
      <c r="BR120" s="37">
        <v>0</v>
      </c>
      <c r="BS120" s="37">
        <v>0</v>
      </c>
      <c r="BT120" s="37">
        <v>0</v>
      </c>
      <c r="BU120" s="37">
        <v>0</v>
      </c>
      <c r="BV120" s="37">
        <v>0</v>
      </c>
      <c r="BW120" s="37">
        <v>0</v>
      </c>
      <c r="BX120" s="37">
        <v>16.395045685965293</v>
      </c>
      <c r="BY120" s="37">
        <v>2.2265161985646267</v>
      </c>
      <c r="BZ120" s="37">
        <v>0</v>
      </c>
      <c r="CA120" s="37">
        <v>-13.461890678054216</v>
      </c>
      <c r="CB120" s="37">
        <v>30.357233239685861</v>
      </c>
      <c r="CC120" s="37">
        <v>5.1596712064757035</v>
      </c>
      <c r="CD120" s="36">
        <v>2.093839740603169</v>
      </c>
      <c r="CE120" s="37">
        <v>-0.28395098554769854</v>
      </c>
      <c r="CF120" s="37">
        <v>0.46000706451633921</v>
      </c>
      <c r="CG120" s="37">
        <v>-6.6558942834366364E-2</v>
      </c>
      <c r="CH120" s="37">
        <v>0.39344812168197285</v>
      </c>
      <c r="CI120" s="37">
        <v>2.3000179045051472E-2</v>
      </c>
      <c r="CJ120" s="37">
        <v>-3.3279471417183167E-3</v>
      </c>
      <c r="CK120" s="37">
        <v>1.9672231903333157E-2</v>
      </c>
      <c r="CL120" s="37"/>
      <c r="CM120" s="37">
        <v>-0.56887985328518242</v>
      </c>
      <c r="CN120" s="37"/>
      <c r="CO120" s="37">
        <v>0</v>
      </c>
      <c r="CP120" s="37">
        <v>0</v>
      </c>
      <c r="CQ120" s="37">
        <v>-4.4143190565991919</v>
      </c>
      <c r="CR120" s="37">
        <v>0</v>
      </c>
      <c r="CS120" s="37">
        <v>0</v>
      </c>
      <c r="CT120" s="37">
        <v>-4.4143190565991919</v>
      </c>
      <c r="CU120" s="37">
        <v>0</v>
      </c>
      <c r="CV120" s="37">
        <v>9999</v>
      </c>
      <c r="CW120" s="127">
        <v>0</v>
      </c>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row>
    <row r="121" spans="1:131">
      <c r="A121" s="1" t="s">
        <v>747</v>
      </c>
      <c r="B121" s="1"/>
      <c r="C121" s="37">
        <v>12</v>
      </c>
      <c r="D121" s="37">
        <v>14.107600997230717</v>
      </c>
      <c r="E121" s="37">
        <v>-0.15710754403046454</v>
      </c>
      <c r="F121" s="37">
        <v>7.2412963974195161</v>
      </c>
      <c r="G121" s="37">
        <v>0</v>
      </c>
      <c r="H121" s="37">
        <v>-14.366238888365681</v>
      </c>
      <c r="I121" s="37"/>
      <c r="J121" s="37"/>
      <c r="K121" s="37"/>
      <c r="L121" s="37">
        <v>15.166068390464758</v>
      </c>
      <c r="M121" s="37">
        <v>3.96210803600704E-3</v>
      </c>
      <c r="N121" s="37">
        <v>3.9335113169850456E-3</v>
      </c>
      <c r="O121" s="37">
        <v>-0.15867861980327638</v>
      </c>
      <c r="P121" s="37">
        <v>0</v>
      </c>
      <c r="Q121" s="37">
        <v>0</v>
      </c>
      <c r="R121" s="37">
        <v>1.4440112345191063</v>
      </c>
      <c r="S121" s="37">
        <v>3.3368903301047079</v>
      </c>
      <c r="T121" s="37">
        <v>0</v>
      </c>
      <c r="U121" s="37">
        <v>5.8834165605122388</v>
      </c>
      <c r="V121" s="37">
        <v>0.434477783845171</v>
      </c>
      <c r="W121" s="37">
        <v>1.0137814956387323</v>
      </c>
      <c r="X121" s="37">
        <v>0</v>
      </c>
      <c r="Y121" s="37">
        <v>0</v>
      </c>
      <c r="Z121" s="37">
        <v>0</v>
      </c>
      <c r="AA121" s="37">
        <v>0</v>
      </c>
      <c r="AB121" s="37">
        <v>0</v>
      </c>
      <c r="AC121" s="37">
        <v>0</v>
      </c>
      <c r="AD121" s="37">
        <v>0</v>
      </c>
      <c r="AE121" s="37">
        <v>0</v>
      </c>
      <c r="AF121" s="37">
        <v>0</v>
      </c>
      <c r="AG121" s="37">
        <v>-14.366238888365681</v>
      </c>
      <c r="AH121" s="37">
        <v>1.8784890183642773</v>
      </c>
      <c r="AI121" s="37">
        <v>4.35067182574344</v>
      </c>
      <c r="AJ121" s="37">
        <v>0</v>
      </c>
      <c r="AK121" s="37">
        <v>-8.4828223278534409</v>
      </c>
      <c r="AL121" s="37">
        <v>-2.2536614837457249</v>
      </c>
      <c r="AM121" s="37">
        <v>7.8335988138229178</v>
      </c>
      <c r="AN121" s="37">
        <v>1.4000048718072204</v>
      </c>
      <c r="AO121" s="37">
        <v>0</v>
      </c>
      <c r="AP121" s="37">
        <v>0</v>
      </c>
      <c r="AQ121" s="37">
        <v>9.233603685630138</v>
      </c>
      <c r="AR121" s="37">
        <v>1.8784890183642773</v>
      </c>
      <c r="AS121" s="36">
        <v>4.9154419298497887</v>
      </c>
      <c r="AT121" s="37">
        <v>7.8335988138229178</v>
      </c>
      <c r="AU121" s="37">
        <v>1.6571887768629621</v>
      </c>
      <c r="AV121" s="37">
        <v>0</v>
      </c>
      <c r="AW121" s="37">
        <v>0</v>
      </c>
      <c r="AX121" s="37">
        <v>9.4907875906858798</v>
      </c>
      <c r="AY121" s="37">
        <v>4.35067182574344</v>
      </c>
      <c r="AZ121" s="36">
        <v>2.1814533411892314</v>
      </c>
      <c r="BA121" s="37">
        <v>7.8335988138229178</v>
      </c>
      <c r="BB121" s="37">
        <v>3.0571936486701823</v>
      </c>
      <c r="BC121" s="37">
        <v>0</v>
      </c>
      <c r="BD121" s="37">
        <v>0</v>
      </c>
      <c r="BE121" s="37">
        <v>10.890792462493101</v>
      </c>
      <c r="BF121" s="37">
        <v>6.2291608441077173</v>
      </c>
      <c r="BG121" s="37">
        <v>15.389545412575663</v>
      </c>
      <c r="BH121" s="36">
        <v>1.7483562770408971</v>
      </c>
      <c r="BI121" s="37">
        <v>9.1139315995208676</v>
      </c>
      <c r="BJ121" s="37">
        <v>21.108308350035298</v>
      </c>
      <c r="BK121" s="37">
        <v>0</v>
      </c>
      <c r="BL121" s="37">
        <v>-41.156409066615204</v>
      </c>
      <c r="BM121" s="37">
        <v>-10.934169117059048</v>
      </c>
      <c r="BN121" s="37">
        <v>7.8335988138229178</v>
      </c>
      <c r="BO121" s="37">
        <v>-1.2312934817913439</v>
      </c>
      <c r="BP121" s="37">
        <v>3.0571936486701823</v>
      </c>
      <c r="BQ121" s="37">
        <v>0</v>
      </c>
      <c r="BR121" s="37">
        <v>0</v>
      </c>
      <c r="BS121" s="37">
        <v>0</v>
      </c>
      <c r="BT121" s="37">
        <v>0</v>
      </c>
      <c r="BU121" s="37">
        <v>0</v>
      </c>
      <c r="BV121" s="37">
        <v>0</v>
      </c>
      <c r="BW121" s="37">
        <v>0</v>
      </c>
      <c r="BX121" s="37">
        <v>10.664318125136052</v>
      </c>
      <c r="BY121" s="37">
        <v>1.4482592794839033</v>
      </c>
      <c r="BZ121" s="37">
        <v>0</v>
      </c>
      <c r="CA121" s="37">
        <v>-14.366238888365681</v>
      </c>
      <c r="CB121" s="37">
        <v>9.6594989807017555</v>
      </c>
      <c r="CC121" s="37">
        <v>-2.2536614837457249</v>
      </c>
      <c r="CD121" s="36">
        <v>1.8927814549359303</v>
      </c>
      <c r="CE121" s="37">
        <v>-19.792953526125213</v>
      </c>
      <c r="CF121" s="37">
        <v>0.14407874081202207</v>
      </c>
      <c r="CG121" s="37">
        <v>-1.8565398516983307E-2</v>
      </c>
      <c r="CH121" s="37">
        <v>0.12551334229503877</v>
      </c>
      <c r="CI121" s="37">
        <v>7.2038824854707582E-3</v>
      </c>
      <c r="CJ121" s="37">
        <v>-9.2826992584916699E-4</v>
      </c>
      <c r="CK121" s="37">
        <v>6.2756125596215911E-3</v>
      </c>
      <c r="CL121" s="37"/>
      <c r="CM121" s="37">
        <v>-0.15867861980327638</v>
      </c>
      <c r="CN121" s="37"/>
      <c r="CO121" s="37">
        <v>0</v>
      </c>
      <c r="CP121" s="37">
        <v>0</v>
      </c>
      <c r="CQ121" s="37">
        <v>-1.2312934817913439</v>
      </c>
      <c r="CR121" s="37">
        <v>0</v>
      </c>
      <c r="CS121" s="37">
        <v>0</v>
      </c>
      <c r="CT121" s="37">
        <v>-1.2312934817913439</v>
      </c>
      <c r="CU121" s="37">
        <v>0</v>
      </c>
      <c r="CV121" s="37">
        <v>9999</v>
      </c>
      <c r="CW121" s="127">
        <v>0</v>
      </c>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row>
    <row r="122" spans="1:131">
      <c r="A122" s="1" t="s">
        <v>718</v>
      </c>
      <c r="B122" s="1"/>
      <c r="C122" s="37">
        <v>12</v>
      </c>
      <c r="D122" s="37">
        <v>13.480596508464908</v>
      </c>
      <c r="E122" s="37">
        <v>-0.15012498651799946</v>
      </c>
      <c r="F122" s="37">
        <v>9.216195414897566</v>
      </c>
      <c r="G122" s="37">
        <v>0</v>
      </c>
      <c r="H122" s="37">
        <v>-14.366238888365681</v>
      </c>
      <c r="I122" s="37"/>
      <c r="J122" s="37"/>
      <c r="K122" s="37"/>
      <c r="L122" s="37">
        <v>14.492020906444102</v>
      </c>
      <c r="M122" s="37">
        <v>3.7860143455178382E-3</v>
      </c>
      <c r="N122" s="37">
        <v>3.7586885917857103E-3</v>
      </c>
      <c r="O122" s="37">
        <v>-0.15162623670090858</v>
      </c>
      <c r="P122" s="37">
        <v>0</v>
      </c>
      <c r="Q122" s="37">
        <v>0</v>
      </c>
      <c r="R122" s="37">
        <v>1.8378324802970443</v>
      </c>
      <c r="S122" s="37">
        <v>4.2469513292241743</v>
      </c>
      <c r="T122" s="37">
        <v>0</v>
      </c>
      <c r="U122" s="37">
        <v>7.4879847133792126</v>
      </c>
      <c r="V122" s="37">
        <v>0.55297172489385393</v>
      </c>
      <c r="W122" s="37">
        <v>1.2902673580856592</v>
      </c>
      <c r="X122" s="37">
        <v>0</v>
      </c>
      <c r="Y122" s="37">
        <v>0</v>
      </c>
      <c r="Z122" s="37">
        <v>0</v>
      </c>
      <c r="AA122" s="37">
        <v>0</v>
      </c>
      <c r="AB122" s="37">
        <v>0</v>
      </c>
      <c r="AC122" s="37">
        <v>0</v>
      </c>
      <c r="AD122" s="37">
        <v>0</v>
      </c>
      <c r="AE122" s="37">
        <v>0</v>
      </c>
      <c r="AF122" s="37">
        <v>0</v>
      </c>
      <c r="AG122" s="37">
        <v>-14.366238888365681</v>
      </c>
      <c r="AH122" s="37">
        <v>2.3908042051908982</v>
      </c>
      <c r="AI122" s="37">
        <v>5.5372186873098332</v>
      </c>
      <c r="AJ122" s="37">
        <v>0</v>
      </c>
      <c r="AK122" s="37">
        <v>-6.8782541749864681</v>
      </c>
      <c r="AL122" s="37">
        <v>1.0497687175142649</v>
      </c>
      <c r="AM122" s="37">
        <v>7.4854388665418981</v>
      </c>
      <c r="AN122" s="37">
        <v>1.3377824330602333</v>
      </c>
      <c r="AO122" s="37">
        <v>0</v>
      </c>
      <c r="AP122" s="37">
        <v>0</v>
      </c>
      <c r="AQ122" s="37">
        <v>8.8232212996021318</v>
      </c>
      <c r="AR122" s="37">
        <v>2.3908042051908982</v>
      </c>
      <c r="AS122" s="36">
        <v>3.6904825917761115</v>
      </c>
      <c r="AT122" s="37">
        <v>7.4854388665418981</v>
      </c>
      <c r="AU122" s="37">
        <v>1.5835359423357198</v>
      </c>
      <c r="AV122" s="37">
        <v>0</v>
      </c>
      <c r="AW122" s="37">
        <v>0</v>
      </c>
      <c r="AX122" s="37">
        <v>9.0689748088776181</v>
      </c>
      <c r="AY122" s="37">
        <v>5.5372186873098332</v>
      </c>
      <c r="AZ122" s="36">
        <v>1.6378213180674701</v>
      </c>
      <c r="BA122" s="37">
        <v>7.4854388665418981</v>
      </c>
      <c r="BB122" s="37">
        <v>2.9213183753959528</v>
      </c>
      <c r="BC122" s="37">
        <v>0</v>
      </c>
      <c r="BD122" s="37">
        <v>0</v>
      </c>
      <c r="BE122" s="37">
        <v>10.406757241937852</v>
      </c>
      <c r="BF122" s="37">
        <v>7.9280228925007314</v>
      </c>
      <c r="BG122" s="37">
        <v>25.421028863062588</v>
      </c>
      <c r="BH122" s="36">
        <v>1.3126547921275307</v>
      </c>
      <c r="BI122" s="37">
        <v>12.139063229805805</v>
      </c>
      <c r="BJ122" s="37">
        <v>28.11466017023729</v>
      </c>
      <c r="BK122" s="37">
        <v>0</v>
      </c>
      <c r="BL122" s="37">
        <v>-34.923630366531683</v>
      </c>
      <c r="BM122" s="37">
        <v>5.3300930335114183</v>
      </c>
      <c r="BN122" s="37">
        <v>7.4854388665418981</v>
      </c>
      <c r="BO122" s="37">
        <v>-1.1765693270450615</v>
      </c>
      <c r="BP122" s="37">
        <v>2.9213183753959528</v>
      </c>
      <c r="BQ122" s="37">
        <v>0</v>
      </c>
      <c r="BR122" s="37">
        <v>0</v>
      </c>
      <c r="BS122" s="37">
        <v>0</v>
      </c>
      <c r="BT122" s="37">
        <v>0</v>
      </c>
      <c r="BU122" s="37">
        <v>0</v>
      </c>
      <c r="BV122" s="37">
        <v>0</v>
      </c>
      <c r="BW122" s="37">
        <v>0</v>
      </c>
      <c r="BX122" s="37">
        <v>13.572768522900432</v>
      </c>
      <c r="BY122" s="37">
        <v>1.8432390829795133</v>
      </c>
      <c r="BZ122" s="37">
        <v>0</v>
      </c>
      <c r="CA122" s="37">
        <v>-14.366238888365681</v>
      </c>
      <c r="CB122" s="37">
        <v>9.2301879148927899</v>
      </c>
      <c r="CC122" s="37">
        <v>1.0497687175142649</v>
      </c>
      <c r="CD122" s="36">
        <v>1.4930168008530333</v>
      </c>
      <c r="CE122" s="37">
        <v>-3.5286913755547569</v>
      </c>
      <c r="CF122" s="37">
        <v>0.13767524122037664</v>
      </c>
      <c r="CG122" s="37">
        <v>-1.7740269694006293E-2</v>
      </c>
      <c r="CH122" s="37">
        <v>0.11993497152637034</v>
      </c>
      <c r="CI122" s="37">
        <v>6.883709930560946E-3</v>
      </c>
      <c r="CJ122" s="37">
        <v>-8.8701348470031501E-4</v>
      </c>
      <c r="CK122" s="37">
        <v>5.9966964458606307E-3</v>
      </c>
      <c r="CL122" s="37"/>
      <c r="CM122" s="37">
        <v>-0.15162623670090858</v>
      </c>
      <c r="CN122" s="37"/>
      <c r="CO122" s="37">
        <v>0</v>
      </c>
      <c r="CP122" s="37">
        <v>0</v>
      </c>
      <c r="CQ122" s="37">
        <v>-1.1765693270450615</v>
      </c>
      <c r="CR122" s="37">
        <v>0</v>
      </c>
      <c r="CS122" s="37">
        <v>0</v>
      </c>
      <c r="CT122" s="37">
        <v>-1.1765693270450615</v>
      </c>
      <c r="CU122" s="37">
        <v>0</v>
      </c>
      <c r="CV122" s="37">
        <v>9999</v>
      </c>
      <c r="CW122" s="127">
        <v>0</v>
      </c>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row>
    <row r="123" spans="1:131">
      <c r="A123" s="1" t="s">
        <v>749</v>
      </c>
      <c r="B123" s="1"/>
      <c r="C123" s="37">
        <v>12</v>
      </c>
      <c r="D123" s="37">
        <v>1.786930875529545</v>
      </c>
      <c r="E123" s="37">
        <v>-2.0006174139283333E-2</v>
      </c>
      <c r="F123" s="37">
        <v>1.3200932224231732</v>
      </c>
      <c r="G123" s="37">
        <v>0</v>
      </c>
      <c r="H123" s="37">
        <v>-1.4586967903971628</v>
      </c>
      <c r="I123" s="37"/>
      <c r="J123" s="37"/>
      <c r="K123" s="37"/>
      <c r="L123" s="37">
        <v>1.9210010172979759</v>
      </c>
      <c r="M123" s="37">
        <v>5.0185805390402609E-4</v>
      </c>
      <c r="N123" s="37">
        <v>4.9823586752596825E-4</v>
      </c>
      <c r="O123" s="37">
        <v>-2.0206235923017846E-2</v>
      </c>
      <c r="P123" s="37">
        <v>0</v>
      </c>
      <c r="Q123" s="37">
        <v>0</v>
      </c>
      <c r="R123" s="37">
        <v>0.26324422301936001</v>
      </c>
      <c r="S123" s="37">
        <v>0.60831736017744054</v>
      </c>
      <c r="T123" s="37">
        <v>0</v>
      </c>
      <c r="U123" s="37">
        <v>1.0725508113425881</v>
      </c>
      <c r="V123" s="37">
        <v>7.9205593345390388E-2</v>
      </c>
      <c r="W123" s="37">
        <v>0.18481305113924423</v>
      </c>
      <c r="X123" s="37">
        <v>0</v>
      </c>
      <c r="Y123" s="37">
        <v>0</v>
      </c>
      <c r="Z123" s="37">
        <v>0</v>
      </c>
      <c r="AA123" s="37">
        <v>0</v>
      </c>
      <c r="AB123" s="37">
        <v>0</v>
      </c>
      <c r="AC123" s="37">
        <v>0</v>
      </c>
      <c r="AD123" s="37">
        <v>0</v>
      </c>
      <c r="AE123" s="37">
        <v>0</v>
      </c>
      <c r="AF123" s="37">
        <v>0</v>
      </c>
      <c r="AG123" s="37">
        <v>-1.4586967903971628</v>
      </c>
      <c r="AH123" s="37">
        <v>0.34244981636475041</v>
      </c>
      <c r="AI123" s="37">
        <v>0.79313041131668482</v>
      </c>
      <c r="AJ123" s="37">
        <v>0</v>
      </c>
      <c r="AK123" s="37">
        <v>-0.38614597905457471</v>
      </c>
      <c r="AL123" s="37">
        <v>0.74943424862686059</v>
      </c>
      <c r="AM123" s="37">
        <v>0.99223812678566481</v>
      </c>
      <c r="AN123" s="37">
        <v>0.17733078301655855</v>
      </c>
      <c r="AO123" s="37">
        <v>0</v>
      </c>
      <c r="AP123" s="37">
        <v>0</v>
      </c>
      <c r="AQ123" s="37">
        <v>1.1695689098022233</v>
      </c>
      <c r="AR123" s="37">
        <v>0.34244981636475041</v>
      </c>
      <c r="AS123" s="36">
        <v>3.4153001517644008</v>
      </c>
      <c r="AT123" s="37">
        <v>0.99223812678566481</v>
      </c>
      <c r="AU123" s="37">
        <v>0.20990682912982589</v>
      </c>
      <c r="AV123" s="37">
        <v>0</v>
      </c>
      <c r="AW123" s="37">
        <v>0</v>
      </c>
      <c r="AX123" s="37">
        <v>1.2021449559154906</v>
      </c>
      <c r="AY123" s="37">
        <v>0.79313041131668482</v>
      </c>
      <c r="AZ123" s="36">
        <v>1.5156964589465132</v>
      </c>
      <c r="BA123" s="37">
        <v>0.99223812678566481</v>
      </c>
      <c r="BB123" s="37">
        <v>0.38723761214638441</v>
      </c>
      <c r="BC123" s="37">
        <v>0</v>
      </c>
      <c r="BD123" s="37">
        <v>0</v>
      </c>
      <c r="BE123" s="37">
        <v>1.3794757389320491</v>
      </c>
      <c r="BF123" s="37">
        <v>1.1355802276814351</v>
      </c>
      <c r="BG123" s="37">
        <v>28.664409336974281</v>
      </c>
      <c r="BH123" s="36">
        <v>1.2147761164779933</v>
      </c>
      <c r="BI123" s="37">
        <v>13.117149163865991</v>
      </c>
      <c r="BJ123" s="37">
        <v>30.379954710088789</v>
      </c>
      <c r="BK123" s="37">
        <v>0</v>
      </c>
      <c r="BL123" s="37">
        <v>-14.790880777961782</v>
      </c>
      <c r="BM123" s="37">
        <v>28.706223095993003</v>
      </c>
      <c r="BN123" s="37">
        <v>0.99223812678566481</v>
      </c>
      <c r="BO123" s="37">
        <v>-0.15679369164160228</v>
      </c>
      <c r="BP123" s="37">
        <v>0.38723761214638441</v>
      </c>
      <c r="BQ123" s="37">
        <v>0</v>
      </c>
      <c r="BR123" s="37">
        <v>0</v>
      </c>
      <c r="BS123" s="37">
        <v>0</v>
      </c>
      <c r="BT123" s="37">
        <v>0</v>
      </c>
      <c r="BU123" s="37">
        <v>0</v>
      </c>
      <c r="BV123" s="37">
        <v>0</v>
      </c>
      <c r="BW123" s="37">
        <v>0</v>
      </c>
      <c r="BX123" s="37">
        <v>1.9441123945393888</v>
      </c>
      <c r="BY123" s="37">
        <v>0.26401864448463463</v>
      </c>
      <c r="BZ123" s="37">
        <v>0</v>
      </c>
      <c r="CA123" s="37">
        <v>-1.4586967903971628</v>
      </c>
      <c r="CB123" s="37">
        <v>1.2226820472904469</v>
      </c>
      <c r="CC123" s="37">
        <v>0.74943424862686059</v>
      </c>
      <c r="CD123" s="36">
        <v>1.2001111462563916</v>
      </c>
      <c r="CE123" s="37">
        <v>19.879331870717266</v>
      </c>
      <c r="CF123" s="37">
        <v>1.8249647868192428E-2</v>
      </c>
      <c r="CG123" s="37">
        <v>-2.3641296029930838E-3</v>
      </c>
      <c r="CH123" s="37">
        <v>1.5885518265199343E-2</v>
      </c>
      <c r="CI123" s="37">
        <v>9.1247548321653834E-4</v>
      </c>
      <c r="CJ123" s="37">
        <v>-1.182064801496544E-4</v>
      </c>
      <c r="CK123" s="37">
        <v>7.9426900306688399E-4</v>
      </c>
      <c r="CL123" s="37"/>
      <c r="CM123" s="37">
        <v>-2.0206235923017846E-2</v>
      </c>
      <c r="CN123" s="37"/>
      <c r="CO123" s="37">
        <v>0</v>
      </c>
      <c r="CP123" s="37">
        <v>0</v>
      </c>
      <c r="CQ123" s="37">
        <v>-0.15679369164160228</v>
      </c>
      <c r="CR123" s="37">
        <v>0</v>
      </c>
      <c r="CS123" s="37">
        <v>0</v>
      </c>
      <c r="CT123" s="37">
        <v>-0.15679369164160228</v>
      </c>
      <c r="CU123" s="37">
        <v>0</v>
      </c>
      <c r="CV123" s="37">
        <v>9999</v>
      </c>
      <c r="CW123" s="127">
        <v>0</v>
      </c>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row>
    <row r="124" spans="1:131">
      <c r="A124" s="1" t="s">
        <v>750</v>
      </c>
      <c r="B124" s="1"/>
      <c r="C124" s="37">
        <v>12.000000000000002</v>
      </c>
      <c r="D124" s="37">
        <v>6.9745193151439029</v>
      </c>
      <c r="E124" s="37">
        <v>-7.2304234553197913E-2</v>
      </c>
      <c r="F124" s="37">
        <v>3.4925672929957736</v>
      </c>
      <c r="G124" s="37">
        <v>0</v>
      </c>
      <c r="H124" s="37">
        <v>-1.0203517050715445</v>
      </c>
      <c r="I124" s="37"/>
      <c r="J124" s="37"/>
      <c r="K124" s="37"/>
      <c r="L124" s="37">
        <v>7.4978046901704554</v>
      </c>
      <c r="M124" s="37">
        <v>1.9587879633994761E-3</v>
      </c>
      <c r="N124" s="37">
        <v>1.9446503102855419E-3</v>
      </c>
      <c r="O124" s="37">
        <v>-7.3027277051756781E-2</v>
      </c>
      <c r="P124" s="37">
        <v>0</v>
      </c>
      <c r="Q124" s="37">
        <v>0</v>
      </c>
      <c r="R124" s="37">
        <v>0.69646457369112746</v>
      </c>
      <c r="S124" s="37">
        <v>1.6094236981365195</v>
      </c>
      <c r="T124" s="37">
        <v>0</v>
      </c>
      <c r="U124" s="37">
        <v>2.8376449633572838</v>
      </c>
      <c r="V124" s="37">
        <v>0.20955403757974642</v>
      </c>
      <c r="W124" s="37">
        <v>0.48895942101940831</v>
      </c>
      <c r="X124" s="37">
        <v>0</v>
      </c>
      <c r="Y124" s="37">
        <v>0</v>
      </c>
      <c r="Z124" s="37">
        <v>0</v>
      </c>
      <c r="AA124" s="37">
        <v>0</v>
      </c>
      <c r="AB124" s="37">
        <v>0</v>
      </c>
      <c r="AC124" s="37">
        <v>0</v>
      </c>
      <c r="AD124" s="37">
        <v>0</v>
      </c>
      <c r="AE124" s="37">
        <v>0</v>
      </c>
      <c r="AF124" s="37">
        <v>0</v>
      </c>
      <c r="AG124" s="37">
        <v>-1.0203517050715445</v>
      </c>
      <c r="AH124" s="37">
        <v>0.90601861127087391</v>
      </c>
      <c r="AI124" s="37">
        <v>2.0983831191559279</v>
      </c>
      <c r="AJ124" s="37">
        <v>0</v>
      </c>
      <c r="AK124" s="37">
        <v>1.8172932582857393</v>
      </c>
      <c r="AL124" s="37">
        <v>4.8216949887125411</v>
      </c>
      <c r="AM124" s="37">
        <v>3.8727765439936324</v>
      </c>
      <c r="AN124" s="37">
        <v>0.69213475924303081</v>
      </c>
      <c r="AO124" s="37">
        <v>0</v>
      </c>
      <c r="AP124" s="37">
        <v>0</v>
      </c>
      <c r="AQ124" s="37">
        <v>4.5649113032366628</v>
      </c>
      <c r="AR124" s="37">
        <v>0.90601861127087391</v>
      </c>
      <c r="AS124" s="36">
        <v>5.0384299466359233</v>
      </c>
      <c r="AT124" s="37">
        <v>3.8727765439936324</v>
      </c>
      <c r="AU124" s="37">
        <v>0.81928140265231864</v>
      </c>
      <c r="AV124" s="37">
        <v>0</v>
      </c>
      <c r="AW124" s="37">
        <v>0</v>
      </c>
      <c r="AX124" s="37">
        <v>4.6920579466459511</v>
      </c>
      <c r="AY124" s="37">
        <v>2.0983831191559279</v>
      </c>
      <c r="AZ124" s="36">
        <v>2.2360349279464877</v>
      </c>
      <c r="BA124" s="37">
        <v>3.8727765439936324</v>
      </c>
      <c r="BB124" s="37">
        <v>1.5114161618953494</v>
      </c>
      <c r="BC124" s="37">
        <v>0</v>
      </c>
      <c r="BD124" s="37">
        <v>0</v>
      </c>
      <c r="BE124" s="37">
        <v>5.3841927058889816</v>
      </c>
      <c r="BF124" s="37">
        <v>3.0044017304268018</v>
      </c>
      <c r="BG124" s="37">
        <v>14.651820884578129</v>
      </c>
      <c r="BH124" s="36">
        <v>1.7921014527987604</v>
      </c>
      <c r="BI124" s="37">
        <v>8.891460634473912</v>
      </c>
      <c r="BJ124" s="37">
        <v>20.593054787084714</v>
      </c>
      <c r="BK124" s="37">
        <v>0</v>
      </c>
      <c r="BL124" s="37">
        <v>17.834502808586986</v>
      </c>
      <c r="BM124" s="37">
        <v>47.319018230145609</v>
      </c>
      <c r="BN124" s="37">
        <v>3.8727765439936324</v>
      </c>
      <c r="BO124" s="37">
        <v>-0.56666745865495738</v>
      </c>
      <c r="BP124" s="37">
        <v>1.5114161618953494</v>
      </c>
      <c r="BQ124" s="37">
        <v>0</v>
      </c>
      <c r="BR124" s="37">
        <v>0</v>
      </c>
      <c r="BS124" s="37">
        <v>0</v>
      </c>
      <c r="BT124" s="37">
        <v>0</v>
      </c>
      <c r="BU124" s="37">
        <v>0</v>
      </c>
      <c r="BV124" s="37">
        <v>0</v>
      </c>
      <c r="BW124" s="37">
        <v>0</v>
      </c>
      <c r="BX124" s="37">
        <v>5.1435332351849308</v>
      </c>
      <c r="BY124" s="37">
        <v>0.69851345859915481</v>
      </c>
      <c r="BZ124" s="37">
        <v>0</v>
      </c>
      <c r="CA124" s="37">
        <v>-1.0203517050715445</v>
      </c>
      <c r="CB124" s="37">
        <v>4.8175252472340242</v>
      </c>
      <c r="CC124" s="37">
        <v>4.821694988712542</v>
      </c>
      <c r="CD124" s="127">
        <v>0.99934936379134165</v>
      </c>
      <c r="CE124" s="37">
        <v>38.047469279788793</v>
      </c>
      <c r="CF124" s="37">
        <v>7.1229683976199346E-2</v>
      </c>
      <c r="CG124" s="37">
        <v>-8.5441914150555503E-3</v>
      </c>
      <c r="CH124" s="37">
        <v>6.2685492561143794E-2</v>
      </c>
      <c r="CI124" s="37">
        <v>3.5614572278309651E-3</v>
      </c>
      <c r="CJ124" s="37">
        <v>-4.2720957075277713E-4</v>
      </c>
      <c r="CK124" s="37">
        <v>3.134247657078188E-3</v>
      </c>
      <c r="CL124" s="37"/>
      <c r="CM124" s="37">
        <v>-7.3027277051756781E-2</v>
      </c>
      <c r="CN124" s="37"/>
      <c r="CO124" s="37">
        <v>0</v>
      </c>
      <c r="CP124" s="37">
        <v>0</v>
      </c>
      <c r="CQ124" s="37">
        <v>-0.56666745865495738</v>
      </c>
      <c r="CR124" s="37">
        <v>0</v>
      </c>
      <c r="CS124" s="37">
        <v>0</v>
      </c>
      <c r="CT124" s="37">
        <v>-0.56666745865495738</v>
      </c>
      <c r="CU124" s="37">
        <v>0</v>
      </c>
      <c r="CV124" s="37">
        <v>9999</v>
      </c>
      <c r="CW124" s="127">
        <v>0</v>
      </c>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row>
    <row r="125" spans="1:131">
      <c r="A125" s="1" t="s">
        <v>722</v>
      </c>
      <c r="B125" s="1"/>
      <c r="C125" s="37">
        <v>12.000000000000002</v>
      </c>
      <c r="D125" s="37">
        <v>1.7075117255060097</v>
      </c>
      <c r="E125" s="37">
        <v>-1.9117010844204075E-2</v>
      </c>
      <c r="F125" s="37">
        <v>1.6801186467204023</v>
      </c>
      <c r="G125" s="37">
        <v>0</v>
      </c>
      <c r="H125" s="37">
        <v>-1.4586967903971628</v>
      </c>
      <c r="I125" s="37"/>
      <c r="J125" s="37"/>
      <c r="K125" s="37"/>
      <c r="L125" s="37">
        <v>1.835623194306955</v>
      </c>
      <c r="M125" s="37">
        <v>4.7955325150829165E-4</v>
      </c>
      <c r="N125" s="37">
        <v>4.760920511914808E-4</v>
      </c>
      <c r="O125" s="37">
        <v>-1.9308180993105942E-2</v>
      </c>
      <c r="P125" s="37">
        <v>0</v>
      </c>
      <c r="Q125" s="37">
        <v>0</v>
      </c>
      <c r="R125" s="37">
        <v>0.33503810202464007</v>
      </c>
      <c r="S125" s="37">
        <v>0.77422209477128801</v>
      </c>
      <c r="T125" s="37">
        <v>0</v>
      </c>
      <c r="U125" s="37">
        <v>1.3650646689814758</v>
      </c>
      <c r="V125" s="37">
        <v>0.10080711880322414</v>
      </c>
      <c r="W125" s="37">
        <v>0.23521661054085632</v>
      </c>
      <c r="X125" s="37">
        <v>0</v>
      </c>
      <c r="Y125" s="37">
        <v>0</v>
      </c>
      <c r="Z125" s="37">
        <v>0</v>
      </c>
      <c r="AA125" s="37">
        <v>0</v>
      </c>
      <c r="AB125" s="37">
        <v>0</v>
      </c>
      <c r="AC125" s="37">
        <v>0</v>
      </c>
      <c r="AD125" s="37">
        <v>0</v>
      </c>
      <c r="AE125" s="37">
        <v>0</v>
      </c>
      <c r="AF125" s="37">
        <v>0</v>
      </c>
      <c r="AG125" s="37">
        <v>-1.4586967903971628</v>
      </c>
      <c r="AH125" s="37">
        <v>0.4358452208278642</v>
      </c>
      <c r="AI125" s="37">
        <v>1.0094387053121443</v>
      </c>
      <c r="AJ125" s="37">
        <v>0</v>
      </c>
      <c r="AK125" s="37">
        <v>-9.3632121415686997E-2</v>
      </c>
      <c r="AL125" s="37">
        <v>1.3516518047243213</v>
      </c>
      <c r="AM125" s="37">
        <v>0.94813865448408019</v>
      </c>
      <c r="AN125" s="37">
        <v>0.1694494148824893</v>
      </c>
      <c r="AO125" s="37">
        <v>0</v>
      </c>
      <c r="AP125" s="37">
        <v>0</v>
      </c>
      <c r="AQ125" s="37">
        <v>1.1175880693665694</v>
      </c>
      <c r="AR125" s="37">
        <v>0.4358452208278642</v>
      </c>
      <c r="AS125" s="36">
        <v>2.564185669499305</v>
      </c>
      <c r="AT125" s="37">
        <v>0.94813865448408019</v>
      </c>
      <c r="AU125" s="37">
        <v>0.20057763672405582</v>
      </c>
      <c r="AV125" s="37">
        <v>0</v>
      </c>
      <c r="AW125" s="37">
        <v>0</v>
      </c>
      <c r="AX125" s="37">
        <v>1.1487162912081361</v>
      </c>
      <c r="AY125" s="37">
        <v>1.0094387053121443</v>
      </c>
      <c r="AZ125" s="36">
        <v>1.1379752779074621</v>
      </c>
      <c r="BA125" s="37">
        <v>0.94813865448408019</v>
      </c>
      <c r="BB125" s="37">
        <v>0.37002705160654514</v>
      </c>
      <c r="BC125" s="37">
        <v>0</v>
      </c>
      <c r="BD125" s="37">
        <v>0</v>
      </c>
      <c r="BE125" s="37">
        <v>1.3181657060906253</v>
      </c>
      <c r="BF125" s="37">
        <v>1.4452839261400086</v>
      </c>
      <c r="BG125" s="37">
        <v>43.102137261310219</v>
      </c>
      <c r="BH125" s="127">
        <v>0.91204619538744602</v>
      </c>
      <c r="BI125" s="37">
        <v>17.471044340878592</v>
      </c>
      <c r="BJ125" s="37">
        <v>40.463787457412124</v>
      </c>
      <c r="BK125" s="37">
        <v>0</v>
      </c>
      <c r="BL125" s="37">
        <v>-3.7532841174139433</v>
      </c>
      <c r="BM125" s="37">
        <v>54.181547680876776</v>
      </c>
      <c r="BN125" s="37">
        <v>0.94813865448408019</v>
      </c>
      <c r="BO125" s="37">
        <v>-0.14982508312419782</v>
      </c>
      <c r="BP125" s="37">
        <v>0.37002705160654514</v>
      </c>
      <c r="BQ125" s="37">
        <v>0</v>
      </c>
      <c r="BR125" s="37">
        <v>0</v>
      </c>
      <c r="BS125" s="37">
        <v>0</v>
      </c>
      <c r="BT125" s="37">
        <v>0</v>
      </c>
      <c r="BU125" s="37">
        <v>0</v>
      </c>
      <c r="BV125" s="37">
        <v>0</v>
      </c>
      <c r="BW125" s="37">
        <v>0</v>
      </c>
      <c r="BX125" s="37">
        <v>2.4743248657774037</v>
      </c>
      <c r="BY125" s="37">
        <v>0.33602372934408048</v>
      </c>
      <c r="BZ125" s="37">
        <v>0</v>
      </c>
      <c r="CA125" s="37">
        <v>-1.4586967903971628</v>
      </c>
      <c r="CB125" s="37">
        <v>1.1683406229664273</v>
      </c>
      <c r="CC125" s="37">
        <v>1.3516518047243213</v>
      </c>
      <c r="CD125" s="127">
        <v>0.93807418020603051</v>
      </c>
      <c r="CE125" s="37">
        <v>45.354656455601045</v>
      </c>
      <c r="CF125" s="37">
        <v>1.743855240738388E-2</v>
      </c>
      <c r="CG125" s="37">
        <v>-2.2590571761933955E-3</v>
      </c>
      <c r="CH125" s="37">
        <v>1.5179495231190485E-2</v>
      </c>
      <c r="CI125" s="37">
        <v>8.7192101729580325E-4</v>
      </c>
      <c r="CJ125" s="37">
        <v>-1.1295285880966975E-4</v>
      </c>
      <c r="CK125" s="37">
        <v>7.5896815848613345E-4</v>
      </c>
      <c r="CL125" s="37"/>
      <c r="CM125" s="37">
        <v>-1.9308180993105942E-2</v>
      </c>
      <c r="CN125" s="37"/>
      <c r="CO125" s="37">
        <v>0</v>
      </c>
      <c r="CP125" s="37">
        <v>0</v>
      </c>
      <c r="CQ125" s="37">
        <v>-0.14982508312419782</v>
      </c>
      <c r="CR125" s="37">
        <v>0</v>
      </c>
      <c r="CS125" s="37">
        <v>0</v>
      </c>
      <c r="CT125" s="37">
        <v>-0.14982508312419782</v>
      </c>
      <c r="CU125" s="37">
        <v>0</v>
      </c>
      <c r="CV125" s="37">
        <v>9999</v>
      </c>
      <c r="CW125" s="127">
        <v>0</v>
      </c>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row>
    <row r="126" spans="1:131">
      <c r="A126" s="1" t="s">
        <v>724</v>
      </c>
      <c r="B126" s="1"/>
      <c r="C126" s="37">
        <v>11.999999999999998</v>
      </c>
      <c r="D126" s="37">
        <v>6.6645406789152855</v>
      </c>
      <c r="E126" s="37">
        <v>-6.9090713017500235E-2</v>
      </c>
      <c r="F126" s="37">
        <v>4.4450856456309848</v>
      </c>
      <c r="G126" s="37">
        <v>0</v>
      </c>
      <c r="H126" s="37">
        <v>-1.0203517050715445</v>
      </c>
      <c r="I126" s="37"/>
      <c r="J126" s="37"/>
      <c r="K126" s="37"/>
      <c r="L126" s="37">
        <v>7.1645689261628798</v>
      </c>
      <c r="M126" s="37">
        <v>1.8717307205817217E-3</v>
      </c>
      <c r="N126" s="37">
        <v>1.8582214076061844E-3</v>
      </c>
      <c r="O126" s="37">
        <v>-6.9781620293900934E-2</v>
      </c>
      <c r="P126" s="37">
        <v>0</v>
      </c>
      <c r="Q126" s="37">
        <v>0</v>
      </c>
      <c r="R126" s="37">
        <v>0.88640945742507138</v>
      </c>
      <c r="S126" s="37">
        <v>2.0483574339919342</v>
      </c>
      <c r="T126" s="37">
        <v>0</v>
      </c>
      <c r="U126" s="37">
        <v>3.6115481351819976</v>
      </c>
      <c r="V126" s="37">
        <v>0.26670513873785912</v>
      </c>
      <c r="W126" s="37">
        <v>0.62231199038833784</v>
      </c>
      <c r="X126" s="37">
        <v>0</v>
      </c>
      <c r="Y126" s="37">
        <v>0</v>
      </c>
      <c r="Z126" s="37">
        <v>0</v>
      </c>
      <c r="AA126" s="37">
        <v>0</v>
      </c>
      <c r="AB126" s="37">
        <v>0</v>
      </c>
      <c r="AC126" s="37">
        <v>0</v>
      </c>
      <c r="AD126" s="37">
        <v>0</v>
      </c>
      <c r="AE126" s="37">
        <v>0</v>
      </c>
      <c r="AF126" s="37">
        <v>0</v>
      </c>
      <c r="AG126" s="37">
        <v>-1.0203517050715445</v>
      </c>
      <c r="AH126" s="37">
        <v>1.1531145961629305</v>
      </c>
      <c r="AI126" s="37">
        <v>2.670669424380272</v>
      </c>
      <c r="AJ126" s="37">
        <v>0</v>
      </c>
      <c r="AK126" s="37">
        <v>2.5911964301104531</v>
      </c>
      <c r="AL126" s="37">
        <v>6.4149804506536565</v>
      </c>
      <c r="AM126" s="37">
        <v>3.7006531420383575</v>
      </c>
      <c r="AN126" s="37">
        <v>0.66137321438778518</v>
      </c>
      <c r="AO126" s="37">
        <v>0</v>
      </c>
      <c r="AP126" s="37">
        <v>0</v>
      </c>
      <c r="AQ126" s="37">
        <v>4.362026356426143</v>
      </c>
      <c r="AR126" s="37">
        <v>1.1531145961629305</v>
      </c>
      <c r="AS126" s="36">
        <v>3.7828212139028428</v>
      </c>
      <c r="AT126" s="37">
        <v>3.7006531420383575</v>
      </c>
      <c r="AU126" s="37">
        <v>0.7828688958677712</v>
      </c>
      <c r="AV126" s="37">
        <v>0</v>
      </c>
      <c r="AW126" s="37">
        <v>0</v>
      </c>
      <c r="AX126" s="37">
        <v>4.4835220379061287</v>
      </c>
      <c r="AY126" s="37">
        <v>2.670669424380272</v>
      </c>
      <c r="AZ126" s="36">
        <v>1.6788008268550603</v>
      </c>
      <c r="BA126" s="37">
        <v>3.7006531420383575</v>
      </c>
      <c r="BB126" s="37">
        <v>1.4442421102555563</v>
      </c>
      <c r="BC126" s="37">
        <v>0</v>
      </c>
      <c r="BD126" s="37">
        <v>0</v>
      </c>
      <c r="BE126" s="37">
        <v>5.1448952522939138</v>
      </c>
      <c r="BF126" s="37">
        <v>3.8237840205432025</v>
      </c>
      <c r="BG126" s="37">
        <v>24.438435939936909</v>
      </c>
      <c r="BH126" s="36">
        <v>1.3454983923393862</v>
      </c>
      <c r="BI126" s="37">
        <v>11.842748836614303</v>
      </c>
      <c r="BJ126" s="37">
        <v>27.428381640303108</v>
      </c>
      <c r="BK126" s="37">
        <v>0</v>
      </c>
      <c r="BL126" s="37">
        <v>26.612175936582947</v>
      </c>
      <c r="BM126" s="37">
        <v>65.883306413500364</v>
      </c>
      <c r="BN126" s="37">
        <v>3.7006531420383575</v>
      </c>
      <c r="BO126" s="37">
        <v>-0.54148223827029218</v>
      </c>
      <c r="BP126" s="37">
        <v>1.4442421102555563</v>
      </c>
      <c r="BQ126" s="37">
        <v>0</v>
      </c>
      <c r="BR126" s="37">
        <v>0</v>
      </c>
      <c r="BS126" s="37">
        <v>0</v>
      </c>
      <c r="BT126" s="37">
        <v>0</v>
      </c>
      <c r="BU126" s="37">
        <v>0</v>
      </c>
      <c r="BV126" s="37">
        <v>0</v>
      </c>
      <c r="BW126" s="37">
        <v>0</v>
      </c>
      <c r="BX126" s="37">
        <v>6.5463150265990038</v>
      </c>
      <c r="BY126" s="37">
        <v>0.88901712912619701</v>
      </c>
      <c r="BZ126" s="37">
        <v>0</v>
      </c>
      <c r="CA126" s="37">
        <v>-1.0203517050715445</v>
      </c>
      <c r="CB126" s="37">
        <v>4.6034130140236211</v>
      </c>
      <c r="CC126" s="37">
        <v>6.4149804506536565</v>
      </c>
      <c r="CD126" s="127">
        <v>0.7728958770817479</v>
      </c>
      <c r="CE126" s="37">
        <v>56.611757463143533</v>
      </c>
      <c r="CF126" s="37">
        <v>6.8063920243923853E-2</v>
      </c>
      <c r="CG126" s="37">
        <v>-8.1644495743864089E-3</v>
      </c>
      <c r="CH126" s="37">
        <v>5.9899470669537443E-2</v>
      </c>
      <c r="CI126" s="37">
        <v>3.4031702399273671E-3</v>
      </c>
      <c r="CJ126" s="37">
        <v>-4.0822247871932039E-4</v>
      </c>
      <c r="CK126" s="37">
        <v>2.9949477612080467E-3</v>
      </c>
      <c r="CL126" s="37"/>
      <c r="CM126" s="37">
        <v>-6.9781620293900934E-2</v>
      </c>
      <c r="CN126" s="37"/>
      <c r="CO126" s="37">
        <v>0</v>
      </c>
      <c r="CP126" s="37">
        <v>0</v>
      </c>
      <c r="CQ126" s="37">
        <v>-0.54148223827029218</v>
      </c>
      <c r="CR126" s="37">
        <v>0</v>
      </c>
      <c r="CS126" s="37">
        <v>0</v>
      </c>
      <c r="CT126" s="37">
        <v>-0.54148223827029218</v>
      </c>
      <c r="CU126" s="37">
        <v>0</v>
      </c>
      <c r="CV126" s="37">
        <v>9999</v>
      </c>
      <c r="CW126" s="127">
        <v>0</v>
      </c>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row>
    <row r="127" spans="1:131">
      <c r="A127" s="1" t="s">
        <v>751</v>
      </c>
      <c r="B127" s="1"/>
      <c r="C127" s="37">
        <v>12</v>
      </c>
      <c r="D127" s="37">
        <v>13.031573228896434</v>
      </c>
      <c r="E127" s="37">
        <v>-0.12227858406110047</v>
      </c>
      <c r="F127" s="37">
        <v>9.2685010927030476</v>
      </c>
      <c r="G127" s="37">
        <v>0</v>
      </c>
      <c r="H127" s="37">
        <v>-1.3818165049052982</v>
      </c>
      <c r="I127" s="37"/>
      <c r="J127" s="37"/>
      <c r="K127" s="37"/>
      <c r="L127" s="37">
        <v>14.009308234872018</v>
      </c>
      <c r="M127" s="37">
        <v>3.659906529973458E-3</v>
      </c>
      <c r="N127" s="37">
        <v>3.6334909659016894E-3</v>
      </c>
      <c r="O127" s="37">
        <v>-0.12350137016050561</v>
      </c>
      <c r="P127" s="37">
        <v>0</v>
      </c>
      <c r="Q127" s="37">
        <v>0</v>
      </c>
      <c r="R127" s="37">
        <v>1.848262931176968</v>
      </c>
      <c r="S127" s="37">
        <v>4.271054514745054</v>
      </c>
      <c r="T127" s="37">
        <v>0</v>
      </c>
      <c r="U127" s="37">
        <v>7.5304820887275348</v>
      </c>
      <c r="V127" s="37">
        <v>0.5561100655621829</v>
      </c>
      <c r="W127" s="37">
        <v>1.2975901529784266</v>
      </c>
      <c r="X127" s="37">
        <v>0</v>
      </c>
      <c r="Y127" s="37">
        <v>0</v>
      </c>
      <c r="Z127" s="37">
        <v>0</v>
      </c>
      <c r="AA127" s="37">
        <v>0</v>
      </c>
      <c r="AB127" s="37">
        <v>0</v>
      </c>
      <c r="AC127" s="37">
        <v>0</v>
      </c>
      <c r="AD127" s="37">
        <v>0</v>
      </c>
      <c r="AE127" s="37">
        <v>0</v>
      </c>
      <c r="AF127" s="37">
        <v>0</v>
      </c>
      <c r="AG127" s="37">
        <v>-1.3818165049052982</v>
      </c>
      <c r="AH127" s="37">
        <v>2.4043729967391512</v>
      </c>
      <c r="AI127" s="37">
        <v>5.5686446677234809</v>
      </c>
      <c r="AJ127" s="37">
        <v>0</v>
      </c>
      <c r="AK127" s="37">
        <v>6.1486655838222362</v>
      </c>
      <c r="AL127" s="37">
        <v>14.121683248284867</v>
      </c>
      <c r="AM127" s="37">
        <v>7.2361074436517212</v>
      </c>
      <c r="AN127" s="37">
        <v>1.2932224274948561</v>
      </c>
      <c r="AO127" s="37">
        <v>0</v>
      </c>
      <c r="AP127" s="37">
        <v>0</v>
      </c>
      <c r="AQ127" s="37">
        <v>8.5293298711465777</v>
      </c>
      <c r="AR127" s="37">
        <v>2.4043729967391512</v>
      </c>
      <c r="AS127" s="36">
        <v>3.5474237494407856</v>
      </c>
      <c r="AT127" s="37">
        <v>7.2361074436517212</v>
      </c>
      <c r="AU127" s="37">
        <v>1.5307901679409697</v>
      </c>
      <c r="AV127" s="37">
        <v>0</v>
      </c>
      <c r="AW127" s="37">
        <v>0</v>
      </c>
      <c r="AX127" s="37">
        <v>8.7668976115926913</v>
      </c>
      <c r="AY127" s="37">
        <v>5.5686446677234809</v>
      </c>
      <c r="AZ127" s="36">
        <v>1.5743323797272719</v>
      </c>
      <c r="BA127" s="37">
        <v>7.2361074436517212</v>
      </c>
      <c r="BB127" s="37">
        <v>2.8240125954358257</v>
      </c>
      <c r="BC127" s="37">
        <v>0</v>
      </c>
      <c r="BD127" s="37">
        <v>0</v>
      </c>
      <c r="BE127" s="37">
        <v>10.060120039087547</v>
      </c>
      <c r="BF127" s="37">
        <v>7.9730176644626312</v>
      </c>
      <c r="BG127" s="37">
        <v>27.044362153934426</v>
      </c>
      <c r="BH127" s="36">
        <v>1.2617706949186325</v>
      </c>
      <c r="BI127" s="37">
        <v>12.6286016823138</v>
      </c>
      <c r="BJ127" s="37">
        <v>29.248455008601123</v>
      </c>
      <c r="BK127" s="37">
        <v>0</v>
      </c>
      <c r="BL127" s="37">
        <v>32.294926220329096</v>
      </c>
      <c r="BM127" s="37">
        <v>74.171982911244015</v>
      </c>
      <c r="BN127" s="37">
        <v>7.2361074436517212</v>
      </c>
      <c r="BO127" s="37">
        <v>-0.95832968713401068</v>
      </c>
      <c r="BP127" s="37">
        <v>2.8240125954358257</v>
      </c>
      <c r="BQ127" s="37">
        <v>0</v>
      </c>
      <c r="BR127" s="37">
        <v>0</v>
      </c>
      <c r="BS127" s="37">
        <v>0</v>
      </c>
      <c r="BT127" s="37">
        <v>0</v>
      </c>
      <c r="BU127" s="37">
        <v>0</v>
      </c>
      <c r="BV127" s="37">
        <v>0</v>
      </c>
      <c r="BW127" s="37">
        <v>0</v>
      </c>
      <c r="BX127" s="37">
        <v>13.649799534649556</v>
      </c>
      <c r="BY127" s="37">
        <v>1.8537002185406095</v>
      </c>
      <c r="BZ127" s="37">
        <v>0</v>
      </c>
      <c r="CA127" s="37">
        <v>-1.3818165049052982</v>
      </c>
      <c r="CB127" s="37">
        <v>9.1017903519535359</v>
      </c>
      <c r="CC127" s="37">
        <v>14.121683248284867</v>
      </c>
      <c r="CD127" s="127">
        <v>0.69505862549913056</v>
      </c>
      <c r="CE127" s="37">
        <v>64.372768585347757</v>
      </c>
      <c r="CF127" s="37">
        <v>0.13308943611232116</v>
      </c>
      <c r="CG127" s="37">
        <v>-1.4449660308779162E-2</v>
      </c>
      <c r="CH127" s="37">
        <v>0.118639775803542</v>
      </c>
      <c r="CI127" s="37">
        <v>6.6544214115642078E-3</v>
      </c>
      <c r="CJ127" s="37">
        <v>-7.2248301543895784E-4</v>
      </c>
      <c r="CK127" s="37">
        <v>5.9319383961252501E-3</v>
      </c>
      <c r="CL127" s="37"/>
      <c r="CM127" s="37">
        <v>-0.12350137016050561</v>
      </c>
      <c r="CN127" s="37"/>
      <c r="CO127" s="37">
        <v>0</v>
      </c>
      <c r="CP127" s="37">
        <v>0</v>
      </c>
      <c r="CQ127" s="37">
        <v>-0.95832968713401068</v>
      </c>
      <c r="CR127" s="37">
        <v>0</v>
      </c>
      <c r="CS127" s="37">
        <v>0</v>
      </c>
      <c r="CT127" s="37">
        <v>-0.95832968713401068</v>
      </c>
      <c r="CU127" s="37">
        <v>0</v>
      </c>
      <c r="CV127" s="37">
        <v>9999</v>
      </c>
      <c r="CW127" s="127">
        <v>0</v>
      </c>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row>
    <row r="128" spans="1:131">
      <c r="A128" s="1" t="s">
        <v>726</v>
      </c>
      <c r="B128" s="1"/>
      <c r="C128" s="37">
        <v>12</v>
      </c>
      <c r="D128" s="37">
        <v>12.452392196501037</v>
      </c>
      <c r="E128" s="37">
        <v>-0.11684398032505157</v>
      </c>
      <c r="F128" s="37">
        <v>11.796274117985698</v>
      </c>
      <c r="G128" s="37">
        <v>0</v>
      </c>
      <c r="H128" s="37">
        <v>-1.3818165049052982</v>
      </c>
      <c r="I128" s="37"/>
      <c r="J128" s="37"/>
      <c r="K128" s="37"/>
      <c r="L128" s="37">
        <v>13.386672313322151</v>
      </c>
      <c r="M128" s="37">
        <v>3.4972440175301935E-3</v>
      </c>
      <c r="N128" s="37">
        <v>3.4720024785282813E-3</v>
      </c>
      <c r="O128" s="37">
        <v>-0.11801242037559426</v>
      </c>
      <c r="P128" s="37">
        <v>0</v>
      </c>
      <c r="Q128" s="37">
        <v>0</v>
      </c>
      <c r="R128" s="37">
        <v>2.3523346396797775</v>
      </c>
      <c r="S128" s="37">
        <v>5.4358875642209785</v>
      </c>
      <c r="T128" s="37">
        <v>0</v>
      </c>
      <c r="U128" s="37">
        <v>9.584249931107772</v>
      </c>
      <c r="V128" s="37">
        <v>0.70777644707914189</v>
      </c>
      <c r="W128" s="37">
        <v>1.6514783765179977</v>
      </c>
      <c r="X128" s="37">
        <v>0</v>
      </c>
      <c r="Y128" s="37">
        <v>0</v>
      </c>
      <c r="Z128" s="37">
        <v>0</v>
      </c>
      <c r="AA128" s="37">
        <v>0</v>
      </c>
      <c r="AB128" s="37">
        <v>0</v>
      </c>
      <c r="AC128" s="37">
        <v>0</v>
      </c>
      <c r="AD128" s="37">
        <v>0</v>
      </c>
      <c r="AE128" s="37">
        <v>0</v>
      </c>
      <c r="AF128" s="37">
        <v>0</v>
      </c>
      <c r="AG128" s="37">
        <v>-1.3818165049052982</v>
      </c>
      <c r="AH128" s="37">
        <v>3.0601110867589192</v>
      </c>
      <c r="AI128" s="37">
        <v>7.0873659407389766</v>
      </c>
      <c r="AJ128" s="37">
        <v>0</v>
      </c>
      <c r="AK128" s="37">
        <v>8.2024334262024734</v>
      </c>
      <c r="AL128" s="37">
        <v>18.349910453700371</v>
      </c>
      <c r="AM128" s="37">
        <v>6.9145026683783097</v>
      </c>
      <c r="AN128" s="37">
        <v>1.2357458751617516</v>
      </c>
      <c r="AO128" s="37">
        <v>0</v>
      </c>
      <c r="AP128" s="37">
        <v>0</v>
      </c>
      <c r="AQ128" s="37">
        <v>8.1502485435400622</v>
      </c>
      <c r="AR128" s="37">
        <v>3.0601110867589192</v>
      </c>
      <c r="AS128" s="36">
        <v>2.6633832277547489</v>
      </c>
      <c r="AT128" s="37">
        <v>6.9145026683783097</v>
      </c>
      <c r="AU128" s="37">
        <v>1.4627550493658157</v>
      </c>
      <c r="AV128" s="37">
        <v>0</v>
      </c>
      <c r="AW128" s="37">
        <v>0</v>
      </c>
      <c r="AX128" s="37">
        <v>8.3772577177441256</v>
      </c>
      <c r="AY128" s="37">
        <v>7.0873659407389766</v>
      </c>
      <c r="AZ128" s="36">
        <v>1.1819987549380944</v>
      </c>
      <c r="BA128" s="37">
        <v>6.9145026683783097</v>
      </c>
      <c r="BB128" s="37">
        <v>2.6985009245275675</v>
      </c>
      <c r="BC128" s="37">
        <v>0</v>
      </c>
      <c r="BD128" s="37">
        <v>0</v>
      </c>
      <c r="BE128" s="37">
        <v>9.6130035929058764</v>
      </c>
      <c r="BF128" s="37">
        <v>10.147477027497896</v>
      </c>
      <c r="BG128" s="37">
        <v>40.944357715189497</v>
      </c>
      <c r="BH128" s="127">
        <v>0.94732942650240159</v>
      </c>
      <c r="BI128" s="37">
        <v>16.820336278768906</v>
      </c>
      <c r="BJ128" s="37">
        <v>38.956715973401081</v>
      </c>
      <c r="BK128" s="37">
        <v>0</v>
      </c>
      <c r="BL128" s="37">
        <v>45.085843167565223</v>
      </c>
      <c r="BM128" s="37">
        <v>100.86289541973521</v>
      </c>
      <c r="BN128" s="37">
        <v>6.9145026683783097</v>
      </c>
      <c r="BO128" s="37">
        <v>-0.91573725659472205</v>
      </c>
      <c r="BP128" s="37">
        <v>2.6985009245275675</v>
      </c>
      <c r="BQ128" s="37">
        <v>0</v>
      </c>
      <c r="BR128" s="37">
        <v>0</v>
      </c>
      <c r="BS128" s="37">
        <v>0</v>
      </c>
      <c r="BT128" s="37">
        <v>0</v>
      </c>
      <c r="BU128" s="37">
        <v>0</v>
      </c>
      <c r="BV128" s="37">
        <v>0</v>
      </c>
      <c r="BW128" s="37">
        <v>0</v>
      </c>
      <c r="BX128" s="37">
        <v>17.372472135008529</v>
      </c>
      <c r="BY128" s="37">
        <v>2.3592548235971398</v>
      </c>
      <c r="BZ128" s="37">
        <v>0</v>
      </c>
      <c r="CA128" s="37">
        <v>-1.3818165049052982</v>
      </c>
      <c r="CB128" s="37">
        <v>8.6972663363111558</v>
      </c>
      <c r="CC128" s="37">
        <v>18.349910453700371</v>
      </c>
      <c r="CD128" s="127">
        <v>0.53250219897303108</v>
      </c>
      <c r="CE128" s="37">
        <v>91.063681093838966</v>
      </c>
      <c r="CF128" s="37">
        <v>0.12717435006288438</v>
      </c>
      <c r="CG128" s="37">
        <v>-1.3807453183944534E-2</v>
      </c>
      <c r="CH128" s="37">
        <v>0.11336689687893985</v>
      </c>
      <c r="CI128" s="37">
        <v>6.3586693488280194E-3</v>
      </c>
      <c r="CJ128" s="37">
        <v>-6.9037265919722618E-4</v>
      </c>
      <c r="CK128" s="37">
        <v>5.6682966896307932E-3</v>
      </c>
      <c r="CL128" s="37"/>
      <c r="CM128" s="37">
        <v>-0.11801242037559426</v>
      </c>
      <c r="CN128" s="37"/>
      <c r="CO128" s="37">
        <v>0</v>
      </c>
      <c r="CP128" s="37">
        <v>0</v>
      </c>
      <c r="CQ128" s="37">
        <v>-0.91573725659472205</v>
      </c>
      <c r="CR128" s="37">
        <v>0</v>
      </c>
      <c r="CS128" s="37">
        <v>0</v>
      </c>
      <c r="CT128" s="37">
        <v>-0.91573725659472205</v>
      </c>
      <c r="CU128" s="37">
        <v>0</v>
      </c>
      <c r="CV128" s="37">
        <v>9999</v>
      </c>
      <c r="CW128" s="127">
        <v>0</v>
      </c>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row>
    <row r="129" spans="1:131">
      <c r="A129" s="1" t="s">
        <v>748</v>
      </c>
      <c r="B129" s="1"/>
      <c r="C129" s="37">
        <v>12</v>
      </c>
      <c r="D129" s="37">
        <v>6.9865165392984325</v>
      </c>
      <c r="E129" s="37">
        <v>-7.9624516775525511E-2</v>
      </c>
      <c r="F129" s="37">
        <v>19.103497090677337</v>
      </c>
      <c r="G129" s="37">
        <v>0</v>
      </c>
      <c r="H129" s="37">
        <v>-5.1719103459386684</v>
      </c>
      <c r="I129" s="37"/>
      <c r="J129" s="37"/>
      <c r="K129" s="37"/>
      <c r="L129" s="37">
        <v>7.5107020440195642</v>
      </c>
      <c r="M129" s="37">
        <v>1.962157373850039E-3</v>
      </c>
      <c r="N129" s="37">
        <v>1.9479954018424628E-3</v>
      </c>
      <c r="O129" s="37">
        <v>-8.0420762111800534E-2</v>
      </c>
      <c r="P129" s="37">
        <v>0</v>
      </c>
      <c r="Q129" s="37">
        <v>0</v>
      </c>
      <c r="R129" s="37">
        <v>3.8094925139884439</v>
      </c>
      <c r="S129" s="37">
        <v>8.803157779286737</v>
      </c>
      <c r="T129" s="37">
        <v>0</v>
      </c>
      <c r="U129" s="37">
        <v>15.521230588909562</v>
      </c>
      <c r="V129" s="37">
        <v>1.1462098254406403</v>
      </c>
      <c r="W129" s="37">
        <v>2.6744895926948273</v>
      </c>
      <c r="X129" s="37">
        <v>0</v>
      </c>
      <c r="Y129" s="37">
        <v>0</v>
      </c>
      <c r="Z129" s="37">
        <v>0</v>
      </c>
      <c r="AA129" s="37">
        <v>0</v>
      </c>
      <c r="AB129" s="37">
        <v>0</v>
      </c>
      <c r="AC129" s="37">
        <v>0</v>
      </c>
      <c r="AD129" s="37">
        <v>0</v>
      </c>
      <c r="AE129" s="37">
        <v>0</v>
      </c>
      <c r="AF129" s="37">
        <v>0</v>
      </c>
      <c r="AG129" s="37">
        <v>-5.1719103459386684</v>
      </c>
      <c r="AH129" s="37">
        <v>4.9557023394290844</v>
      </c>
      <c r="AI129" s="37">
        <v>11.477647371981565</v>
      </c>
      <c r="AJ129" s="37">
        <v>0</v>
      </c>
      <c r="AK129" s="37">
        <v>10.349320242970894</v>
      </c>
      <c r="AL129" s="37">
        <v>26.782669954381539</v>
      </c>
      <c r="AM129" s="37">
        <v>3.8794383032058852</v>
      </c>
      <c r="AN129" s="37">
        <v>0.69332533532097662</v>
      </c>
      <c r="AO129" s="37">
        <v>0</v>
      </c>
      <c r="AP129" s="37">
        <v>0</v>
      </c>
      <c r="AQ129" s="37">
        <v>4.5727636385268617</v>
      </c>
      <c r="AR129" s="37">
        <v>4.9557023394290844</v>
      </c>
      <c r="AS129" s="127">
        <v>0.92272766306897713</v>
      </c>
      <c r="AT129" s="37">
        <v>3.8794383032058852</v>
      </c>
      <c r="AU129" s="37">
        <v>0.82069069011560158</v>
      </c>
      <c r="AV129" s="37">
        <v>0</v>
      </c>
      <c r="AW129" s="37">
        <v>0</v>
      </c>
      <c r="AX129" s="37">
        <v>4.7001289933214867</v>
      </c>
      <c r="AY129" s="37">
        <v>11.477647371981565</v>
      </c>
      <c r="AZ129" s="127">
        <v>0.40950282239852698</v>
      </c>
      <c r="BA129" s="37">
        <v>3.8794383032058852</v>
      </c>
      <c r="BB129" s="37">
        <v>1.5140160254365782</v>
      </c>
      <c r="BC129" s="37">
        <v>0</v>
      </c>
      <c r="BD129" s="37">
        <v>0</v>
      </c>
      <c r="BE129" s="37">
        <v>5.3934543286424637</v>
      </c>
      <c r="BF129" s="37">
        <v>16.433349711410649</v>
      </c>
      <c r="BG129" s="37">
        <v>146.16352504956146</v>
      </c>
      <c r="BH129" s="127">
        <v>0.32820176186583971</v>
      </c>
      <c r="BI129" s="37">
        <v>48.550621513900502</v>
      </c>
      <c r="BJ129" s="37">
        <v>112.44559807264143</v>
      </c>
      <c r="BK129" s="37">
        <v>0</v>
      </c>
      <c r="BL129" s="37">
        <v>101.39146696621708</v>
      </c>
      <c r="BM129" s="37">
        <v>262.38768655275902</v>
      </c>
      <c r="BN129" s="37">
        <v>3.8794383032058852</v>
      </c>
      <c r="BO129" s="37">
        <v>-0.62403845150477988</v>
      </c>
      <c r="BP129" s="37">
        <v>1.5140160254365782</v>
      </c>
      <c r="BQ129" s="37">
        <v>0</v>
      </c>
      <c r="BR129" s="37">
        <v>0</v>
      </c>
      <c r="BS129" s="37">
        <v>0</v>
      </c>
      <c r="BT129" s="37">
        <v>0</v>
      </c>
      <c r="BU129" s="37">
        <v>0</v>
      </c>
      <c r="BV129" s="37">
        <v>0</v>
      </c>
      <c r="BW129" s="37">
        <v>0</v>
      </c>
      <c r="BX129" s="37">
        <v>28.133880882184741</v>
      </c>
      <c r="BY129" s="37">
        <v>3.8206994181354674</v>
      </c>
      <c r="BZ129" s="37">
        <v>0</v>
      </c>
      <c r="CA129" s="37">
        <v>-5.1719103459386684</v>
      </c>
      <c r="CB129" s="37">
        <v>4.7694158771376838</v>
      </c>
      <c r="CC129" s="37">
        <v>26.782669954381539</v>
      </c>
      <c r="CD129" s="127">
        <v>0.32430364083465879</v>
      </c>
      <c r="CE129" s="37">
        <v>253.66864707291808</v>
      </c>
      <c r="CF129" s="37">
        <v>7.1352209765649002E-2</v>
      </c>
      <c r="CG129" s="37">
        <v>-9.4092291670806634E-3</v>
      </c>
      <c r="CH129" s="37">
        <v>6.1942980598568342E-2</v>
      </c>
      <c r="CI129" s="37">
        <v>3.5675834709092925E-3</v>
      </c>
      <c r="CJ129" s="37">
        <v>-4.7046145835403299E-4</v>
      </c>
      <c r="CK129" s="37">
        <v>3.0971220125552597E-3</v>
      </c>
      <c r="CL129" s="37"/>
      <c r="CM129" s="37">
        <v>-8.0420762111800534E-2</v>
      </c>
      <c r="CN129" s="37"/>
      <c r="CO129" s="37">
        <v>0</v>
      </c>
      <c r="CP129" s="37">
        <v>0</v>
      </c>
      <c r="CQ129" s="37">
        <v>-0.62403845150477988</v>
      </c>
      <c r="CR129" s="37">
        <v>0</v>
      </c>
      <c r="CS129" s="37">
        <v>0</v>
      </c>
      <c r="CT129" s="37">
        <v>-0.62403845150477988</v>
      </c>
      <c r="CU129" s="37">
        <v>0</v>
      </c>
      <c r="CV129" s="37">
        <v>9999</v>
      </c>
      <c r="CW129" s="127">
        <v>0</v>
      </c>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row>
    <row r="130" spans="1:131">
      <c r="A130" s="1" t="s">
        <v>720</v>
      </c>
      <c r="B130" s="1"/>
      <c r="C130" s="37">
        <v>12</v>
      </c>
      <c r="D130" s="37">
        <v>6.6760046931073918</v>
      </c>
      <c r="E130" s="37">
        <v>-7.6085649363279939E-2</v>
      </c>
      <c r="F130" s="37">
        <v>24.313541751771158</v>
      </c>
      <c r="G130" s="37">
        <v>0</v>
      </c>
      <c r="H130" s="37">
        <v>-5.1719103459386684</v>
      </c>
      <c r="I130" s="37"/>
      <c r="J130" s="37"/>
      <c r="K130" s="37"/>
      <c r="L130" s="37">
        <v>7.1768930642853626</v>
      </c>
      <c r="M130" s="37">
        <v>1.8749503794567041E-3</v>
      </c>
      <c r="N130" s="37">
        <v>1.8614178284272426E-3</v>
      </c>
      <c r="O130" s="37">
        <v>-7.6846506017942739E-2</v>
      </c>
      <c r="P130" s="37">
        <v>0</v>
      </c>
      <c r="Q130" s="37">
        <v>0</v>
      </c>
      <c r="R130" s="37">
        <v>4.8484450178034741</v>
      </c>
      <c r="S130" s="37">
        <v>11.204018991819483</v>
      </c>
      <c r="T130" s="37">
        <v>0</v>
      </c>
      <c r="U130" s="37">
        <v>19.75429347679399</v>
      </c>
      <c r="V130" s="37">
        <v>1.4588125051062695</v>
      </c>
      <c r="W130" s="37">
        <v>3.4038958452479622</v>
      </c>
      <c r="X130" s="37">
        <v>0</v>
      </c>
      <c r="Y130" s="37">
        <v>0</v>
      </c>
      <c r="Z130" s="37">
        <v>0</v>
      </c>
      <c r="AA130" s="37">
        <v>0</v>
      </c>
      <c r="AB130" s="37">
        <v>0</v>
      </c>
      <c r="AC130" s="37">
        <v>0</v>
      </c>
      <c r="AD130" s="37">
        <v>0</v>
      </c>
      <c r="AE130" s="37">
        <v>0</v>
      </c>
      <c r="AF130" s="37">
        <v>0</v>
      </c>
      <c r="AG130" s="37">
        <v>-5.1719103459386684</v>
      </c>
      <c r="AH130" s="37">
        <v>6.3072575229097438</v>
      </c>
      <c r="AI130" s="37">
        <v>14.607914837067446</v>
      </c>
      <c r="AJ130" s="37">
        <v>0</v>
      </c>
      <c r="AK130" s="37">
        <v>14.582383130855321</v>
      </c>
      <c r="AL130" s="37">
        <v>35.497555490832511</v>
      </c>
      <c r="AM130" s="37">
        <v>3.7070188230634011</v>
      </c>
      <c r="AN130" s="37">
        <v>0.66251087597337732</v>
      </c>
      <c r="AO130" s="37">
        <v>0</v>
      </c>
      <c r="AP130" s="37">
        <v>0</v>
      </c>
      <c r="AQ130" s="37">
        <v>4.3695296990367787</v>
      </c>
      <c r="AR130" s="37">
        <v>6.3072575229097438</v>
      </c>
      <c r="AS130" s="127">
        <v>0.69277807084385101</v>
      </c>
      <c r="AT130" s="37">
        <v>3.7070188230634011</v>
      </c>
      <c r="AU130" s="37">
        <v>0.78421554833268603</v>
      </c>
      <c r="AV130" s="37">
        <v>0</v>
      </c>
      <c r="AW130" s="37">
        <v>0</v>
      </c>
      <c r="AX130" s="37">
        <v>4.4912343713960876</v>
      </c>
      <c r="AY130" s="37">
        <v>14.607914837067446</v>
      </c>
      <c r="AZ130" s="127">
        <v>0.30745211903889408</v>
      </c>
      <c r="BA130" s="37">
        <v>3.7070188230634011</v>
      </c>
      <c r="BB130" s="37">
        <v>1.4467264243060634</v>
      </c>
      <c r="BC130" s="37">
        <v>0</v>
      </c>
      <c r="BD130" s="37">
        <v>0</v>
      </c>
      <c r="BE130" s="37">
        <v>5.1537452473694652</v>
      </c>
      <c r="BF130" s="37">
        <v>20.915172359977191</v>
      </c>
      <c r="BG130" s="37">
        <v>199.6020165402318</v>
      </c>
      <c r="BH130" s="127">
        <v>0.24641179898816218</v>
      </c>
      <c r="BI130" s="37">
        <v>64.665732671791361</v>
      </c>
      <c r="BJ130" s="37">
        <v>149.76897840542091</v>
      </c>
      <c r="BK130" s="37">
        <v>0</v>
      </c>
      <c r="BL130" s="37">
        <v>149.50721226021901</v>
      </c>
      <c r="BM130" s="37">
        <v>363.94192333743132</v>
      </c>
      <c r="BN130" s="37">
        <v>3.7070188230634011</v>
      </c>
      <c r="BO130" s="37">
        <v>-0.59630340921567793</v>
      </c>
      <c r="BP130" s="37">
        <v>1.4467264243060634</v>
      </c>
      <c r="BQ130" s="37">
        <v>0</v>
      </c>
      <c r="BR130" s="37">
        <v>0</v>
      </c>
      <c r="BS130" s="37">
        <v>0</v>
      </c>
      <c r="BT130" s="37">
        <v>0</v>
      </c>
      <c r="BU130" s="37">
        <v>0</v>
      </c>
      <c r="BV130" s="37">
        <v>0</v>
      </c>
      <c r="BW130" s="37">
        <v>0</v>
      </c>
      <c r="BX130" s="37">
        <v>35.806757486416949</v>
      </c>
      <c r="BY130" s="37">
        <v>4.8627083503542323</v>
      </c>
      <c r="BZ130" s="37">
        <v>0</v>
      </c>
      <c r="CA130" s="37">
        <v>-5.1719103459386684</v>
      </c>
      <c r="CB130" s="37">
        <v>4.5574418381537862</v>
      </c>
      <c r="CC130" s="37">
        <v>35.497555490832511</v>
      </c>
      <c r="CD130" s="127">
        <v>0.2502232669347928</v>
      </c>
      <c r="CE130" s="37">
        <v>355.22288385759038</v>
      </c>
      <c r="CF130" s="37">
        <v>6.8181000442731232E-2</v>
      </c>
      <c r="CG130" s="37">
        <v>-8.9910412040992947E-3</v>
      </c>
      <c r="CH130" s="37">
        <v>5.9189959238631934E-2</v>
      </c>
      <c r="CI130" s="37">
        <v>3.4090242055355461E-3</v>
      </c>
      <c r="CJ130" s="37">
        <v>-4.4955206020496502E-4</v>
      </c>
      <c r="CK130" s="37">
        <v>2.9594721453305812E-3</v>
      </c>
      <c r="CL130" s="37"/>
      <c r="CM130" s="37">
        <v>-7.6846506017942739E-2</v>
      </c>
      <c r="CN130" s="37"/>
      <c r="CO130" s="37">
        <v>0</v>
      </c>
      <c r="CP130" s="37">
        <v>0</v>
      </c>
      <c r="CQ130" s="37">
        <v>-0.59630340921567793</v>
      </c>
      <c r="CR130" s="37">
        <v>0</v>
      </c>
      <c r="CS130" s="37">
        <v>0</v>
      </c>
      <c r="CT130" s="37">
        <v>-0.59630340921567793</v>
      </c>
      <c r="CU130" s="37">
        <v>0</v>
      </c>
      <c r="CV130" s="37">
        <v>9999</v>
      </c>
      <c r="CW130" s="127">
        <v>0</v>
      </c>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row>
    <row r="131" spans="1:131">
      <c r="A131" s="1"/>
      <c r="B131" s="1"/>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row>
    <row r="132" spans="1:131">
      <c r="A132" s="1"/>
      <c r="B132" s="1"/>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row>
    <row r="133" spans="1:131" ht="13.5" thickBot="1">
      <c r="A133" s="43" t="s">
        <v>358</v>
      </c>
      <c r="B133" s="44"/>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row>
    <row r="134" spans="1:131" ht="13.5" thickBot="1">
      <c r="A134" s="128" t="s">
        <v>359</v>
      </c>
      <c r="B134" s="129"/>
      <c r="C134" s="130"/>
      <c r="D134" s="130"/>
      <c r="E134" s="130"/>
      <c r="F134" s="130"/>
      <c r="G134" s="130"/>
      <c r="H134" s="130"/>
      <c r="I134" s="130"/>
      <c r="J134" s="130"/>
      <c r="K134" s="130"/>
      <c r="L134" s="50"/>
      <c r="M134" s="131"/>
      <c r="N134" s="132" t="s">
        <v>763</v>
      </c>
      <c r="O134" s="130"/>
      <c r="P134" s="130"/>
      <c r="Q134" s="130"/>
      <c r="R134" s="130"/>
      <c r="S134" s="130"/>
      <c r="T134" s="130"/>
      <c r="U134" s="130"/>
      <c r="V134" s="130"/>
      <c r="W134" s="130"/>
      <c r="X134" s="130"/>
      <c r="Y134" s="50"/>
      <c r="Z134" s="131"/>
      <c r="AA134" s="132" t="s">
        <v>764</v>
      </c>
      <c r="AB134" s="130"/>
      <c r="AC134" s="130"/>
      <c r="AD134" s="130"/>
      <c r="AE134" s="130"/>
      <c r="AF134" s="130"/>
      <c r="AG134" s="130"/>
      <c r="AH134" s="130"/>
      <c r="AI134" s="130"/>
      <c r="AJ134" s="130"/>
      <c r="AK134" s="130"/>
      <c r="AL134" s="50"/>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row>
    <row r="135" spans="1:131" ht="204">
      <c r="A135" s="51"/>
      <c r="B135" s="52" t="s">
        <v>360</v>
      </c>
      <c r="C135" s="53" t="s">
        <v>361</v>
      </c>
      <c r="D135" s="53" t="s">
        <v>37</v>
      </c>
      <c r="E135" s="53" t="s">
        <v>38</v>
      </c>
      <c r="F135" s="53" t="s">
        <v>39</v>
      </c>
      <c r="G135" s="53" t="s">
        <v>40</v>
      </c>
      <c r="H135" s="53" t="s">
        <v>41</v>
      </c>
      <c r="I135" s="53" t="s">
        <v>42</v>
      </c>
      <c r="J135" s="53" t="s">
        <v>43</v>
      </c>
      <c r="K135" s="53" t="s">
        <v>44</v>
      </c>
      <c r="L135" s="53" t="s">
        <v>45</v>
      </c>
      <c r="M135" s="53" t="s">
        <v>46</v>
      </c>
      <c r="N135" s="53" t="s">
        <v>47</v>
      </c>
      <c r="O135" s="53" t="s">
        <v>48</v>
      </c>
      <c r="P135" s="53" t="s">
        <v>49</v>
      </c>
      <c r="Q135" s="53" t="s">
        <v>50</v>
      </c>
      <c r="R135" s="53" t="s">
        <v>51</v>
      </c>
      <c r="S135" s="53" t="s">
        <v>52</v>
      </c>
      <c r="T135" s="53" t="s">
        <v>53</v>
      </c>
      <c r="U135" s="53" t="s">
        <v>54</v>
      </c>
      <c r="V135" s="53" t="s">
        <v>55</v>
      </c>
      <c r="W135" s="53" t="s">
        <v>56</v>
      </c>
      <c r="X135" s="53" t="s">
        <v>57</v>
      </c>
      <c r="Y135" s="53" t="s">
        <v>58</v>
      </c>
      <c r="Z135" s="53"/>
      <c r="AA135" s="53" t="s">
        <v>47</v>
      </c>
      <c r="AB135" s="53" t="s">
        <v>48</v>
      </c>
      <c r="AC135" s="53" t="s">
        <v>49</v>
      </c>
      <c r="AD135" s="53" t="s">
        <v>50</v>
      </c>
      <c r="AE135" s="53" t="s">
        <v>51</v>
      </c>
      <c r="AF135" s="53" t="s">
        <v>52</v>
      </c>
      <c r="AG135" s="53" t="s">
        <v>53</v>
      </c>
      <c r="AH135" s="53" t="s">
        <v>54</v>
      </c>
      <c r="AI135" s="53" t="s">
        <v>55</v>
      </c>
      <c r="AJ135" s="53" t="s">
        <v>56</v>
      </c>
      <c r="AK135" s="53" t="s">
        <v>57</v>
      </c>
      <c r="AL135" s="53" t="s">
        <v>58</v>
      </c>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row>
    <row r="136" spans="1:131">
      <c r="A136" s="1"/>
      <c r="B136" s="54" t="s">
        <v>362</v>
      </c>
      <c r="C136" s="133">
        <v>696.73967956444574</v>
      </c>
      <c r="D136" s="133">
        <v>176.83552537645514</v>
      </c>
      <c r="E136" s="133">
        <v>0</v>
      </c>
      <c r="F136" s="133">
        <v>176.83552537645514</v>
      </c>
      <c r="G136" s="133">
        <v>-198.04434160349061</v>
      </c>
      <c r="H136" s="133">
        <v>450.39136618321004</v>
      </c>
      <c r="I136" s="133">
        <v>2223.32565193664</v>
      </c>
      <c r="J136" s="133">
        <v>-2.5027090678305286</v>
      </c>
      <c r="K136" s="133">
        <v>-30.473883767669065</v>
      </c>
      <c r="L136" s="36">
        <v>3.4608723586150978</v>
      </c>
      <c r="M136" s="37">
        <v>5.8660959653455373</v>
      </c>
      <c r="N136" s="31">
        <v>49.850869716718663</v>
      </c>
      <c r="O136" s="31">
        <v>39.649120123731919</v>
      </c>
      <c r="P136" s="31">
        <v>40.058244119402815</v>
      </c>
      <c r="Q136" s="31">
        <v>32.670441412836311</v>
      </c>
      <c r="R136" s="31">
        <v>29.749386932990394</v>
      </c>
      <c r="S136" s="31">
        <v>30.568142467210976</v>
      </c>
      <c r="T136" s="31">
        <v>25.227594553183639</v>
      </c>
      <c r="U136" s="31">
        <v>28.775892315783221</v>
      </c>
      <c r="V136" s="31">
        <v>31.686604027320406</v>
      </c>
      <c r="W136" s="31">
        <v>46.243849526935094</v>
      </c>
      <c r="X136" s="31">
        <v>46.681618588140239</v>
      </c>
      <c r="Y136" s="31">
        <v>51.247178232382353</v>
      </c>
      <c r="Z136" s="31"/>
      <c r="AA136" s="31">
        <v>26.006331283595078</v>
      </c>
      <c r="AB136" s="31">
        <v>19.987098942026282</v>
      </c>
      <c r="AC136" s="31">
        <v>18.628681067315458</v>
      </c>
      <c r="AD136" s="31">
        <v>18.273820414647975</v>
      </c>
      <c r="AE136" s="31">
        <v>17.754510980473324</v>
      </c>
      <c r="AF136" s="31">
        <v>16.603589918385339</v>
      </c>
      <c r="AG136" s="31">
        <v>18.94146486165474</v>
      </c>
      <c r="AH136" s="31">
        <v>17.135344279959565</v>
      </c>
      <c r="AI136" s="31">
        <v>19.860933856712442</v>
      </c>
      <c r="AJ136" s="31">
        <v>19.744482673343185</v>
      </c>
      <c r="AK136" s="31">
        <v>24.866876356550929</v>
      </c>
      <c r="AL136" s="31">
        <v>26.52760291314528</v>
      </c>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row>
    <row r="137" spans="1:131">
      <c r="A137" s="1"/>
      <c r="B137" s="54" t="s">
        <v>363</v>
      </c>
      <c r="C137" s="133">
        <v>687.40625167996825</v>
      </c>
      <c r="D137" s="133">
        <v>171.66283943673895</v>
      </c>
      <c r="E137" s="133">
        <v>34.332567887347786</v>
      </c>
      <c r="F137" s="133">
        <v>205.99540732408673</v>
      </c>
      <c r="G137" s="133">
        <v>-168.85058332163649</v>
      </c>
      <c r="H137" s="133">
        <v>444.40550031300961</v>
      </c>
      <c r="I137" s="133">
        <v>2625.1139900879452</v>
      </c>
      <c r="J137" s="133">
        <v>0.9741852153185705</v>
      </c>
      <c r="K137" s="133">
        <v>-27.637975392887956</v>
      </c>
      <c r="L137" s="36">
        <v>3.1440587416414276</v>
      </c>
      <c r="M137" s="37">
        <v>5.7882309775532024</v>
      </c>
      <c r="N137" s="31">
        <v>4.5316238735366596</v>
      </c>
      <c r="O137" s="31">
        <v>3.6042480369639005</v>
      </c>
      <c r="P137" s="31">
        <v>3.6414388839151051</v>
      </c>
      <c r="Q137" s="31">
        <v>2.9698609694614353</v>
      </c>
      <c r="R137" s="31">
        <v>2.7043265807538379</v>
      </c>
      <c r="S137" s="31">
        <v>2.7787544121346803</v>
      </c>
      <c r="T137" s="31">
        <v>2.2932793429433351</v>
      </c>
      <c r="U137" s="31">
        <v>2.6158324085726061</v>
      </c>
      <c r="V137" s="31">
        <v>2.8804266023337037</v>
      </c>
      <c r="W137" s="31">
        <v>4.2037327274596228</v>
      </c>
      <c r="X137" s="31">
        <v>4.2435275141930564</v>
      </c>
      <c r="Y137" s="31">
        <v>4.6585533542129429</v>
      </c>
      <c r="Z137" s="31"/>
      <c r="AA137" s="31">
        <v>2.3640693207067289</v>
      </c>
      <c r="AB137" s="31">
        <v>1.8168993889799583</v>
      </c>
      <c r="AC137" s="31">
        <v>1.6934143042410252</v>
      </c>
      <c r="AD137" s="31">
        <v>1.6611561909012802</v>
      </c>
      <c r="AE137" s="31">
        <v>1.6139490901419244</v>
      </c>
      <c r="AF137" s="31">
        <v>1.5093262141288921</v>
      </c>
      <c r="AG137" s="31">
        <v>1.7218474793839633</v>
      </c>
      <c r="AH137" s="31">
        <v>1.5576646036787709</v>
      </c>
      <c r="AI137" s="31">
        <v>1.8054305276368376</v>
      </c>
      <c r="AJ137" s="31">
        <v>1.7948446950193433</v>
      </c>
      <c r="AK137" s="31">
        <v>2.2604887577284969</v>
      </c>
      <c r="AL137" s="31">
        <v>2.4114547921035272</v>
      </c>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row>
    <row r="138" spans="1:131">
      <c r="A138" s="1"/>
      <c r="B138" s="54" t="s">
        <v>364</v>
      </c>
      <c r="C138" s="134"/>
      <c r="D138" s="134"/>
      <c r="E138" s="134"/>
      <c r="F138" s="134"/>
      <c r="G138" s="134"/>
      <c r="H138" s="134"/>
      <c r="I138" s="134"/>
      <c r="J138" s="134"/>
      <c r="K138" s="134"/>
      <c r="L138" s="127"/>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row>
    <row r="139" spans="1:131">
      <c r="A139" s="1"/>
      <c r="B139" s="1" t="s">
        <v>78</v>
      </c>
      <c r="C139" s="37">
        <v>685.4852506626703</v>
      </c>
      <c r="D139" s="37">
        <v>170.34274621431578</v>
      </c>
      <c r="E139" s="37">
        <v>34.068549242863156</v>
      </c>
      <c r="F139" s="37">
        <v>204.41129545717894</v>
      </c>
      <c r="G139" s="37">
        <v>-169.60001757026336</v>
      </c>
      <c r="H139" s="37">
        <v>443.18281826571916</v>
      </c>
      <c r="I139" s="37">
        <v>2612.2268079055566</v>
      </c>
      <c r="J139" s="37">
        <v>0.89658624633202078</v>
      </c>
      <c r="K139" s="37">
        <v>-27.771137697261977</v>
      </c>
      <c r="L139" s="36">
        <v>3.1495064523028868</v>
      </c>
      <c r="M139" s="37">
        <v>5.7723454592880037</v>
      </c>
      <c r="N139" s="31">
        <v>49.045629129202233</v>
      </c>
      <c r="O139" s="31">
        <v>39.008668292813603</v>
      </c>
      <c r="P139" s="31">
        <v>39.411183712776328</v>
      </c>
      <c r="Q139" s="31">
        <v>32.142716107597145</v>
      </c>
      <c r="R139" s="31">
        <v>29.268845390820658</v>
      </c>
      <c r="S139" s="31">
        <v>30.074375575289984</v>
      </c>
      <c r="T139" s="31">
        <v>24.820093476972346</v>
      </c>
      <c r="U139" s="31">
        <v>28.311075622186003</v>
      </c>
      <c r="V139" s="31">
        <v>31.17477063728424</v>
      </c>
      <c r="W139" s="31">
        <v>45.496873099568944</v>
      </c>
      <c r="X139" s="31">
        <v>45.927570881615978</v>
      </c>
      <c r="Y139" s="31">
        <v>50.419383087725876</v>
      </c>
      <c r="Z139" s="31"/>
      <c r="AA139" s="31">
        <v>25.586251280960226</v>
      </c>
      <c r="AB139" s="31">
        <v>19.664247537702067</v>
      </c>
      <c r="AC139" s="31">
        <v>18.327772172996401</v>
      </c>
      <c r="AD139" s="31">
        <v>17.978643580813806</v>
      </c>
      <c r="AE139" s="31">
        <v>17.467722546605973</v>
      </c>
      <c r="AF139" s="31">
        <v>16.335392300635885</v>
      </c>
      <c r="AG139" s="31">
        <v>18.63550357391204</v>
      </c>
      <c r="AH139" s="31">
        <v>16.85855723945858</v>
      </c>
      <c r="AI139" s="31">
        <v>19.540120395717992</v>
      </c>
      <c r="AJ139" s="31">
        <v>19.425550247119965</v>
      </c>
      <c r="AK139" s="31">
        <v>24.46520195767215</v>
      </c>
      <c r="AL139" s="31">
        <v>26.099102815221823</v>
      </c>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row>
    <row r="140" spans="1:131">
      <c r="A140" s="1"/>
      <c r="B140" s="1" t="s">
        <v>81</v>
      </c>
      <c r="C140" s="135">
        <v>0</v>
      </c>
      <c r="D140" s="135">
        <v>0</v>
      </c>
      <c r="E140" s="135">
        <v>0</v>
      </c>
      <c r="F140" s="135">
        <v>0</v>
      </c>
      <c r="G140" s="135">
        <v>0</v>
      </c>
      <c r="H140" s="135">
        <v>0</v>
      </c>
      <c r="I140" s="135">
        <v>0</v>
      </c>
      <c r="J140" s="135">
        <v>0</v>
      </c>
      <c r="K140" s="135">
        <v>0</v>
      </c>
      <c r="L140" s="136">
        <v>0</v>
      </c>
      <c r="M140" s="135">
        <v>0</v>
      </c>
      <c r="N140" s="135">
        <v>0</v>
      </c>
      <c r="O140" s="135">
        <v>0</v>
      </c>
      <c r="P140" s="135">
        <v>0</v>
      </c>
      <c r="Q140" s="135">
        <v>0</v>
      </c>
      <c r="R140" s="135">
        <v>0</v>
      </c>
      <c r="S140" s="135">
        <v>0</v>
      </c>
      <c r="T140" s="135">
        <v>0</v>
      </c>
      <c r="U140" s="135">
        <v>0</v>
      </c>
      <c r="V140" s="135">
        <v>0</v>
      </c>
      <c r="W140" s="135">
        <v>0</v>
      </c>
      <c r="X140" s="135">
        <v>0</v>
      </c>
      <c r="Y140" s="135">
        <v>0</v>
      </c>
      <c r="Z140" s="135"/>
      <c r="AA140" s="135">
        <v>0</v>
      </c>
      <c r="AB140" s="135">
        <v>0</v>
      </c>
      <c r="AC140" s="135">
        <v>0</v>
      </c>
      <c r="AD140" s="135">
        <v>0</v>
      </c>
      <c r="AE140" s="135">
        <v>0</v>
      </c>
      <c r="AF140" s="135">
        <v>0</v>
      </c>
      <c r="AG140" s="135">
        <v>0</v>
      </c>
      <c r="AH140" s="135">
        <v>0</v>
      </c>
      <c r="AI140" s="135">
        <v>0</v>
      </c>
      <c r="AJ140" s="135">
        <v>0</v>
      </c>
      <c r="AK140" s="135">
        <v>0</v>
      </c>
      <c r="AL140" s="135">
        <v>0</v>
      </c>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row>
    <row r="141" spans="1:131">
      <c r="A141" s="1"/>
      <c r="B141" s="1" t="s">
        <v>84</v>
      </c>
      <c r="C141" s="37">
        <v>1.9210010172979759</v>
      </c>
      <c r="D141" s="37">
        <v>1.3200932224231732</v>
      </c>
      <c r="E141" s="37">
        <v>0.26401864448463463</v>
      </c>
      <c r="F141" s="37">
        <v>1.5841118669078078</v>
      </c>
      <c r="G141" s="37">
        <v>0.74943424862686059</v>
      </c>
      <c r="H141" s="37">
        <v>1.2226820472904469</v>
      </c>
      <c r="I141" s="37">
        <v>7223.7441985486957</v>
      </c>
      <c r="J141" s="37">
        <v>28.664409336974281</v>
      </c>
      <c r="K141" s="37">
        <v>19.879331870717266</v>
      </c>
      <c r="L141" s="36">
        <v>1.2001111462563916</v>
      </c>
      <c r="M141" s="37">
        <v>1.5885518265199343E-2</v>
      </c>
      <c r="N141" s="31">
        <v>0.13744526721783706</v>
      </c>
      <c r="O141" s="31">
        <v>0.10931772988768557</v>
      </c>
      <c r="P141" s="31">
        <v>0.11044573742756919</v>
      </c>
      <c r="Q141" s="31">
        <v>9.0076614021560725E-2</v>
      </c>
      <c r="R141" s="31">
        <v>8.2022890669856893E-2</v>
      </c>
      <c r="S141" s="31">
        <v>8.4280305110698436E-2</v>
      </c>
      <c r="T141" s="31">
        <v>6.955572679733403E-2</v>
      </c>
      <c r="U141" s="31">
        <v>7.9338840651120859E-2</v>
      </c>
      <c r="V141" s="31">
        <v>8.7364047658735955E-2</v>
      </c>
      <c r="W141" s="31">
        <v>0.12750024807048468</v>
      </c>
      <c r="X141" s="31">
        <v>0.12870723374473589</v>
      </c>
      <c r="Y141" s="31">
        <v>0.14129506960131633</v>
      </c>
      <c r="Z141" s="31"/>
      <c r="AA141" s="31">
        <v>7.1702804242762208E-2</v>
      </c>
      <c r="AB141" s="31">
        <v>5.5107005566942716E-2</v>
      </c>
      <c r="AC141" s="31">
        <v>5.1361672559833739E-2</v>
      </c>
      <c r="AD141" s="31">
        <v>5.0383276044223477E-2</v>
      </c>
      <c r="AE141" s="31">
        <v>4.8951473061557747E-2</v>
      </c>
      <c r="AF141" s="31">
        <v>4.5778235486682146E-2</v>
      </c>
      <c r="AG141" s="31">
        <v>5.2224057758701252E-2</v>
      </c>
      <c r="AH141" s="31">
        <v>4.7244350736749853E-2</v>
      </c>
      <c r="AI141" s="31">
        <v>5.4759152180170065E-2</v>
      </c>
      <c r="AJ141" s="31">
        <v>5.4438081271939699E-2</v>
      </c>
      <c r="AK141" s="31">
        <v>6.8561180278722517E-2</v>
      </c>
      <c r="AL141" s="31">
        <v>7.3140017250754669E-2</v>
      </c>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row>
    <row r="142" spans="1:131">
      <c r="A142" s="1"/>
      <c r="B142" s="1" t="s">
        <v>87</v>
      </c>
      <c r="C142" s="135">
        <v>0</v>
      </c>
      <c r="D142" s="135">
        <v>0</v>
      </c>
      <c r="E142" s="135">
        <v>0</v>
      </c>
      <c r="F142" s="135">
        <v>0</v>
      </c>
      <c r="G142" s="135">
        <v>0</v>
      </c>
      <c r="H142" s="135">
        <v>0</v>
      </c>
      <c r="I142" s="135">
        <v>0</v>
      </c>
      <c r="J142" s="135">
        <v>0</v>
      </c>
      <c r="K142" s="135">
        <v>0</v>
      </c>
      <c r="L142" s="136">
        <v>0</v>
      </c>
      <c r="M142" s="135">
        <v>0</v>
      </c>
      <c r="N142" s="135">
        <v>0</v>
      </c>
      <c r="O142" s="135">
        <v>0</v>
      </c>
      <c r="P142" s="135">
        <v>0</v>
      </c>
      <c r="Q142" s="135">
        <v>0</v>
      </c>
      <c r="R142" s="135">
        <v>0</v>
      </c>
      <c r="S142" s="135">
        <v>0</v>
      </c>
      <c r="T142" s="135">
        <v>0</v>
      </c>
      <c r="U142" s="135">
        <v>0</v>
      </c>
      <c r="V142" s="135">
        <v>0</v>
      </c>
      <c r="W142" s="135">
        <v>0</v>
      </c>
      <c r="X142" s="135">
        <v>0</v>
      </c>
      <c r="Y142" s="135">
        <v>0</v>
      </c>
      <c r="Z142" s="135"/>
      <c r="AA142" s="135">
        <v>0</v>
      </c>
      <c r="AB142" s="135">
        <v>0</v>
      </c>
      <c r="AC142" s="135">
        <v>0</v>
      </c>
      <c r="AD142" s="135">
        <v>0</v>
      </c>
      <c r="AE142" s="135">
        <v>0</v>
      </c>
      <c r="AF142" s="135">
        <v>0</v>
      </c>
      <c r="AG142" s="135">
        <v>0</v>
      </c>
      <c r="AH142" s="135">
        <v>0</v>
      </c>
      <c r="AI142" s="135">
        <v>0</v>
      </c>
      <c r="AJ142" s="135">
        <v>0</v>
      </c>
      <c r="AK142" s="135">
        <v>0</v>
      </c>
      <c r="AL142" s="135">
        <v>0</v>
      </c>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row>
    <row r="143" spans="1:131">
      <c r="A143" s="1"/>
      <c r="B143" s="1" t="s">
        <v>90</v>
      </c>
      <c r="C143" s="37">
        <v>7.4978046901704554</v>
      </c>
      <c r="D143" s="37">
        <v>3.4925672929957736</v>
      </c>
      <c r="E143" s="37">
        <v>0.69851345859915481</v>
      </c>
      <c r="F143" s="37">
        <v>4.191080751594928</v>
      </c>
      <c r="G143" s="37">
        <v>4.821694988712542</v>
      </c>
      <c r="H143" s="37">
        <v>4.8175252472340242</v>
      </c>
      <c r="I143" s="37">
        <v>4896.6155963095534</v>
      </c>
      <c r="J143" s="37">
        <v>14.651820884578129</v>
      </c>
      <c r="K143" s="37">
        <v>38.047469279788793</v>
      </c>
      <c r="L143" s="127">
        <v>0.99934936379134165</v>
      </c>
      <c r="M143" s="37">
        <v>6.2685492561143794E-2</v>
      </c>
      <c r="N143" s="31">
        <v>0.53645873162376279</v>
      </c>
      <c r="O143" s="31">
        <v>0.42667493691573455</v>
      </c>
      <c r="P143" s="31">
        <v>0.43107763121257736</v>
      </c>
      <c r="Q143" s="31">
        <v>0.35157548226366747</v>
      </c>
      <c r="R143" s="31">
        <v>0.32014122263757089</v>
      </c>
      <c r="S143" s="31">
        <v>0.32895207303785196</v>
      </c>
      <c r="T143" s="31">
        <v>0.27148098825205935</v>
      </c>
      <c r="U143" s="31">
        <v>0.30966518299057599</v>
      </c>
      <c r="V143" s="31">
        <v>0.34098814128131166</v>
      </c>
      <c r="W143" s="31">
        <v>0.49764260891720863</v>
      </c>
      <c r="X143" s="31">
        <v>0.50235356053455782</v>
      </c>
      <c r="Y143" s="31">
        <v>0.55148478632501485</v>
      </c>
      <c r="Z143" s="31"/>
      <c r="AA143" s="31">
        <v>0.27986118544900518</v>
      </c>
      <c r="AB143" s="31">
        <v>0.21508659343774925</v>
      </c>
      <c r="AC143" s="31">
        <v>0.20046829020204826</v>
      </c>
      <c r="AD143" s="31">
        <v>0.19664953845879962</v>
      </c>
      <c r="AE143" s="31">
        <v>0.19106110876919372</v>
      </c>
      <c r="AF143" s="31">
        <v>0.17867573501994241</v>
      </c>
      <c r="AG143" s="31">
        <v>0.20383424145901183</v>
      </c>
      <c r="AH143" s="31">
        <v>0.18439808794911994</v>
      </c>
      <c r="AI143" s="31">
        <v>0.21372889673100612</v>
      </c>
      <c r="AJ143" s="31">
        <v>0.21247573395809255</v>
      </c>
      <c r="AK143" s="31">
        <v>0.26759920188927711</v>
      </c>
      <c r="AL143" s="31">
        <v>0.28547073085531477</v>
      </c>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row>
    <row r="144" spans="1:131">
      <c r="A144" s="1"/>
      <c r="B144" s="1" t="s">
        <v>93</v>
      </c>
      <c r="C144" s="37">
        <v>1.835623194306955</v>
      </c>
      <c r="D144" s="37">
        <v>1.6801186467204023</v>
      </c>
      <c r="E144" s="37">
        <v>0.33602372934408048</v>
      </c>
      <c r="F144" s="37">
        <v>2.016142376064483</v>
      </c>
      <c r="G144" s="37">
        <v>1.3516518047243213</v>
      </c>
      <c r="H144" s="37">
        <v>1.1683406229664273</v>
      </c>
      <c r="I144" s="37">
        <v>9621.4774737540774</v>
      </c>
      <c r="J144" s="37">
        <v>43.102137261310219</v>
      </c>
      <c r="K144" s="37">
        <v>45.354656455601045</v>
      </c>
      <c r="L144" s="127">
        <v>0.93807418020603051</v>
      </c>
      <c r="M144" s="37">
        <v>1.5179495231190485E-2</v>
      </c>
      <c r="N144" s="31">
        <v>0.13133658867482209</v>
      </c>
      <c r="O144" s="31">
        <v>0.10445916411489954</v>
      </c>
      <c r="P144" s="31">
        <v>0.1055370379863439</v>
      </c>
      <c r="Q144" s="31">
        <v>8.6073208953935804E-2</v>
      </c>
      <c r="R144" s="31">
        <v>7.837742886230771E-2</v>
      </c>
      <c r="S144" s="31">
        <v>8.0534513772445179E-2</v>
      </c>
      <c r="T144" s="31">
        <v>6.6464361161896968E-2</v>
      </c>
      <c r="U144" s="31">
        <v>7.5812669955515485E-2</v>
      </c>
      <c r="V144" s="31">
        <v>8.3481201096125474E-2</v>
      </c>
      <c r="W144" s="31">
        <v>0.12183357037846314</v>
      </c>
      <c r="X144" s="31">
        <v>0.12298691224496987</v>
      </c>
      <c r="Y144" s="31">
        <v>0.13501528873014673</v>
      </c>
      <c r="Z144" s="31"/>
      <c r="AA144" s="31">
        <v>6.851601294308389E-2</v>
      </c>
      <c r="AB144" s="31">
        <v>5.2657805319523042E-2</v>
      </c>
      <c r="AC144" s="31">
        <v>4.9078931557174459E-2</v>
      </c>
      <c r="AD144" s="31">
        <v>4.8144019331146884E-2</v>
      </c>
      <c r="AE144" s="31">
        <v>4.6775852036599626E-2</v>
      </c>
      <c r="AF144" s="31">
        <v>4.3743647242829607E-2</v>
      </c>
      <c r="AG144" s="31">
        <v>4.99029885249812E-2</v>
      </c>
      <c r="AH144" s="31">
        <v>4.5144601815116529E-2</v>
      </c>
      <c r="AI144" s="31">
        <v>5.2325412083273619E-2</v>
      </c>
      <c r="AJ144" s="31">
        <v>5.2018610993186824E-2</v>
      </c>
      <c r="AK144" s="31">
        <v>6.5514016710779291E-2</v>
      </c>
      <c r="AL144" s="31">
        <v>6.98893498173878E-2</v>
      </c>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row>
    <row r="145" spans="1:131">
      <c r="A145" s="1"/>
      <c r="B145" s="1" t="s">
        <v>96</v>
      </c>
      <c r="C145" s="37">
        <v>7.1645689261628798</v>
      </c>
      <c r="D145" s="37">
        <v>4.4450856456309848</v>
      </c>
      <c r="E145" s="37">
        <v>0.88901712912619701</v>
      </c>
      <c r="F145" s="37">
        <v>5.3341027747571816</v>
      </c>
      <c r="G145" s="37">
        <v>6.4149804506536565</v>
      </c>
      <c r="H145" s="37">
        <v>4.6034130140236211</v>
      </c>
      <c r="I145" s="37">
        <v>6521.9192931818579</v>
      </c>
      <c r="J145" s="37">
        <v>24.438435939936909</v>
      </c>
      <c r="K145" s="37">
        <v>56.611757463143533</v>
      </c>
      <c r="L145" s="127">
        <v>0.7728958770817479</v>
      </c>
      <c r="M145" s="37">
        <v>5.9899470669537443E-2</v>
      </c>
      <c r="N145" s="31">
        <v>0.5126161213293734</v>
      </c>
      <c r="O145" s="31">
        <v>0.40771160638614634</v>
      </c>
      <c r="P145" s="31">
        <v>0.41191862538090729</v>
      </c>
      <c r="Q145" s="31">
        <v>0.33594990527417118</v>
      </c>
      <c r="R145" s="31">
        <v>0.3059127238536789</v>
      </c>
      <c r="S145" s="31">
        <v>0.31433198090283632</v>
      </c>
      <c r="T145" s="31">
        <v>0.25941516655196784</v>
      </c>
      <c r="U145" s="31">
        <v>0.2959022859687726</v>
      </c>
      <c r="V145" s="31">
        <v>0.32583311277992005</v>
      </c>
      <c r="W145" s="31">
        <v>0.47552515963199937</v>
      </c>
      <c r="X145" s="31">
        <v>0.48002673562191084</v>
      </c>
      <c r="Y145" s="31">
        <v>0.52697435137723647</v>
      </c>
      <c r="Z145" s="31"/>
      <c r="AA145" s="31">
        <v>0.26742291054016054</v>
      </c>
      <c r="AB145" s="31">
        <v>0.20552718928496042</v>
      </c>
      <c r="AC145" s="31">
        <v>0.19155858841529055</v>
      </c>
      <c r="AD145" s="31">
        <v>0.18790955897174189</v>
      </c>
      <c r="AE145" s="31">
        <v>0.18256950393500734</v>
      </c>
      <c r="AF145" s="31">
        <v>0.17073459124127832</v>
      </c>
      <c r="AG145" s="31">
        <v>0.19477494183861133</v>
      </c>
      <c r="AH145" s="31">
        <v>0.17620261737360352</v>
      </c>
      <c r="AI145" s="31">
        <v>0.20422983465407252</v>
      </c>
      <c r="AJ145" s="31">
        <v>0.20303236800439955</v>
      </c>
      <c r="AK145" s="31">
        <v>0.25570590402753146</v>
      </c>
      <c r="AL145" s="31">
        <v>0.27278314281730076</v>
      </c>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row>
    <row r="146" spans="1:131">
      <c r="A146" s="1"/>
      <c r="B146" s="1" t="s">
        <v>99</v>
      </c>
      <c r="C146" s="37">
        <v>14.009308234872018</v>
      </c>
      <c r="D146" s="37">
        <v>9.2685010927030476</v>
      </c>
      <c r="E146" s="37">
        <v>1.8537002185406095</v>
      </c>
      <c r="F146" s="37">
        <v>11.122201311243657</v>
      </c>
      <c r="G146" s="37">
        <v>14.121683248284867</v>
      </c>
      <c r="H146" s="37">
        <v>9.1017903519535359</v>
      </c>
      <c r="I146" s="37">
        <v>6954.696252879221</v>
      </c>
      <c r="J146" s="37">
        <v>27.044362153934426</v>
      </c>
      <c r="K146" s="37">
        <v>64.372768585347757</v>
      </c>
      <c r="L146" s="127">
        <v>0.69505862549913056</v>
      </c>
      <c r="M146" s="37">
        <v>0.118639775803542</v>
      </c>
      <c r="N146" s="31">
        <v>1.0023488257113993</v>
      </c>
      <c r="O146" s="31">
        <v>0.79722278111397538</v>
      </c>
      <c r="P146" s="31">
        <v>0.80544901586095996</v>
      </c>
      <c r="Q146" s="31">
        <v>0.65690285388635883</v>
      </c>
      <c r="R146" s="31">
        <v>0.59816936449388325</v>
      </c>
      <c r="S146" s="31">
        <v>0.61463203912592634</v>
      </c>
      <c r="T146" s="31">
        <v>0.50724992200941221</v>
      </c>
      <c r="U146" s="31">
        <v>0.57859535922699556</v>
      </c>
      <c r="V146" s="31">
        <v>0.63712088711894432</v>
      </c>
      <c r="W146" s="31">
        <v>0.92982265972689038</v>
      </c>
      <c r="X146" s="31">
        <v>0.93862485930585982</v>
      </c>
      <c r="Y146" s="31">
        <v>1.0304243278833694</v>
      </c>
      <c r="Z146" s="31"/>
      <c r="AA146" s="31">
        <v>0.52290794064984647</v>
      </c>
      <c r="AB146" s="31">
        <v>0.40187955130497377</v>
      </c>
      <c r="AC146" s="31">
        <v>0.37456591426555569</v>
      </c>
      <c r="AD146" s="31">
        <v>0.36743074971348882</v>
      </c>
      <c r="AE146" s="31">
        <v>0.35698902212711459</v>
      </c>
      <c r="AF146" s="31">
        <v>0.33384751262836426</v>
      </c>
      <c r="AG146" s="31">
        <v>0.38085504163162015</v>
      </c>
      <c r="AH146" s="31">
        <v>0.34453946971797317</v>
      </c>
      <c r="AI146" s="31">
        <v>0.39934275654434592</v>
      </c>
      <c r="AJ146" s="31">
        <v>0.39700127870120755</v>
      </c>
      <c r="AK146" s="31">
        <v>0.49999698012771288</v>
      </c>
      <c r="AL146" s="31">
        <v>0.53338912199583788</v>
      </c>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row>
    <row r="147" spans="1:131">
      <c r="A147" s="1"/>
      <c r="B147" s="1" t="s">
        <v>102</v>
      </c>
      <c r="C147" s="135">
        <v>0</v>
      </c>
      <c r="D147" s="135">
        <v>0</v>
      </c>
      <c r="E147" s="135">
        <v>0</v>
      </c>
      <c r="F147" s="135">
        <v>0</v>
      </c>
      <c r="G147" s="135">
        <v>0</v>
      </c>
      <c r="H147" s="135">
        <v>0</v>
      </c>
      <c r="I147" s="135">
        <v>0</v>
      </c>
      <c r="J147" s="135">
        <v>0</v>
      </c>
      <c r="K147" s="135">
        <v>0</v>
      </c>
      <c r="L147" s="136">
        <v>0</v>
      </c>
      <c r="M147" s="135">
        <v>0</v>
      </c>
      <c r="N147" s="135">
        <v>0</v>
      </c>
      <c r="O147" s="135">
        <v>0</v>
      </c>
      <c r="P147" s="135">
        <v>0</v>
      </c>
      <c r="Q147" s="135">
        <v>0</v>
      </c>
      <c r="R147" s="135">
        <v>0</v>
      </c>
      <c r="S147" s="135">
        <v>0</v>
      </c>
      <c r="T147" s="135">
        <v>0</v>
      </c>
      <c r="U147" s="135">
        <v>0</v>
      </c>
      <c r="V147" s="135">
        <v>0</v>
      </c>
      <c r="W147" s="135">
        <v>0</v>
      </c>
      <c r="X147" s="135">
        <v>0</v>
      </c>
      <c r="Y147" s="135">
        <v>0</v>
      </c>
      <c r="Z147" s="135"/>
      <c r="AA147" s="135">
        <v>0</v>
      </c>
      <c r="AB147" s="135">
        <v>0</v>
      </c>
      <c r="AC147" s="135">
        <v>0</v>
      </c>
      <c r="AD147" s="135">
        <v>0</v>
      </c>
      <c r="AE147" s="135">
        <v>0</v>
      </c>
      <c r="AF147" s="135">
        <v>0</v>
      </c>
      <c r="AG147" s="135">
        <v>0</v>
      </c>
      <c r="AH147" s="135">
        <v>0</v>
      </c>
      <c r="AI147" s="135">
        <v>0</v>
      </c>
      <c r="AJ147" s="135">
        <v>0</v>
      </c>
      <c r="AK147" s="135">
        <v>0</v>
      </c>
      <c r="AL147" s="135">
        <v>0</v>
      </c>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row>
    <row r="148" spans="1:131">
      <c r="A148" s="1"/>
      <c r="B148" s="1" t="s">
        <v>105</v>
      </c>
      <c r="C148" s="135">
        <v>0</v>
      </c>
      <c r="D148" s="135">
        <v>0</v>
      </c>
      <c r="E148" s="135">
        <v>0</v>
      </c>
      <c r="F148" s="135">
        <v>0</v>
      </c>
      <c r="G148" s="135">
        <v>0</v>
      </c>
      <c r="H148" s="135">
        <v>0</v>
      </c>
      <c r="I148" s="135">
        <v>0</v>
      </c>
      <c r="J148" s="135">
        <v>0</v>
      </c>
      <c r="K148" s="135">
        <v>0</v>
      </c>
      <c r="L148" s="136">
        <v>0</v>
      </c>
      <c r="M148" s="135">
        <v>0</v>
      </c>
      <c r="N148" s="135">
        <v>0</v>
      </c>
      <c r="O148" s="135">
        <v>0</v>
      </c>
      <c r="P148" s="135">
        <v>0</v>
      </c>
      <c r="Q148" s="135">
        <v>0</v>
      </c>
      <c r="R148" s="135">
        <v>0</v>
      </c>
      <c r="S148" s="135">
        <v>0</v>
      </c>
      <c r="T148" s="135">
        <v>0</v>
      </c>
      <c r="U148" s="135">
        <v>0</v>
      </c>
      <c r="V148" s="135">
        <v>0</v>
      </c>
      <c r="W148" s="135">
        <v>0</v>
      </c>
      <c r="X148" s="135">
        <v>0</v>
      </c>
      <c r="Y148" s="135">
        <v>0</v>
      </c>
      <c r="Z148" s="135"/>
      <c r="AA148" s="135">
        <v>0</v>
      </c>
      <c r="AB148" s="135">
        <v>0</v>
      </c>
      <c r="AC148" s="135">
        <v>0</v>
      </c>
      <c r="AD148" s="135">
        <v>0</v>
      </c>
      <c r="AE148" s="135">
        <v>0</v>
      </c>
      <c r="AF148" s="135">
        <v>0</v>
      </c>
      <c r="AG148" s="135">
        <v>0</v>
      </c>
      <c r="AH148" s="135">
        <v>0</v>
      </c>
      <c r="AI148" s="135">
        <v>0</v>
      </c>
      <c r="AJ148" s="135">
        <v>0</v>
      </c>
      <c r="AK148" s="135">
        <v>0</v>
      </c>
      <c r="AL148" s="135">
        <v>0</v>
      </c>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row>
    <row r="149" spans="1:131">
      <c r="A149" s="1"/>
      <c r="B149" s="1" t="s">
        <v>108</v>
      </c>
      <c r="C149" s="37">
        <v>13.386672313322151</v>
      </c>
      <c r="D149" s="37">
        <v>11.796274117985698</v>
      </c>
      <c r="E149" s="37">
        <v>2.3592548235971398</v>
      </c>
      <c r="F149" s="37">
        <v>14.155528941582837</v>
      </c>
      <c r="G149" s="37">
        <v>18.349910453700371</v>
      </c>
      <c r="H149" s="37">
        <v>8.6972663363111558</v>
      </c>
      <c r="I149" s="37">
        <v>9263.1260873444171</v>
      </c>
      <c r="J149" s="37">
        <v>40.944357715189497</v>
      </c>
      <c r="K149" s="37">
        <v>91.063681093838966</v>
      </c>
      <c r="L149" s="127">
        <v>0.53250219897303108</v>
      </c>
      <c r="M149" s="37">
        <v>0.11336689687893985</v>
      </c>
      <c r="N149" s="31">
        <v>0.95779998901311492</v>
      </c>
      <c r="O149" s="31">
        <v>0.76179065750890984</v>
      </c>
      <c r="P149" s="31">
        <v>0.76965128182269515</v>
      </c>
      <c r="Q149" s="31">
        <v>0.62770717149140953</v>
      </c>
      <c r="R149" s="31">
        <v>0.57158405940526624</v>
      </c>
      <c r="S149" s="31">
        <v>0.58731505960921848</v>
      </c>
      <c r="T149" s="31">
        <v>0.48470548103121619</v>
      </c>
      <c r="U149" s="31">
        <v>0.552880009928018</v>
      </c>
      <c r="V149" s="31">
        <v>0.60880440324699125</v>
      </c>
      <c r="W149" s="31">
        <v>0.888497208183473</v>
      </c>
      <c r="X149" s="31">
        <v>0.89690819889226614</v>
      </c>
      <c r="Y149" s="31">
        <v>0.98462769108855308</v>
      </c>
      <c r="Z149" s="31"/>
      <c r="AA149" s="31">
        <v>0.49966758773207559</v>
      </c>
      <c r="AB149" s="31">
        <v>0.38401823791364159</v>
      </c>
      <c r="AC149" s="31">
        <v>0.35791854029819764</v>
      </c>
      <c r="AD149" s="31">
        <v>0.35110049417066713</v>
      </c>
      <c r="AE149" s="31">
        <v>0.34112284336590948</v>
      </c>
      <c r="AF149" s="31">
        <v>0.31900984540043698</v>
      </c>
      <c r="AG149" s="31">
        <v>0.36392815089243707</v>
      </c>
      <c r="AH149" s="31">
        <v>0.32922660439717438</v>
      </c>
      <c r="AI149" s="31">
        <v>0.38159418958681945</v>
      </c>
      <c r="AJ149" s="31">
        <v>0.37935677742559831</v>
      </c>
      <c r="AK149" s="31">
        <v>0.47777489212203672</v>
      </c>
      <c r="AL149" s="31">
        <v>0.50968293879602289</v>
      </c>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row>
    <row r="150" spans="1:131">
      <c r="A150" s="1"/>
      <c r="B150" s="1" t="s">
        <v>111</v>
      </c>
      <c r="C150" s="135">
        <v>0</v>
      </c>
      <c r="D150" s="135">
        <v>0</v>
      </c>
      <c r="E150" s="135">
        <v>0</v>
      </c>
      <c r="F150" s="135">
        <v>0</v>
      </c>
      <c r="G150" s="135">
        <v>0</v>
      </c>
      <c r="H150" s="135">
        <v>0</v>
      </c>
      <c r="I150" s="135">
        <v>0</v>
      </c>
      <c r="J150" s="135">
        <v>0</v>
      </c>
      <c r="K150" s="135">
        <v>0</v>
      </c>
      <c r="L150" s="136">
        <v>0</v>
      </c>
      <c r="M150" s="135">
        <v>0</v>
      </c>
      <c r="N150" s="135">
        <v>0</v>
      </c>
      <c r="O150" s="135">
        <v>0</v>
      </c>
      <c r="P150" s="135">
        <v>0</v>
      </c>
      <c r="Q150" s="135">
        <v>0</v>
      </c>
      <c r="R150" s="135">
        <v>0</v>
      </c>
      <c r="S150" s="135">
        <v>0</v>
      </c>
      <c r="T150" s="135">
        <v>0</v>
      </c>
      <c r="U150" s="135">
        <v>0</v>
      </c>
      <c r="V150" s="135">
        <v>0</v>
      </c>
      <c r="W150" s="135">
        <v>0</v>
      </c>
      <c r="X150" s="135">
        <v>0</v>
      </c>
      <c r="Y150" s="135">
        <v>0</v>
      </c>
      <c r="Z150" s="135"/>
      <c r="AA150" s="135">
        <v>0</v>
      </c>
      <c r="AB150" s="135">
        <v>0</v>
      </c>
      <c r="AC150" s="135">
        <v>0</v>
      </c>
      <c r="AD150" s="135">
        <v>0</v>
      </c>
      <c r="AE150" s="135">
        <v>0</v>
      </c>
      <c r="AF150" s="135">
        <v>0</v>
      </c>
      <c r="AG150" s="135">
        <v>0</v>
      </c>
      <c r="AH150" s="135">
        <v>0</v>
      </c>
      <c r="AI150" s="135">
        <v>0</v>
      </c>
      <c r="AJ150" s="135">
        <v>0</v>
      </c>
      <c r="AK150" s="135">
        <v>0</v>
      </c>
      <c r="AL150" s="135">
        <v>0</v>
      </c>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row>
    <row r="151" spans="1:131">
      <c r="A151" s="1"/>
      <c r="B151" s="1" t="s">
        <v>114</v>
      </c>
      <c r="C151" s="135">
        <v>0</v>
      </c>
      <c r="D151" s="135">
        <v>0</v>
      </c>
      <c r="E151" s="135">
        <v>0</v>
      </c>
      <c r="F151" s="135">
        <v>0</v>
      </c>
      <c r="G151" s="135">
        <v>0</v>
      </c>
      <c r="H151" s="135">
        <v>0</v>
      </c>
      <c r="I151" s="135">
        <v>0</v>
      </c>
      <c r="J151" s="135">
        <v>0</v>
      </c>
      <c r="K151" s="135">
        <v>0</v>
      </c>
      <c r="L151" s="136">
        <v>0</v>
      </c>
      <c r="M151" s="135">
        <v>0</v>
      </c>
      <c r="N151" s="135">
        <v>0</v>
      </c>
      <c r="O151" s="135">
        <v>0</v>
      </c>
      <c r="P151" s="135">
        <v>0</v>
      </c>
      <c r="Q151" s="135">
        <v>0</v>
      </c>
      <c r="R151" s="135">
        <v>0</v>
      </c>
      <c r="S151" s="135">
        <v>0</v>
      </c>
      <c r="T151" s="135">
        <v>0</v>
      </c>
      <c r="U151" s="135">
        <v>0</v>
      </c>
      <c r="V151" s="135">
        <v>0</v>
      </c>
      <c r="W151" s="135">
        <v>0</v>
      </c>
      <c r="X151" s="135">
        <v>0</v>
      </c>
      <c r="Y151" s="135">
        <v>0</v>
      </c>
      <c r="Z151" s="135"/>
      <c r="AA151" s="135">
        <v>0</v>
      </c>
      <c r="AB151" s="135">
        <v>0</v>
      </c>
      <c r="AC151" s="135">
        <v>0</v>
      </c>
      <c r="AD151" s="135">
        <v>0</v>
      </c>
      <c r="AE151" s="135">
        <v>0</v>
      </c>
      <c r="AF151" s="135">
        <v>0</v>
      </c>
      <c r="AG151" s="135">
        <v>0</v>
      </c>
      <c r="AH151" s="135">
        <v>0</v>
      </c>
      <c r="AI151" s="135">
        <v>0</v>
      </c>
      <c r="AJ151" s="135">
        <v>0</v>
      </c>
      <c r="AK151" s="135">
        <v>0</v>
      </c>
      <c r="AL151" s="135">
        <v>0</v>
      </c>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row>
    <row r="152" spans="1:131">
      <c r="A152" s="1"/>
      <c r="B152" s="1" t="s">
        <v>117</v>
      </c>
      <c r="C152" s="135">
        <v>0</v>
      </c>
      <c r="D152" s="135">
        <v>0</v>
      </c>
      <c r="E152" s="135">
        <v>0</v>
      </c>
      <c r="F152" s="135">
        <v>0</v>
      </c>
      <c r="G152" s="135">
        <v>0</v>
      </c>
      <c r="H152" s="135">
        <v>0</v>
      </c>
      <c r="I152" s="135">
        <v>0</v>
      </c>
      <c r="J152" s="135">
        <v>0</v>
      </c>
      <c r="K152" s="135">
        <v>0</v>
      </c>
      <c r="L152" s="136">
        <v>0</v>
      </c>
      <c r="M152" s="135">
        <v>0</v>
      </c>
      <c r="N152" s="135">
        <v>0</v>
      </c>
      <c r="O152" s="135">
        <v>0</v>
      </c>
      <c r="P152" s="135">
        <v>0</v>
      </c>
      <c r="Q152" s="135">
        <v>0</v>
      </c>
      <c r="R152" s="135">
        <v>0</v>
      </c>
      <c r="S152" s="135">
        <v>0</v>
      </c>
      <c r="T152" s="135">
        <v>0</v>
      </c>
      <c r="U152" s="135">
        <v>0</v>
      </c>
      <c r="V152" s="135">
        <v>0</v>
      </c>
      <c r="W152" s="135">
        <v>0</v>
      </c>
      <c r="X152" s="135">
        <v>0</v>
      </c>
      <c r="Y152" s="135">
        <v>0</v>
      </c>
      <c r="Z152" s="135"/>
      <c r="AA152" s="135">
        <v>0</v>
      </c>
      <c r="AB152" s="135">
        <v>0</v>
      </c>
      <c r="AC152" s="135">
        <v>0</v>
      </c>
      <c r="AD152" s="135">
        <v>0</v>
      </c>
      <c r="AE152" s="135">
        <v>0</v>
      </c>
      <c r="AF152" s="135">
        <v>0</v>
      </c>
      <c r="AG152" s="135">
        <v>0</v>
      </c>
      <c r="AH152" s="135">
        <v>0</v>
      </c>
      <c r="AI152" s="135">
        <v>0</v>
      </c>
      <c r="AJ152" s="135">
        <v>0</v>
      </c>
      <c r="AK152" s="135">
        <v>0</v>
      </c>
      <c r="AL152" s="135">
        <v>0</v>
      </c>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row>
    <row r="153" spans="1:131">
      <c r="A153" s="1"/>
      <c r="B153" s="1" t="s">
        <v>120</v>
      </c>
      <c r="C153" s="135">
        <v>0</v>
      </c>
      <c r="D153" s="135">
        <v>0</v>
      </c>
      <c r="E153" s="135">
        <v>0</v>
      </c>
      <c r="F153" s="135">
        <v>0</v>
      </c>
      <c r="G153" s="135">
        <v>0</v>
      </c>
      <c r="H153" s="135">
        <v>0</v>
      </c>
      <c r="I153" s="135">
        <v>0</v>
      </c>
      <c r="J153" s="135">
        <v>0</v>
      </c>
      <c r="K153" s="135">
        <v>0</v>
      </c>
      <c r="L153" s="136">
        <v>0</v>
      </c>
      <c r="M153" s="135">
        <v>0</v>
      </c>
      <c r="N153" s="135">
        <v>0</v>
      </c>
      <c r="O153" s="135">
        <v>0</v>
      </c>
      <c r="P153" s="135">
        <v>0</v>
      </c>
      <c r="Q153" s="135">
        <v>0</v>
      </c>
      <c r="R153" s="135">
        <v>0</v>
      </c>
      <c r="S153" s="135">
        <v>0</v>
      </c>
      <c r="T153" s="135">
        <v>0</v>
      </c>
      <c r="U153" s="135">
        <v>0</v>
      </c>
      <c r="V153" s="135">
        <v>0</v>
      </c>
      <c r="W153" s="135">
        <v>0</v>
      </c>
      <c r="X153" s="135">
        <v>0</v>
      </c>
      <c r="Y153" s="135">
        <v>0</v>
      </c>
      <c r="Z153" s="135"/>
      <c r="AA153" s="135">
        <v>0</v>
      </c>
      <c r="AB153" s="135">
        <v>0</v>
      </c>
      <c r="AC153" s="135">
        <v>0</v>
      </c>
      <c r="AD153" s="135">
        <v>0</v>
      </c>
      <c r="AE153" s="135">
        <v>0</v>
      </c>
      <c r="AF153" s="135">
        <v>0</v>
      </c>
      <c r="AG153" s="135">
        <v>0</v>
      </c>
      <c r="AH153" s="135">
        <v>0</v>
      </c>
      <c r="AI153" s="135">
        <v>0</v>
      </c>
      <c r="AJ153" s="135">
        <v>0</v>
      </c>
      <c r="AK153" s="135">
        <v>0</v>
      </c>
      <c r="AL153" s="135">
        <v>0</v>
      </c>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row>
    <row r="154" spans="1:131">
      <c r="A154" s="1"/>
      <c r="B154" s="1" t="s">
        <v>123</v>
      </c>
      <c r="C154" s="135">
        <v>0</v>
      </c>
      <c r="D154" s="135">
        <v>0</v>
      </c>
      <c r="E154" s="135">
        <v>0</v>
      </c>
      <c r="F154" s="135">
        <v>0</v>
      </c>
      <c r="G154" s="135">
        <v>0</v>
      </c>
      <c r="H154" s="135">
        <v>0</v>
      </c>
      <c r="I154" s="135">
        <v>0</v>
      </c>
      <c r="J154" s="135">
        <v>0</v>
      </c>
      <c r="K154" s="135">
        <v>0</v>
      </c>
      <c r="L154" s="136">
        <v>0</v>
      </c>
      <c r="M154" s="135">
        <v>0</v>
      </c>
      <c r="N154" s="135">
        <v>0</v>
      </c>
      <c r="O154" s="135">
        <v>0</v>
      </c>
      <c r="P154" s="135">
        <v>0</v>
      </c>
      <c r="Q154" s="135">
        <v>0</v>
      </c>
      <c r="R154" s="135">
        <v>0</v>
      </c>
      <c r="S154" s="135">
        <v>0</v>
      </c>
      <c r="T154" s="135">
        <v>0</v>
      </c>
      <c r="U154" s="135">
        <v>0</v>
      </c>
      <c r="V154" s="135">
        <v>0</v>
      </c>
      <c r="W154" s="135">
        <v>0</v>
      </c>
      <c r="X154" s="135">
        <v>0</v>
      </c>
      <c r="Y154" s="135">
        <v>0</v>
      </c>
      <c r="Z154" s="135"/>
      <c r="AA154" s="135">
        <v>0</v>
      </c>
      <c r="AB154" s="135">
        <v>0</v>
      </c>
      <c r="AC154" s="135">
        <v>0</v>
      </c>
      <c r="AD154" s="135">
        <v>0</v>
      </c>
      <c r="AE154" s="135">
        <v>0</v>
      </c>
      <c r="AF154" s="135">
        <v>0</v>
      </c>
      <c r="AG154" s="135">
        <v>0</v>
      </c>
      <c r="AH154" s="135">
        <v>0</v>
      </c>
      <c r="AI154" s="135">
        <v>0</v>
      </c>
      <c r="AJ154" s="135">
        <v>0</v>
      </c>
      <c r="AK154" s="135">
        <v>0</v>
      </c>
      <c r="AL154" s="135">
        <v>0</v>
      </c>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row>
    <row r="155" spans="1:131">
      <c r="A155" s="1"/>
      <c r="B155" s="1" t="s">
        <v>126</v>
      </c>
      <c r="C155" s="135">
        <v>0</v>
      </c>
      <c r="D155" s="135">
        <v>0</v>
      </c>
      <c r="E155" s="135">
        <v>0</v>
      </c>
      <c r="F155" s="135">
        <v>0</v>
      </c>
      <c r="G155" s="135">
        <v>0</v>
      </c>
      <c r="H155" s="135">
        <v>0</v>
      </c>
      <c r="I155" s="135">
        <v>0</v>
      </c>
      <c r="J155" s="135">
        <v>0</v>
      </c>
      <c r="K155" s="135">
        <v>0</v>
      </c>
      <c r="L155" s="136">
        <v>0</v>
      </c>
      <c r="M155" s="135">
        <v>0</v>
      </c>
      <c r="N155" s="135">
        <v>0</v>
      </c>
      <c r="O155" s="135">
        <v>0</v>
      </c>
      <c r="P155" s="135">
        <v>0</v>
      </c>
      <c r="Q155" s="135">
        <v>0</v>
      </c>
      <c r="R155" s="135">
        <v>0</v>
      </c>
      <c r="S155" s="135">
        <v>0</v>
      </c>
      <c r="T155" s="135">
        <v>0</v>
      </c>
      <c r="U155" s="135">
        <v>0</v>
      </c>
      <c r="V155" s="135">
        <v>0</v>
      </c>
      <c r="W155" s="135">
        <v>0</v>
      </c>
      <c r="X155" s="135">
        <v>0</v>
      </c>
      <c r="Y155" s="135">
        <v>0</v>
      </c>
      <c r="Z155" s="135"/>
      <c r="AA155" s="135">
        <v>0</v>
      </c>
      <c r="AB155" s="135">
        <v>0</v>
      </c>
      <c r="AC155" s="135">
        <v>0</v>
      </c>
      <c r="AD155" s="135">
        <v>0</v>
      </c>
      <c r="AE155" s="135">
        <v>0</v>
      </c>
      <c r="AF155" s="135">
        <v>0</v>
      </c>
      <c r="AG155" s="135">
        <v>0</v>
      </c>
      <c r="AH155" s="135">
        <v>0</v>
      </c>
      <c r="AI155" s="135">
        <v>0</v>
      </c>
      <c r="AJ155" s="135">
        <v>0</v>
      </c>
      <c r="AK155" s="135">
        <v>0</v>
      </c>
      <c r="AL155" s="135">
        <v>0</v>
      </c>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row>
    <row r="156" spans="1:131">
      <c r="A156" s="1"/>
      <c r="B156" s="1" t="s">
        <v>129</v>
      </c>
      <c r="C156" s="135">
        <v>0</v>
      </c>
      <c r="D156" s="135">
        <v>0</v>
      </c>
      <c r="E156" s="135">
        <v>0</v>
      </c>
      <c r="F156" s="135">
        <v>0</v>
      </c>
      <c r="G156" s="135">
        <v>0</v>
      </c>
      <c r="H156" s="135">
        <v>0</v>
      </c>
      <c r="I156" s="135">
        <v>0</v>
      </c>
      <c r="J156" s="135">
        <v>0</v>
      </c>
      <c r="K156" s="135">
        <v>0</v>
      </c>
      <c r="L156" s="136">
        <v>0</v>
      </c>
      <c r="M156" s="135">
        <v>0</v>
      </c>
      <c r="N156" s="135">
        <v>0</v>
      </c>
      <c r="O156" s="135">
        <v>0</v>
      </c>
      <c r="P156" s="135">
        <v>0</v>
      </c>
      <c r="Q156" s="135">
        <v>0</v>
      </c>
      <c r="R156" s="135">
        <v>0</v>
      </c>
      <c r="S156" s="135">
        <v>0</v>
      </c>
      <c r="T156" s="135">
        <v>0</v>
      </c>
      <c r="U156" s="135">
        <v>0</v>
      </c>
      <c r="V156" s="135">
        <v>0</v>
      </c>
      <c r="W156" s="135">
        <v>0</v>
      </c>
      <c r="X156" s="135">
        <v>0</v>
      </c>
      <c r="Y156" s="135">
        <v>0</v>
      </c>
      <c r="Z156" s="135"/>
      <c r="AA156" s="135">
        <v>0</v>
      </c>
      <c r="AB156" s="135">
        <v>0</v>
      </c>
      <c r="AC156" s="135">
        <v>0</v>
      </c>
      <c r="AD156" s="135">
        <v>0</v>
      </c>
      <c r="AE156" s="135">
        <v>0</v>
      </c>
      <c r="AF156" s="135">
        <v>0</v>
      </c>
      <c r="AG156" s="135">
        <v>0</v>
      </c>
      <c r="AH156" s="135">
        <v>0</v>
      </c>
      <c r="AI156" s="135">
        <v>0</v>
      </c>
      <c r="AJ156" s="135">
        <v>0</v>
      </c>
      <c r="AK156" s="135">
        <v>0</v>
      </c>
      <c r="AL156" s="135">
        <v>0</v>
      </c>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row>
    <row r="157" spans="1:131">
      <c r="A157" s="1"/>
      <c r="B157" s="1" t="s">
        <v>132</v>
      </c>
      <c r="C157" s="135">
        <v>0</v>
      </c>
      <c r="D157" s="135">
        <v>0</v>
      </c>
      <c r="E157" s="135">
        <v>0</v>
      </c>
      <c r="F157" s="135">
        <v>0</v>
      </c>
      <c r="G157" s="135">
        <v>0</v>
      </c>
      <c r="H157" s="135">
        <v>0</v>
      </c>
      <c r="I157" s="135">
        <v>0</v>
      </c>
      <c r="J157" s="135">
        <v>0</v>
      </c>
      <c r="K157" s="135">
        <v>0</v>
      </c>
      <c r="L157" s="136">
        <v>0</v>
      </c>
      <c r="M157" s="135">
        <v>0</v>
      </c>
      <c r="N157" s="135">
        <v>0</v>
      </c>
      <c r="O157" s="135">
        <v>0</v>
      </c>
      <c r="P157" s="135">
        <v>0</v>
      </c>
      <c r="Q157" s="135">
        <v>0</v>
      </c>
      <c r="R157" s="135">
        <v>0</v>
      </c>
      <c r="S157" s="135">
        <v>0</v>
      </c>
      <c r="T157" s="135">
        <v>0</v>
      </c>
      <c r="U157" s="135">
        <v>0</v>
      </c>
      <c r="V157" s="135">
        <v>0</v>
      </c>
      <c r="W157" s="135">
        <v>0</v>
      </c>
      <c r="X157" s="135">
        <v>0</v>
      </c>
      <c r="Y157" s="135">
        <v>0</v>
      </c>
      <c r="Z157" s="135"/>
      <c r="AA157" s="135">
        <v>0</v>
      </c>
      <c r="AB157" s="135">
        <v>0</v>
      </c>
      <c r="AC157" s="135">
        <v>0</v>
      </c>
      <c r="AD157" s="135">
        <v>0</v>
      </c>
      <c r="AE157" s="135">
        <v>0</v>
      </c>
      <c r="AF157" s="135">
        <v>0</v>
      </c>
      <c r="AG157" s="135">
        <v>0</v>
      </c>
      <c r="AH157" s="135">
        <v>0</v>
      </c>
      <c r="AI157" s="135">
        <v>0</v>
      </c>
      <c r="AJ157" s="135">
        <v>0</v>
      </c>
      <c r="AK157" s="135">
        <v>0</v>
      </c>
      <c r="AL157" s="135">
        <v>0</v>
      </c>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row>
    <row r="158" spans="1:131">
      <c r="A158" s="1"/>
      <c r="B158" s="1" t="s">
        <v>135</v>
      </c>
      <c r="C158" s="135">
        <v>0</v>
      </c>
      <c r="D158" s="135">
        <v>0</v>
      </c>
      <c r="E158" s="135">
        <v>0</v>
      </c>
      <c r="F158" s="135">
        <v>0</v>
      </c>
      <c r="G158" s="135">
        <v>0</v>
      </c>
      <c r="H158" s="135">
        <v>0</v>
      </c>
      <c r="I158" s="135">
        <v>0</v>
      </c>
      <c r="J158" s="135">
        <v>0</v>
      </c>
      <c r="K158" s="135">
        <v>0</v>
      </c>
      <c r="L158" s="136">
        <v>0</v>
      </c>
      <c r="M158" s="135">
        <v>0</v>
      </c>
      <c r="N158" s="135">
        <v>0</v>
      </c>
      <c r="O158" s="135">
        <v>0</v>
      </c>
      <c r="P158" s="135">
        <v>0</v>
      </c>
      <c r="Q158" s="135">
        <v>0</v>
      </c>
      <c r="R158" s="135">
        <v>0</v>
      </c>
      <c r="S158" s="135">
        <v>0</v>
      </c>
      <c r="T158" s="135">
        <v>0</v>
      </c>
      <c r="U158" s="135">
        <v>0</v>
      </c>
      <c r="V158" s="135">
        <v>0</v>
      </c>
      <c r="W158" s="135">
        <v>0</v>
      </c>
      <c r="X158" s="135">
        <v>0</v>
      </c>
      <c r="Y158" s="135">
        <v>0</v>
      </c>
      <c r="Z158" s="135"/>
      <c r="AA158" s="135">
        <v>0</v>
      </c>
      <c r="AB158" s="135">
        <v>0</v>
      </c>
      <c r="AC158" s="135">
        <v>0</v>
      </c>
      <c r="AD158" s="135">
        <v>0</v>
      </c>
      <c r="AE158" s="135">
        <v>0</v>
      </c>
      <c r="AF158" s="135">
        <v>0</v>
      </c>
      <c r="AG158" s="135">
        <v>0</v>
      </c>
      <c r="AH158" s="135">
        <v>0</v>
      </c>
      <c r="AI158" s="135">
        <v>0</v>
      </c>
      <c r="AJ158" s="135">
        <v>0</v>
      </c>
      <c r="AK158" s="135">
        <v>0</v>
      </c>
      <c r="AL158" s="135">
        <v>0</v>
      </c>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row>
    <row r="159" spans="1:131">
      <c r="A159" s="1"/>
      <c r="B159" s="1" t="s">
        <v>138</v>
      </c>
      <c r="C159" s="135">
        <v>0</v>
      </c>
      <c r="D159" s="135">
        <v>0</v>
      </c>
      <c r="E159" s="135">
        <v>0</v>
      </c>
      <c r="F159" s="135">
        <v>0</v>
      </c>
      <c r="G159" s="135">
        <v>0</v>
      </c>
      <c r="H159" s="135">
        <v>0</v>
      </c>
      <c r="I159" s="135">
        <v>0</v>
      </c>
      <c r="J159" s="135">
        <v>0</v>
      </c>
      <c r="K159" s="135">
        <v>0</v>
      </c>
      <c r="L159" s="136">
        <v>0</v>
      </c>
      <c r="M159" s="135">
        <v>0</v>
      </c>
      <c r="N159" s="135">
        <v>0</v>
      </c>
      <c r="O159" s="135">
        <v>0</v>
      </c>
      <c r="P159" s="135">
        <v>0</v>
      </c>
      <c r="Q159" s="135">
        <v>0</v>
      </c>
      <c r="R159" s="135">
        <v>0</v>
      </c>
      <c r="S159" s="135">
        <v>0</v>
      </c>
      <c r="T159" s="135">
        <v>0</v>
      </c>
      <c r="U159" s="135">
        <v>0</v>
      </c>
      <c r="V159" s="135">
        <v>0</v>
      </c>
      <c r="W159" s="135">
        <v>0</v>
      </c>
      <c r="X159" s="135">
        <v>0</v>
      </c>
      <c r="Y159" s="135">
        <v>0</v>
      </c>
      <c r="Z159" s="135"/>
      <c r="AA159" s="135">
        <v>0</v>
      </c>
      <c r="AB159" s="135">
        <v>0</v>
      </c>
      <c r="AC159" s="135">
        <v>0</v>
      </c>
      <c r="AD159" s="135">
        <v>0</v>
      </c>
      <c r="AE159" s="135">
        <v>0</v>
      </c>
      <c r="AF159" s="135">
        <v>0</v>
      </c>
      <c r="AG159" s="135">
        <v>0</v>
      </c>
      <c r="AH159" s="135">
        <v>0</v>
      </c>
      <c r="AI159" s="135">
        <v>0</v>
      </c>
      <c r="AJ159" s="135">
        <v>0</v>
      </c>
      <c r="AK159" s="135">
        <v>0</v>
      </c>
      <c r="AL159" s="135">
        <v>0</v>
      </c>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row>
    <row r="160" spans="1:131">
      <c r="A160" s="1"/>
      <c r="B160" s="1" t="s">
        <v>141</v>
      </c>
      <c r="C160" s="37">
        <v>14.687595108304926</v>
      </c>
      <c r="D160" s="37">
        <v>43.417038842448491</v>
      </c>
      <c r="E160" s="37">
        <v>8.6834077684896993</v>
      </c>
      <c r="F160" s="37">
        <v>52.100446610938192</v>
      </c>
      <c r="G160" s="37">
        <v>62.28022544521405</v>
      </c>
      <c r="H160" s="37">
        <v>9.3268577152914709</v>
      </c>
      <c r="I160" s="37">
        <v>31073.835365583618</v>
      </c>
      <c r="J160" s="37">
        <v>172.27551520977539</v>
      </c>
      <c r="K160" s="37">
        <v>303.29174004724661</v>
      </c>
      <c r="L160" s="127">
        <v>0.28810527631540611</v>
      </c>
      <c r="M160" s="37">
        <v>0.12113293983720028</v>
      </c>
      <c r="N160" s="31">
        <v>1.050879419776606</v>
      </c>
      <c r="O160" s="31">
        <v>0.83582181388314947</v>
      </c>
      <c r="P160" s="31">
        <v>0.84444633717894124</v>
      </c>
      <c r="Q160" s="31">
        <v>0.68870803480190346</v>
      </c>
      <c r="R160" s="31">
        <v>0.62713085361409271</v>
      </c>
      <c r="S160" s="31">
        <v>0.64439059944460619</v>
      </c>
      <c r="T160" s="31">
        <v>0.53180937618662949</v>
      </c>
      <c r="U160" s="31">
        <v>0.60660913625389923</v>
      </c>
      <c r="V160" s="31">
        <v>0.66796828709598244</v>
      </c>
      <c r="W160" s="31">
        <v>0.974841763749694</v>
      </c>
      <c r="X160" s="31">
        <v>0.9840701382925986</v>
      </c>
      <c r="Y160" s="31">
        <v>1.0803142499231639</v>
      </c>
      <c r="Z160" s="31"/>
      <c r="AA160" s="31">
        <v>0.54822550709996931</v>
      </c>
      <c r="AB160" s="31">
        <v>0.42133730180779583</v>
      </c>
      <c r="AC160" s="31">
        <v>0.3927012239198403</v>
      </c>
      <c r="AD160" s="31">
        <v>0.38522059702414363</v>
      </c>
      <c r="AE160" s="31">
        <v>0.37427331365735117</v>
      </c>
      <c r="AF160" s="31">
        <v>0.35001136467213478</v>
      </c>
      <c r="AG160" s="31">
        <v>0.3992948511560076</v>
      </c>
      <c r="AH160" s="31">
        <v>0.3612209928718087</v>
      </c>
      <c r="AI160" s="31">
        <v>0.41867768338179645</v>
      </c>
      <c r="AJ160" s="31">
        <v>0.41622283850733804</v>
      </c>
      <c r="AK160" s="31">
        <v>0.5242052695514926</v>
      </c>
      <c r="AL160" s="31">
        <v>0.55921415445397948</v>
      </c>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row>
    <row r="161" spans="1:131">
      <c r="A161" s="1"/>
      <c r="B161" s="1"/>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row>
    <row r="162" spans="1:131">
      <c r="A162" s="1"/>
      <c r="B162" s="1"/>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row>
    <row r="163" spans="1:131" ht="13.5" thickBot="1">
      <c r="A163" s="43" t="s">
        <v>34</v>
      </c>
      <c r="B163" s="44"/>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row>
    <row r="164" spans="1:131" ht="13.5" thickBot="1">
      <c r="A164" s="45"/>
      <c r="B164" s="46"/>
      <c r="C164" s="47"/>
      <c r="D164" s="47"/>
      <c r="E164" s="47"/>
      <c r="F164" s="47"/>
      <c r="G164" s="47"/>
      <c r="H164" s="47"/>
      <c r="I164" s="47"/>
      <c r="J164" s="47"/>
      <c r="K164" s="47"/>
      <c r="L164" s="47"/>
      <c r="M164" s="47"/>
      <c r="N164" s="47"/>
      <c r="O164" s="48" t="s">
        <v>765</v>
      </c>
      <c r="P164" s="49"/>
      <c r="Q164" s="49"/>
      <c r="R164" s="49"/>
      <c r="S164" s="49"/>
      <c r="T164" s="49"/>
      <c r="U164" s="49"/>
      <c r="V164" s="49"/>
      <c r="W164" s="49"/>
      <c r="X164" s="49"/>
      <c r="Y164" s="49"/>
      <c r="Z164" s="50"/>
      <c r="AA164" s="47"/>
      <c r="AB164" s="48" t="s">
        <v>766</v>
      </c>
      <c r="AC164" s="49"/>
      <c r="AD164" s="49"/>
      <c r="AE164" s="49"/>
      <c r="AF164" s="49"/>
      <c r="AG164" s="49"/>
      <c r="AH164" s="49"/>
      <c r="AI164" s="49"/>
      <c r="AJ164" s="49"/>
      <c r="AK164" s="49"/>
      <c r="AL164" s="49"/>
      <c r="AM164" s="50"/>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row>
    <row r="165" spans="1:131" ht="204">
      <c r="A165" s="51" t="s">
        <v>35</v>
      </c>
      <c r="B165" s="52" t="s">
        <v>25</v>
      </c>
      <c r="C165" s="53" t="s">
        <v>36</v>
      </c>
      <c r="D165" s="53" t="s">
        <v>37</v>
      </c>
      <c r="E165" s="53" t="s">
        <v>38</v>
      </c>
      <c r="F165" s="53" t="s">
        <v>39</v>
      </c>
      <c r="G165" s="53" t="s">
        <v>40</v>
      </c>
      <c r="H165" s="53" t="s">
        <v>41</v>
      </c>
      <c r="I165" s="53" t="s">
        <v>42</v>
      </c>
      <c r="J165" s="53" t="s">
        <v>43</v>
      </c>
      <c r="K165" s="53" t="s">
        <v>44</v>
      </c>
      <c r="L165" s="53" t="s">
        <v>45</v>
      </c>
      <c r="M165" s="53" t="s">
        <v>46</v>
      </c>
      <c r="N165" s="53" t="s">
        <v>767</v>
      </c>
      <c r="O165" s="53" t="s">
        <v>47</v>
      </c>
      <c r="P165" s="53" t="s">
        <v>48</v>
      </c>
      <c r="Q165" s="53" t="s">
        <v>49</v>
      </c>
      <c r="R165" s="53" t="s">
        <v>50</v>
      </c>
      <c r="S165" s="53" t="s">
        <v>51</v>
      </c>
      <c r="T165" s="53" t="s">
        <v>52</v>
      </c>
      <c r="U165" s="53" t="s">
        <v>53</v>
      </c>
      <c r="V165" s="53" t="s">
        <v>54</v>
      </c>
      <c r="W165" s="53" t="s">
        <v>55</v>
      </c>
      <c r="X165" s="53" t="s">
        <v>56</v>
      </c>
      <c r="Y165" s="53" t="s">
        <v>57</v>
      </c>
      <c r="Z165" s="53" t="s">
        <v>58</v>
      </c>
      <c r="AA165" s="53"/>
      <c r="AB165" s="53" t="s">
        <v>47</v>
      </c>
      <c r="AC165" s="53" t="s">
        <v>48</v>
      </c>
      <c r="AD165" s="53" t="s">
        <v>49</v>
      </c>
      <c r="AE165" s="53" t="s">
        <v>50</v>
      </c>
      <c r="AF165" s="53" t="s">
        <v>51</v>
      </c>
      <c r="AG165" s="53" t="s">
        <v>52</v>
      </c>
      <c r="AH165" s="53" t="s">
        <v>53</v>
      </c>
      <c r="AI165" s="53" t="s">
        <v>54</v>
      </c>
      <c r="AJ165" s="53" t="s">
        <v>55</v>
      </c>
      <c r="AK165" s="53" t="s">
        <v>56</v>
      </c>
      <c r="AL165" s="53" t="s">
        <v>57</v>
      </c>
      <c r="AM165" s="53" t="s">
        <v>58</v>
      </c>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row>
    <row r="166" spans="1:131">
      <c r="A166" s="1" t="s">
        <v>753</v>
      </c>
      <c r="B166" s="1"/>
      <c r="C166" s="31">
        <v>10.331554133000125</v>
      </c>
      <c r="D166" s="31">
        <v>1.9510287475567527</v>
      </c>
      <c r="E166" s="31">
        <v>0.39020574951135056</v>
      </c>
      <c r="F166" s="31">
        <v>2.3412344970681032</v>
      </c>
      <c r="G166" s="31">
        <v>-12.519581230060096</v>
      </c>
      <c r="H166" s="31">
        <v>6.5044375629636768</v>
      </c>
      <c r="I166" s="31">
        <v>1985.1044605968707</v>
      </c>
      <c r="J166" s="31">
        <v>-2.8795726447932513</v>
      </c>
      <c r="K166" s="31">
        <v>-97.483290128606981</v>
      </c>
      <c r="L166" s="36">
        <v>5.5531830910269324</v>
      </c>
      <c r="M166" s="31">
        <v>8.4359027936712572E-2</v>
      </c>
      <c r="N166" s="31">
        <v>2.6990998985958756E-3</v>
      </c>
      <c r="O166" s="31">
        <v>0.73921002945803449</v>
      </c>
      <c r="P166" s="31">
        <v>0.58793412073249252</v>
      </c>
      <c r="Q166" s="31">
        <v>0.59400078642178622</v>
      </c>
      <c r="R166" s="31">
        <v>0.48445128633513773</v>
      </c>
      <c r="S166" s="31">
        <v>0.44113664046505252</v>
      </c>
      <c r="T166" s="31">
        <v>0.4532774979066459</v>
      </c>
      <c r="U166" s="31">
        <v>0.37408556799080311</v>
      </c>
      <c r="V166" s="31">
        <v>0.42670124568152651</v>
      </c>
      <c r="W166" s="31">
        <v>0.46986252455702143</v>
      </c>
      <c r="X166" s="31">
        <v>0.68572359048721321</v>
      </c>
      <c r="Y166" s="31">
        <v>0.69221501746668568</v>
      </c>
      <c r="Z166" s="31">
        <v>0.75991508966784882</v>
      </c>
      <c r="AA166" s="31"/>
      <c r="AB166" s="31">
        <v>0.38563300948377344</v>
      </c>
      <c r="AC166" s="31">
        <v>0.29637725643853452</v>
      </c>
      <c r="AD166" s="31">
        <v>0.27623405486777952</v>
      </c>
      <c r="AE166" s="31">
        <v>0.27097202925012304</v>
      </c>
      <c r="AF166" s="31">
        <v>0.26327148672567968</v>
      </c>
      <c r="AG166" s="31">
        <v>0.24620513668917057</v>
      </c>
      <c r="AH166" s="31">
        <v>0.28087214682367551</v>
      </c>
      <c r="AI166" s="31">
        <v>0.25409021792280639</v>
      </c>
      <c r="AJ166" s="31">
        <v>0.29450642656211723</v>
      </c>
      <c r="AK166" s="31">
        <v>0.29277963858072437</v>
      </c>
      <c r="AL166" s="31">
        <v>0.36873668420453914</v>
      </c>
      <c r="AM166" s="37">
        <v>0.39336264828095202</v>
      </c>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row>
    <row r="167" spans="1:131">
      <c r="A167" s="1" t="s">
        <v>757</v>
      </c>
      <c r="B167" s="1"/>
      <c r="C167" s="31">
        <v>87.041761167225999</v>
      </c>
      <c r="D167" s="31">
        <v>12.02981381264515</v>
      </c>
      <c r="E167" s="31">
        <v>2.4059627625290303</v>
      </c>
      <c r="F167" s="31">
        <v>14.435776575174181</v>
      </c>
      <c r="G167" s="31">
        <v>-21.550484615360059</v>
      </c>
      <c r="H167" s="31">
        <v>60.483911521684078</v>
      </c>
      <c r="I167" s="31">
        <v>1452.8359847358083</v>
      </c>
      <c r="J167" s="31">
        <v>-6.084577770530081</v>
      </c>
      <c r="K167" s="31">
        <v>-31.342168529326845</v>
      </c>
      <c r="L167" s="36">
        <v>4.7046933169704879</v>
      </c>
      <c r="M167" s="31">
        <v>0.7964304347978024</v>
      </c>
      <c r="N167" s="31">
        <v>2.2739503245659785E-2</v>
      </c>
      <c r="O167" s="31">
        <v>6.2277312791681956</v>
      </c>
      <c r="P167" s="31">
        <v>4.9532549179026795</v>
      </c>
      <c r="Q167" s="31">
        <v>5.0043656471512685</v>
      </c>
      <c r="R167" s="31">
        <v>4.0814278877609365</v>
      </c>
      <c r="S167" s="31">
        <v>3.7165086304708308</v>
      </c>
      <c r="T167" s="31">
        <v>3.8187934948961253</v>
      </c>
      <c r="U167" s="31">
        <v>3.1516136145633622</v>
      </c>
      <c r="V167" s="31">
        <v>3.594892640376083</v>
      </c>
      <c r="W167" s="31">
        <v>3.9585198042267882</v>
      </c>
      <c r="X167" s="31">
        <v>5.777116222938341</v>
      </c>
      <c r="Y167" s="31">
        <v>5.831805500999323</v>
      </c>
      <c r="Z167" s="31">
        <v>6.4021682402038298</v>
      </c>
      <c r="AA167" s="31"/>
      <c r="AB167" s="31">
        <v>3.2488990405103846</v>
      </c>
      <c r="AC167" s="31">
        <v>2.4969329917094965</v>
      </c>
      <c r="AD167" s="31">
        <v>2.3272296036524454</v>
      </c>
      <c r="AE167" s="31">
        <v>2.2828978437669774</v>
      </c>
      <c r="AF167" s="31">
        <v>2.2180219524303819</v>
      </c>
      <c r="AG167" s="31">
        <v>2.0742405672920801</v>
      </c>
      <c r="AH167" s="31">
        <v>2.3663048180006183</v>
      </c>
      <c r="AI167" s="31">
        <v>2.1406711689892717</v>
      </c>
      <c r="AJ167" s="31">
        <v>2.4811715365410532</v>
      </c>
      <c r="AK167" s="31">
        <v>2.4666236122764214</v>
      </c>
      <c r="AL167" s="31">
        <v>3.1065500879107617</v>
      </c>
      <c r="AM167" s="37">
        <v>3.3140200634883259</v>
      </c>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row>
    <row r="168" spans="1:131">
      <c r="A168" s="1" t="s">
        <v>730</v>
      </c>
      <c r="B168" s="1"/>
      <c r="C168" s="31">
        <v>9.8723739493112301</v>
      </c>
      <c r="D168" s="31">
        <v>2.4831274968904125</v>
      </c>
      <c r="E168" s="31">
        <v>0.49662549937808254</v>
      </c>
      <c r="F168" s="31">
        <v>2.9797529962684948</v>
      </c>
      <c r="G168" s="31">
        <v>-11.629535175530112</v>
      </c>
      <c r="H168" s="31">
        <v>6.215351449054177</v>
      </c>
      <c r="I168" s="31">
        <v>2644.0080553404409</v>
      </c>
      <c r="J168" s="31">
        <v>1.0879540720638337</v>
      </c>
      <c r="K168" s="31">
        <v>-94.996719014918995</v>
      </c>
      <c r="L168" s="36">
        <v>4.5494032437001746</v>
      </c>
      <c r="M168" s="31">
        <v>8.0609737806192017E-2</v>
      </c>
      <c r="N168" s="31">
        <v>2.5791399031027257E-3</v>
      </c>
      <c r="O168" s="31">
        <v>0.70635625037101069</v>
      </c>
      <c r="P168" s="31">
        <v>0.5618037153666039</v>
      </c>
      <c r="Q168" s="31">
        <v>0.5676007514697069</v>
      </c>
      <c r="R168" s="31">
        <v>0.46292011805357608</v>
      </c>
      <c r="S168" s="31">
        <v>0.42153056755549467</v>
      </c>
      <c r="T168" s="31">
        <v>0.43313183133301719</v>
      </c>
      <c r="U168" s="31">
        <v>0.35745954274676744</v>
      </c>
      <c r="V168" s="31">
        <v>0.40773674587345871</v>
      </c>
      <c r="W168" s="31">
        <v>0.44897974568782045</v>
      </c>
      <c r="X168" s="31">
        <v>0.65524698646555923</v>
      </c>
      <c r="Y168" s="31">
        <v>0.66144990557927741</v>
      </c>
      <c r="Z168" s="31">
        <v>0.72614108568261104</v>
      </c>
      <c r="AA168" s="31"/>
      <c r="AB168" s="31">
        <v>0.36849376461782796</v>
      </c>
      <c r="AC168" s="31">
        <v>0.28320493393015522</v>
      </c>
      <c r="AD168" s="31">
        <v>0.26395698576254489</v>
      </c>
      <c r="AE168" s="31">
        <v>0.25892882795011757</v>
      </c>
      <c r="AF168" s="31">
        <v>0.25157053176009392</v>
      </c>
      <c r="AG168" s="31">
        <v>0.2352626861696519</v>
      </c>
      <c r="AH168" s="31">
        <v>0.26838894029817884</v>
      </c>
      <c r="AI168" s="31">
        <v>0.24279731934845944</v>
      </c>
      <c r="AJ168" s="31">
        <v>0.28141725204824536</v>
      </c>
      <c r="AK168" s="31">
        <v>0.27976721019935885</v>
      </c>
      <c r="AL168" s="31">
        <v>0.35234838712878186</v>
      </c>
      <c r="AM168" s="37">
        <v>0.37587986391290973</v>
      </c>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row>
    <row r="169" spans="1:131">
      <c r="A169" s="1" t="s">
        <v>752</v>
      </c>
      <c r="B169" s="1"/>
      <c r="C169" s="31">
        <v>15.001215681785107</v>
      </c>
      <c r="D169" s="31">
        <v>2.0666793267960895</v>
      </c>
      <c r="E169" s="31">
        <v>0.4133358653592179</v>
      </c>
      <c r="F169" s="31">
        <v>2.4800151921553075</v>
      </c>
      <c r="G169" s="31">
        <v>-6.6340495828991957</v>
      </c>
      <c r="H169" s="31">
        <v>9.4166888759552272</v>
      </c>
      <c r="I169" s="31">
        <v>1448.2115012624949</v>
      </c>
      <c r="J169" s="31">
        <v>-6.1124236676816492</v>
      </c>
      <c r="K169" s="31">
        <v>-40.723166254238713</v>
      </c>
      <c r="L169" s="36">
        <v>4.3350975677046533</v>
      </c>
      <c r="M169" s="31">
        <v>0.12207109444997921</v>
      </c>
      <c r="N169" s="31">
        <v>3.9190405629480479E-3</v>
      </c>
      <c r="O169" s="31">
        <v>1.0733185872412989</v>
      </c>
      <c r="P169" s="31">
        <v>0.85366890965780484</v>
      </c>
      <c r="Q169" s="31">
        <v>0.86247759025927351</v>
      </c>
      <c r="R169" s="31">
        <v>0.70341384655953076</v>
      </c>
      <c r="S169" s="31">
        <v>0.64052182310278416</v>
      </c>
      <c r="T169" s="31">
        <v>0.65815011200284546</v>
      </c>
      <c r="U169" s="31">
        <v>0.54316496982275031</v>
      </c>
      <c r="V169" s="31">
        <v>0.61956191060445931</v>
      </c>
      <c r="W169" s="31">
        <v>0.68223124816761238</v>
      </c>
      <c r="X169" s="31">
        <v>0.99565731801471724</v>
      </c>
      <c r="Y169" s="31">
        <v>1.0050827437491268</v>
      </c>
      <c r="Z169" s="31">
        <v>1.1033819320114413</v>
      </c>
      <c r="AA169" s="31"/>
      <c r="AB169" s="31">
        <v>0.55993163030566262</v>
      </c>
      <c r="AC169" s="31">
        <v>0.43033401265440924</v>
      </c>
      <c r="AD169" s="31">
        <v>0.40108647570162925</v>
      </c>
      <c r="AE169" s="31">
        <v>0.39344611683621805</v>
      </c>
      <c r="AF169" s="31">
        <v>0.38226507884436772</v>
      </c>
      <c r="AG169" s="31">
        <v>0.35748507048330508</v>
      </c>
      <c r="AH169" s="31">
        <v>0.40782089502389868</v>
      </c>
      <c r="AI169" s="31">
        <v>0.36893405509214999</v>
      </c>
      <c r="AJ169" s="31">
        <v>0.42761760405616928</v>
      </c>
      <c r="AK169" s="31">
        <v>0.42511034148829985</v>
      </c>
      <c r="AL169" s="31">
        <v>0.53539849458566535</v>
      </c>
      <c r="AM169" s="37">
        <v>0.57115491551968489</v>
      </c>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row>
    <row r="170" spans="1:131">
      <c r="A170" s="1" t="s">
        <v>738</v>
      </c>
      <c r="B170" s="1"/>
      <c r="C170" s="31">
        <v>83.173238448682625</v>
      </c>
      <c r="D170" s="31">
        <v>15.310672125184738</v>
      </c>
      <c r="E170" s="31">
        <v>3.0621344250369478</v>
      </c>
      <c r="F170" s="31">
        <v>18.372806550221686</v>
      </c>
      <c r="G170" s="31">
        <v>-16.062565314281859</v>
      </c>
      <c r="H170" s="31">
        <v>57.795737676275905</v>
      </c>
      <c r="I170" s="31">
        <v>1935.0669564134444</v>
      </c>
      <c r="J170" s="31">
        <v>-3.1808688226807722</v>
      </c>
      <c r="K170" s="31">
        <v>-27.334459272113147</v>
      </c>
      <c r="L170" s="36">
        <v>3.6817126988879871</v>
      </c>
      <c r="M170" s="31">
        <v>0.76103352658456636</v>
      </c>
      <c r="N170" s="31">
        <v>2.1728858656963793E-2</v>
      </c>
      <c r="O170" s="31">
        <v>5.9509432223162761</v>
      </c>
      <c r="P170" s="31">
        <v>4.7331102548847825</v>
      </c>
      <c r="Q170" s="31">
        <v>4.7819493961667678</v>
      </c>
      <c r="R170" s="31">
        <v>3.9000310927493396</v>
      </c>
      <c r="S170" s="31">
        <v>3.5513304691165719</v>
      </c>
      <c r="T170" s="31">
        <v>3.6490693395674088</v>
      </c>
      <c r="U170" s="31">
        <v>3.0115418983605462</v>
      </c>
      <c r="V170" s="31">
        <v>3.4351196341371462</v>
      </c>
      <c r="W170" s="31">
        <v>3.7825855907055974</v>
      </c>
      <c r="X170" s="31">
        <v>5.5203555019188597</v>
      </c>
      <c r="Y170" s="31">
        <v>5.5726141453993536</v>
      </c>
      <c r="Z170" s="31">
        <v>6.1176274295281043</v>
      </c>
      <c r="AA170" s="31"/>
      <c r="AB170" s="31">
        <v>3.104503527598812</v>
      </c>
      <c r="AC170" s="31">
        <v>2.3859581920779633</v>
      </c>
      <c r="AD170" s="31">
        <v>2.2237971768234481</v>
      </c>
      <c r="AE170" s="31">
        <v>2.181435717377334</v>
      </c>
      <c r="AF170" s="31">
        <v>2.1194431989890319</v>
      </c>
      <c r="AG170" s="31">
        <v>1.9820520976346545</v>
      </c>
      <c r="AH170" s="31">
        <v>2.2611357149783688</v>
      </c>
      <c r="AI170" s="31">
        <v>2.0455302281453043</v>
      </c>
      <c r="AJ170" s="31">
        <v>2.3708972460281177</v>
      </c>
      <c r="AK170" s="31">
        <v>2.3569958961752469</v>
      </c>
      <c r="AL170" s="31">
        <v>2.9684811951147281</v>
      </c>
      <c r="AM170" s="37">
        <v>3.1667302828888446</v>
      </c>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row>
    <row r="171" spans="1:131">
      <c r="A171" s="1" t="s">
        <v>759</v>
      </c>
      <c r="B171" s="1"/>
      <c r="C171" s="31">
        <v>54.583633546821666</v>
      </c>
      <c r="D171" s="31">
        <v>5.5772508450117817</v>
      </c>
      <c r="E171" s="31">
        <v>1.1154501690023564</v>
      </c>
      <c r="F171" s="31">
        <v>6.6927010140141379</v>
      </c>
      <c r="G171" s="31">
        <v>-3.1090675092151869</v>
      </c>
      <c r="H171" s="31">
        <v>34.234234404520798</v>
      </c>
      <c r="I171" s="31">
        <v>1074.0959711389107</v>
      </c>
      <c r="J171" s="31">
        <v>-8.3651255390899042</v>
      </c>
      <c r="K171" s="31">
        <v>-12.334283459818346</v>
      </c>
      <c r="L171" s="36">
        <v>3.6129679940075823</v>
      </c>
      <c r="M171" s="31">
        <v>0.44372537252869609</v>
      </c>
      <c r="N171" s="31">
        <v>1.4259875898113245E-2</v>
      </c>
      <c r="O171" s="31">
        <v>3.9053920487329368</v>
      </c>
      <c r="P171" s="31">
        <v>3.1061716545849691</v>
      </c>
      <c r="Q171" s="31">
        <v>3.1382230432311156</v>
      </c>
      <c r="R171" s="31">
        <v>2.5594514769216872</v>
      </c>
      <c r="S171" s="31">
        <v>2.3306116792545248</v>
      </c>
      <c r="T171" s="31">
        <v>2.3947542182186701</v>
      </c>
      <c r="U171" s="31">
        <v>1.9763676689399765</v>
      </c>
      <c r="V171" s="31">
        <v>2.2543466479896805</v>
      </c>
      <c r="W171" s="31">
        <v>2.4823761776445838</v>
      </c>
      <c r="X171" s="31">
        <v>3.6228126664904727</v>
      </c>
      <c r="Y171" s="31">
        <v>3.6571081526179396</v>
      </c>
      <c r="Z171" s="31">
        <v>4.0147809562011307</v>
      </c>
      <c r="AA171" s="31"/>
      <c r="AB171" s="31">
        <v>2.0373750746740664</v>
      </c>
      <c r="AC171" s="31">
        <v>1.5658193674251897</v>
      </c>
      <c r="AD171" s="31">
        <v>1.4593988697107205</v>
      </c>
      <c r="AE171" s="31">
        <v>1.4315985529015838</v>
      </c>
      <c r="AF171" s="31">
        <v>1.3909150714180603</v>
      </c>
      <c r="AG171" s="31">
        <v>1.3007501858275035</v>
      </c>
      <c r="AH171" s="31">
        <v>1.4839028222059658</v>
      </c>
      <c r="AI171" s="31">
        <v>1.3424086216255566</v>
      </c>
      <c r="AJ171" s="31">
        <v>1.5559354050427407</v>
      </c>
      <c r="AK171" s="31">
        <v>1.5468124443365345</v>
      </c>
      <c r="AL171" s="31">
        <v>1.9481084633339767</v>
      </c>
      <c r="AM171" s="37">
        <v>2.0782122774920686</v>
      </c>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row>
    <row r="172" spans="1:131">
      <c r="A172" s="1" t="s">
        <v>728</v>
      </c>
      <c r="B172" s="1"/>
      <c r="C172" s="31">
        <v>14.33449498481688</v>
      </c>
      <c r="D172" s="31">
        <v>2.630319143195023</v>
      </c>
      <c r="E172" s="31">
        <v>0.52606382863900458</v>
      </c>
      <c r="F172" s="31">
        <v>3.1563829718340277</v>
      </c>
      <c r="G172" s="31">
        <v>-5.6912445201357444</v>
      </c>
      <c r="H172" s="31">
        <v>8.9981693703572176</v>
      </c>
      <c r="I172" s="31">
        <v>1928.907496396135</v>
      </c>
      <c r="J172" s="31">
        <v>-3.2179574383372174</v>
      </c>
      <c r="K172" s="31">
        <v>-37.397069706053522</v>
      </c>
      <c r="L172" s="36">
        <v>3.5792508153034643</v>
      </c>
      <c r="M172" s="31">
        <v>0.11664571247442446</v>
      </c>
      <c r="N172" s="31">
        <v>3.7448609823725787E-3</v>
      </c>
      <c r="O172" s="31">
        <v>1.0256155389194634</v>
      </c>
      <c r="P172" s="31">
        <v>0.81572806922856911</v>
      </c>
      <c r="Q172" s="31">
        <v>0.82414525291441687</v>
      </c>
      <c r="R172" s="31">
        <v>0.67215100893466262</v>
      </c>
      <c r="S172" s="31">
        <v>0.61205418652043819</v>
      </c>
      <c r="T172" s="31">
        <v>0.62889899591383003</v>
      </c>
      <c r="U172" s="31">
        <v>0.51902430449729475</v>
      </c>
      <c r="V172" s="31">
        <v>0.59202582568870554</v>
      </c>
      <c r="W172" s="31">
        <v>0.65190985936016288</v>
      </c>
      <c r="X172" s="31">
        <v>0.95140588165850748</v>
      </c>
      <c r="Y172" s="31">
        <v>0.96041239958249891</v>
      </c>
      <c r="Z172" s="31">
        <v>1.0543427350331549</v>
      </c>
      <c r="AA172" s="31"/>
      <c r="AB172" s="31">
        <v>0.53504578006985537</v>
      </c>
      <c r="AC172" s="31">
        <v>0.4112080565364355</v>
      </c>
      <c r="AD172" s="31">
        <v>0.38326041011489015</v>
      </c>
      <c r="AE172" s="31">
        <v>0.37595962275460831</v>
      </c>
      <c r="AF172" s="31">
        <v>0.36527551978461797</v>
      </c>
      <c r="AG172" s="31">
        <v>0.34159684512849148</v>
      </c>
      <c r="AH172" s="31">
        <v>0.38969552191172535</v>
      </c>
      <c r="AI172" s="31">
        <v>0.35253698597694333</v>
      </c>
      <c r="AJ172" s="31">
        <v>0.40861237720922838</v>
      </c>
      <c r="AK172" s="31">
        <v>0.40621654853326428</v>
      </c>
      <c r="AL172" s="31">
        <v>0.51160300593741348</v>
      </c>
      <c r="AM172" s="37">
        <v>0.54577025260769885</v>
      </c>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row>
    <row r="173" spans="1:131">
      <c r="A173" s="1" t="s">
        <v>756</v>
      </c>
      <c r="B173" s="1"/>
      <c r="C173" s="31">
        <v>16.258824982644914</v>
      </c>
      <c r="D173" s="31">
        <v>5.5856098464851964</v>
      </c>
      <c r="E173" s="31">
        <v>1.1171219692970393</v>
      </c>
      <c r="F173" s="31">
        <v>6.7027318157822355</v>
      </c>
      <c r="G173" s="31">
        <v>-10.620662924713676</v>
      </c>
      <c r="H173" s="31">
        <v>10.495660209542017</v>
      </c>
      <c r="I173" s="31">
        <v>3611.3268190614804</v>
      </c>
      <c r="J173" s="31">
        <v>6.9125740459068856</v>
      </c>
      <c r="K173" s="31">
        <v>-57.558538168362972</v>
      </c>
      <c r="L173" s="36">
        <v>3.0066942187403205</v>
      </c>
      <c r="M173" s="31">
        <v>0.13667036868623988</v>
      </c>
      <c r="N173" s="31">
        <v>4.2475887264408763E-3</v>
      </c>
      <c r="O173" s="31">
        <v>1.1632989906121636</v>
      </c>
      <c r="P173" s="31">
        <v>0.92523524024153736</v>
      </c>
      <c r="Q173" s="31">
        <v>0.93478238623725807</v>
      </c>
      <c r="R173" s="31">
        <v>0.76238372037188906</v>
      </c>
      <c r="S173" s="31">
        <v>0.69421921798230934</v>
      </c>
      <c r="T173" s="31">
        <v>0.71332535378153095</v>
      </c>
      <c r="U173" s="31">
        <v>0.58870056723301578</v>
      </c>
      <c r="V173" s="31">
        <v>0.67150215583276607</v>
      </c>
      <c r="W173" s="31">
        <v>0.73942530371836135</v>
      </c>
      <c r="X173" s="31">
        <v>1.0791270800770567</v>
      </c>
      <c r="Y173" s="31">
        <v>1.0893426753096991</v>
      </c>
      <c r="Z173" s="31">
        <v>1.1958826605879354</v>
      </c>
      <c r="AA173" s="31"/>
      <c r="AB173" s="31">
        <v>0.60687284100854089</v>
      </c>
      <c r="AC173" s="31">
        <v>0.46641055926707059</v>
      </c>
      <c r="AD173" s="31">
        <v>0.4347110893990323</v>
      </c>
      <c r="AE173" s="31">
        <v>0.42643021002015935</v>
      </c>
      <c r="AF173" s="31">
        <v>0.41431182283807694</v>
      </c>
      <c r="AG173" s="31">
        <v>0.38745441157505511</v>
      </c>
      <c r="AH173" s="31">
        <v>0.44201008085700272</v>
      </c>
      <c r="AI173" s="31">
        <v>0.39986320836412004</v>
      </c>
      <c r="AJ173" s="31">
        <v>0.46346642374385677</v>
      </c>
      <c r="AK173" s="31">
        <v>0.46074896776287089</v>
      </c>
      <c r="AL173" s="31">
        <v>0.58028299866454724</v>
      </c>
      <c r="AM173" s="37">
        <v>0.61903701715905535</v>
      </c>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row>
    <row r="174" spans="1:131">
      <c r="A174" s="1" t="s">
        <v>742</v>
      </c>
      <c r="B174" s="1"/>
      <c r="C174" s="31">
        <v>52.157694278074032</v>
      </c>
      <c r="D174" s="31">
        <v>7.0983192572877227</v>
      </c>
      <c r="E174" s="31">
        <v>1.4196638514575446</v>
      </c>
      <c r="F174" s="31">
        <v>8.517983108745268</v>
      </c>
      <c r="G174" s="31">
        <v>-0.56476357933044219</v>
      </c>
      <c r="H174" s="31">
        <v>32.712712875430981</v>
      </c>
      <c r="I174" s="31">
        <v>1430.6140841807905</v>
      </c>
      <c r="J174" s="31">
        <v>-6.2183848780564643</v>
      </c>
      <c r="K174" s="31">
        <v>-8.9398321624848585</v>
      </c>
      <c r="L174" s="36">
        <v>3.0028238144541293</v>
      </c>
      <c r="M174" s="31">
        <v>0.42400424486075372</v>
      </c>
      <c r="N174" s="31">
        <v>1.3626103635974879E-2</v>
      </c>
      <c r="O174" s="31">
        <v>3.731819068789251</v>
      </c>
      <c r="P174" s="31">
        <v>2.9681195810478593</v>
      </c>
      <c r="Q174" s="31">
        <v>2.9987464635319547</v>
      </c>
      <c r="R174" s="31">
        <v>2.44569807794739</v>
      </c>
      <c r="S174" s="31">
        <v>2.2270289379543238</v>
      </c>
      <c r="T174" s="31">
        <v>2.2883206974089516</v>
      </c>
      <c r="U174" s="31">
        <v>1.8885291058759777</v>
      </c>
      <c r="V174" s="31">
        <v>2.154153463634584</v>
      </c>
      <c r="W174" s="31">
        <v>2.3720483475270466</v>
      </c>
      <c r="X174" s="31">
        <v>3.4617987702020074</v>
      </c>
      <c r="Y174" s="31">
        <v>3.4945700125015868</v>
      </c>
      <c r="Z174" s="31">
        <v>3.8363462470366358</v>
      </c>
      <c r="AA174" s="31"/>
      <c r="AB174" s="31">
        <v>1.9468250713552193</v>
      </c>
      <c r="AC174" s="31">
        <v>1.4962273955396257</v>
      </c>
      <c r="AD174" s="31">
        <v>1.3945366977235774</v>
      </c>
      <c r="AE174" s="31">
        <v>1.3679719505504024</v>
      </c>
      <c r="AF174" s="31">
        <v>1.3290966237994797</v>
      </c>
      <c r="AG174" s="31">
        <v>1.2429390664573923</v>
      </c>
      <c r="AH174" s="31">
        <v>1.4179515856634783</v>
      </c>
      <c r="AI174" s="31">
        <v>1.2827460162199764</v>
      </c>
      <c r="AJ174" s="31">
        <v>1.4867827203741746</v>
      </c>
      <c r="AK174" s="31">
        <v>1.4780652245882442</v>
      </c>
      <c r="AL174" s="31">
        <v>1.8615258649635777</v>
      </c>
      <c r="AM174" s="37">
        <v>1.98584728738131</v>
      </c>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row>
    <row r="175" spans="1:131">
      <c r="A175" s="1" t="s">
        <v>746</v>
      </c>
      <c r="B175" s="1"/>
      <c r="C175" s="31">
        <v>20.131003317263307</v>
      </c>
      <c r="D175" s="31">
        <v>3.8938572916403871</v>
      </c>
      <c r="E175" s="31">
        <v>0.77877145832807748</v>
      </c>
      <c r="F175" s="31">
        <v>4.6726287499684647</v>
      </c>
      <c r="G175" s="31">
        <v>-3.4824199527046851</v>
      </c>
      <c r="H175" s="31">
        <v>12.732885655959414</v>
      </c>
      <c r="I175" s="31">
        <v>2033.2929861783089</v>
      </c>
      <c r="J175" s="31">
        <v>-2.5894099196001772</v>
      </c>
      <c r="K175" s="31">
        <v>-21.262756278752239</v>
      </c>
      <c r="L175" s="36">
        <v>2.9687066386203989</v>
      </c>
      <c r="M175" s="31">
        <v>0.16526304061809022</v>
      </c>
      <c r="N175" s="31">
        <v>5.2591883382486233E-3</v>
      </c>
      <c r="O175" s="31">
        <v>1.4403486023116614</v>
      </c>
      <c r="P175" s="31">
        <v>1.1455879321189004</v>
      </c>
      <c r="Q175" s="31">
        <v>1.1574088126508824</v>
      </c>
      <c r="R175" s="31">
        <v>0.94395192888885926</v>
      </c>
      <c r="S175" s="31">
        <v>0.85955346681125078</v>
      </c>
      <c r="T175" s="31">
        <v>0.88320989238719305</v>
      </c>
      <c r="U175" s="31">
        <v>0.72890464621476858</v>
      </c>
      <c r="V175" s="31">
        <v>0.83142614186746877</v>
      </c>
      <c r="W175" s="31">
        <v>0.91552576880013092</v>
      </c>
      <c r="X175" s="31">
        <v>1.3361304308256319</v>
      </c>
      <c r="Y175" s="31">
        <v>1.3487789575018005</v>
      </c>
      <c r="Z175" s="31">
        <v>1.4806923521872546</v>
      </c>
      <c r="AA175" s="31"/>
      <c r="AB175" s="31">
        <v>0.75140480253281761</v>
      </c>
      <c r="AC175" s="31">
        <v>0.57749022612854406</v>
      </c>
      <c r="AD175" s="31">
        <v>0.53824125618452068</v>
      </c>
      <c r="AE175" s="31">
        <v>0.52798821450261002</v>
      </c>
      <c r="AF175" s="31">
        <v>0.51298372968757655</v>
      </c>
      <c r="AG175" s="31">
        <v>0.47972999605023692</v>
      </c>
      <c r="AH175" s="31">
        <v>0.54727856493284177</v>
      </c>
      <c r="AI175" s="31">
        <v>0.4950940540058737</v>
      </c>
      <c r="AJ175" s="31">
        <v>0.57384491953058547</v>
      </c>
      <c r="AK175" s="31">
        <v>0.57048027814806623</v>
      </c>
      <c r="AL175" s="31">
        <v>0.71848236164278922</v>
      </c>
      <c r="AM175" s="37">
        <v>0.76646598135103916</v>
      </c>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row>
    <row r="176" spans="1:131">
      <c r="A176" s="1" t="s">
        <v>760</v>
      </c>
      <c r="B176" s="1"/>
      <c r="C176" s="31">
        <v>48.844129164687544</v>
      </c>
      <c r="D176" s="31">
        <v>12.509870771200507</v>
      </c>
      <c r="E176" s="31">
        <v>2.5019741542401017</v>
      </c>
      <c r="F176" s="31">
        <v>15.011844925440609</v>
      </c>
      <c r="G176" s="31">
        <v>-14.497263387684168</v>
      </c>
      <c r="H176" s="31">
        <v>30.641509968973914</v>
      </c>
      <c r="I176" s="31">
        <v>2692.3145892000462</v>
      </c>
      <c r="J176" s="31">
        <v>1.3788273731289644</v>
      </c>
      <c r="K176" s="31">
        <v>-29.993229849727555</v>
      </c>
      <c r="L176" s="36">
        <v>2.7799937785209394</v>
      </c>
      <c r="M176" s="31">
        <v>0.3971733223277818</v>
      </c>
      <c r="N176" s="31">
        <v>1.2760440721528607E-2</v>
      </c>
      <c r="O176" s="31">
        <v>3.4947375480862015</v>
      </c>
      <c r="P176" s="31">
        <v>2.7795556954649423</v>
      </c>
      <c r="Q176" s="31">
        <v>2.808236859858241</v>
      </c>
      <c r="R176" s="31">
        <v>2.2903234982016438</v>
      </c>
      <c r="S176" s="31">
        <v>2.0855463533146543</v>
      </c>
      <c r="T176" s="31">
        <v>2.1429442628075841</v>
      </c>
      <c r="U176" s="31">
        <v>1.7685513298745517</v>
      </c>
      <c r="V176" s="31">
        <v>2.0173006394294912</v>
      </c>
      <c r="W176" s="31">
        <v>2.2213527165099398</v>
      </c>
      <c r="X176" s="31">
        <v>3.2418715707106038</v>
      </c>
      <c r="Y176" s="31">
        <v>3.2725608642831689</v>
      </c>
      <c r="Z176" s="31">
        <v>3.5926241411613451</v>
      </c>
      <c r="AA176" s="31"/>
      <c r="AB176" s="31">
        <v>1.8231437674249444</v>
      </c>
      <c r="AC176" s="31">
        <v>1.4011724478818377</v>
      </c>
      <c r="AD176" s="31">
        <v>1.3059421343543034</v>
      </c>
      <c r="AE176" s="31">
        <v>1.2810650388439813</v>
      </c>
      <c r="AF176" s="31">
        <v>1.2446594517599732</v>
      </c>
      <c r="AG176" s="31">
        <v>1.1639754622244163</v>
      </c>
      <c r="AH176" s="31">
        <v>1.3278694803910316</v>
      </c>
      <c r="AI176" s="31">
        <v>1.2012534865460023</v>
      </c>
      <c r="AJ176" s="31">
        <v>1.3923277905386595</v>
      </c>
      <c r="AK176" s="31">
        <v>1.3841641150531119</v>
      </c>
      <c r="AL176" s="31">
        <v>1.7432635980212496</v>
      </c>
      <c r="AM176" s="37">
        <v>1.8596869119456556</v>
      </c>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row>
    <row r="177" spans="1:131">
      <c r="A177" s="1" t="s">
        <v>754</v>
      </c>
      <c r="B177" s="1"/>
      <c r="C177" s="31">
        <v>11.177995908414712</v>
      </c>
      <c r="D177" s="31">
        <v>7.5966821450610711</v>
      </c>
      <c r="E177" s="31">
        <v>1.5193364290122142</v>
      </c>
      <c r="F177" s="31">
        <v>9.1160185740732853</v>
      </c>
      <c r="G177" s="31">
        <v>-16.607524950989351</v>
      </c>
      <c r="H177" s="31">
        <v>7.1932227771301305</v>
      </c>
      <c r="I177" s="31">
        <v>7144.064406819718</v>
      </c>
      <c r="J177" s="31">
        <v>28.184624881402506</v>
      </c>
      <c r="K177" s="31">
        <v>-118.66739310804593</v>
      </c>
      <c r="L177" s="36">
        <v>2.7577115222230888</v>
      </c>
      <c r="M177" s="31">
        <v>9.3620895304528676E-2</v>
      </c>
      <c r="N177" s="31">
        <v>2.920231287037374E-3</v>
      </c>
      <c r="O177" s="31">
        <v>0.79977190056512937</v>
      </c>
      <c r="P177" s="31">
        <v>0.63610228542226255</v>
      </c>
      <c r="Q177" s="31">
        <v>0.64266597984612883</v>
      </c>
      <c r="R177" s="31">
        <v>0.52414132731335006</v>
      </c>
      <c r="S177" s="31">
        <v>0.47727800664760928</v>
      </c>
      <c r="T177" s="31">
        <v>0.49041353815233252</v>
      </c>
      <c r="U177" s="31">
        <v>0.40473358553500982</v>
      </c>
      <c r="V177" s="31">
        <v>0.46165995134349902</v>
      </c>
      <c r="W177" s="31">
        <v>0.50835733999011201</v>
      </c>
      <c r="X177" s="31">
        <v>0.74190343389738511</v>
      </c>
      <c r="Y177" s="31">
        <v>0.74892668938075402</v>
      </c>
      <c r="Z177" s="31">
        <v>0.82217328135735079</v>
      </c>
      <c r="AA177" s="31"/>
      <c r="AB177" s="31">
        <v>0.41722708381217544</v>
      </c>
      <c r="AC177" s="31">
        <v>0.32065880090927812</v>
      </c>
      <c r="AD177" s="31">
        <v>0.29886531061326499</v>
      </c>
      <c r="AE177" s="31">
        <v>0.29317217867329254</v>
      </c>
      <c r="AF177" s="31">
        <v>0.28484074743625698</v>
      </c>
      <c r="AG177" s="31">
        <v>0.26637618843343092</v>
      </c>
      <c r="AH177" s="31">
        <v>0.30388339136263259</v>
      </c>
      <c r="AI177" s="31">
        <v>0.27490727723502484</v>
      </c>
      <c r="AJ177" s="31">
        <v>0.3186346980071661</v>
      </c>
      <c r="AK177" s="31">
        <v>0.31676643803947591</v>
      </c>
      <c r="AL177" s="31">
        <v>0.3989464793254543</v>
      </c>
      <c r="AM177" s="37">
        <v>0.42558999511633339</v>
      </c>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row>
    <row r="178" spans="1:131">
      <c r="A178" s="1" t="s">
        <v>755</v>
      </c>
      <c r="B178" s="1"/>
      <c r="C178" s="31">
        <v>21.322455076849025</v>
      </c>
      <c r="D178" s="31">
        <v>7.7516912275500349</v>
      </c>
      <c r="E178" s="31">
        <v>1.550338245510007</v>
      </c>
      <c r="F178" s="31">
        <v>9.3020294730600419</v>
      </c>
      <c r="G178" s="31">
        <v>-11.790654345343119</v>
      </c>
      <c r="H178" s="31">
        <v>13.496329988396266</v>
      </c>
      <c r="I178" s="31">
        <v>3821.5945532688497</v>
      </c>
      <c r="J178" s="31">
        <v>8.1786816522637782</v>
      </c>
      <c r="K178" s="31">
        <v>-49.256412709384371</v>
      </c>
      <c r="L178" s="36">
        <v>2.7106954344406242</v>
      </c>
      <c r="M178" s="31">
        <v>0.17519263114542563</v>
      </c>
      <c r="N178" s="31">
        <v>5.5704529633071051E-3</v>
      </c>
      <c r="O178" s="31">
        <v>1.5255955147280642</v>
      </c>
      <c r="P178" s="31">
        <v>1.2133894587478662</v>
      </c>
      <c r="Q178" s="31">
        <v>1.2259099571124876</v>
      </c>
      <c r="R178" s="31">
        <v>0.99981964541118984</v>
      </c>
      <c r="S178" s="31">
        <v>0.91042606736425147</v>
      </c>
      <c r="T178" s="31">
        <v>0.93548259652339649</v>
      </c>
      <c r="U178" s="31">
        <v>0.77204480717028579</v>
      </c>
      <c r="V178" s="31">
        <v>0.88063402902945986</v>
      </c>
      <c r="W178" s="31">
        <v>0.96971108539821449</v>
      </c>
      <c r="X178" s="31">
        <v>1.4152091994172629</v>
      </c>
      <c r="Y178" s="31">
        <v>1.4286063280943841</v>
      </c>
      <c r="Z178" s="31">
        <v>1.5683270060897629</v>
      </c>
      <c r="AA178" s="31"/>
      <c r="AB178" s="31">
        <v>0.7958766333715297</v>
      </c>
      <c r="AC178" s="31">
        <v>0.61166893720522297</v>
      </c>
      <c r="AD178" s="31">
        <v>0.57009702023442965</v>
      </c>
      <c r="AE178" s="31">
        <v>0.55923715313202227</v>
      </c>
      <c r="AF178" s="31">
        <v>0.5433446291292342</v>
      </c>
      <c r="AG178" s="31">
        <v>0.50812277602807099</v>
      </c>
      <c r="AH178" s="31">
        <v>0.57966920135053146</v>
      </c>
      <c r="AI178" s="31">
        <v>0.52439615447792887</v>
      </c>
      <c r="AJ178" s="31">
        <v>0.60780788343898273</v>
      </c>
      <c r="AK178" s="31">
        <v>0.60424410603565037</v>
      </c>
      <c r="AL178" s="31">
        <v>0.7610056805514156</v>
      </c>
      <c r="AM178" s="37">
        <v>0.81182920680737636</v>
      </c>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row>
    <row r="179" spans="1:131">
      <c r="A179" s="1" t="s">
        <v>758</v>
      </c>
      <c r="B179" s="1"/>
      <c r="C179" s="31">
        <v>50.673589083344737</v>
      </c>
      <c r="D179" s="31">
        <v>8.7470279229324603</v>
      </c>
      <c r="E179" s="31">
        <v>1.7494055845864922</v>
      </c>
      <c r="F179" s="31">
        <v>10.496433507518953</v>
      </c>
      <c r="G179" s="31">
        <v>1.1693365169335761</v>
      </c>
      <c r="H179" s="31">
        <v>31.76919757641544</v>
      </c>
      <c r="I179" s="31">
        <v>1814.5301958902987</v>
      </c>
      <c r="J179" s="31">
        <v>-3.906669716095398</v>
      </c>
      <c r="K179" s="31">
        <v>-6.4266835469852737</v>
      </c>
      <c r="L179" s="36">
        <v>2.5895318769153803</v>
      </c>
      <c r="M179" s="31">
        <v>0.41174803431834395</v>
      </c>
      <c r="N179" s="31">
        <v>1.3238383828380332E-2</v>
      </c>
      <c r="O179" s="31">
        <v>3.6256331619458151</v>
      </c>
      <c r="P179" s="31">
        <v>2.8836641282181006</v>
      </c>
      <c r="Q179" s="31">
        <v>2.9134195474210416</v>
      </c>
      <c r="R179" s="31">
        <v>2.3761077083488051</v>
      </c>
      <c r="S179" s="31">
        <v>2.1636606226678121</v>
      </c>
      <c r="T179" s="31">
        <v>2.2232083744576121</v>
      </c>
      <c r="U179" s="31">
        <v>1.83479253076042</v>
      </c>
      <c r="V179" s="31">
        <v>2.0928587612924954</v>
      </c>
      <c r="W179" s="31">
        <v>2.3045536217068179</v>
      </c>
      <c r="X179" s="31">
        <v>3.3632960735418895</v>
      </c>
      <c r="Y179" s="31">
        <v>3.3951348365283454</v>
      </c>
      <c r="Z179" s="31">
        <v>3.7271861034986045</v>
      </c>
      <c r="AA179" s="31"/>
      <c r="AB179" s="31">
        <v>1.8914297314802717</v>
      </c>
      <c r="AC179" s="31">
        <v>1.4536534497210483</v>
      </c>
      <c r="AD179" s="31">
        <v>1.3548562788327785</v>
      </c>
      <c r="AE179" s="31">
        <v>1.3290474101512062</v>
      </c>
      <c r="AF179" s="31">
        <v>1.291278249521628</v>
      </c>
      <c r="AG179" s="31">
        <v>1.2075722361019934</v>
      </c>
      <c r="AH179" s="31">
        <v>1.377604914989379</v>
      </c>
      <c r="AI179" s="31">
        <v>1.2462465111605538</v>
      </c>
      <c r="AJ179" s="31">
        <v>1.4444775151828353</v>
      </c>
      <c r="AK179" s="31">
        <v>1.4360080687204035</v>
      </c>
      <c r="AL179" s="31">
        <v>1.8085576453259091</v>
      </c>
      <c r="AM179" s="37">
        <v>1.9293416017689646</v>
      </c>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row>
    <row r="180" spans="1:131">
      <c r="A180" s="1" t="s">
        <v>716</v>
      </c>
      <c r="B180" s="1"/>
      <c r="C180" s="31">
        <v>19.236292058718274</v>
      </c>
      <c r="D180" s="31">
        <v>4.9558183711786743</v>
      </c>
      <c r="E180" s="31">
        <v>0.99116367423573493</v>
      </c>
      <c r="F180" s="31">
        <v>5.9469820454144093</v>
      </c>
      <c r="G180" s="31">
        <v>-1.7060687207367309</v>
      </c>
      <c r="H180" s="31">
        <v>12.166979626805681</v>
      </c>
      <c r="I180" s="31">
        <v>2708.1915037892904</v>
      </c>
      <c r="J180" s="31">
        <v>1.4744287377543901</v>
      </c>
      <c r="K180" s="31">
        <v>-15.059976945801358</v>
      </c>
      <c r="L180" s="36">
        <v>2.3962000343412542</v>
      </c>
      <c r="M180" s="31">
        <v>0.15791801659061905</v>
      </c>
      <c r="N180" s="31">
        <v>5.0254466343264623E-3</v>
      </c>
      <c r="O180" s="31">
        <v>1.3763331088755877</v>
      </c>
      <c r="P180" s="31">
        <v>1.0946729129136159</v>
      </c>
      <c r="Q180" s="31">
        <v>1.10596842097751</v>
      </c>
      <c r="R180" s="31">
        <v>0.90199850982713226</v>
      </c>
      <c r="S180" s="31">
        <v>0.8213510905085285</v>
      </c>
      <c r="T180" s="31">
        <v>0.84395611939220683</v>
      </c>
      <c r="U180" s="31">
        <v>0.69650888416077883</v>
      </c>
      <c r="V180" s="31">
        <v>0.79447386889558136</v>
      </c>
      <c r="W180" s="31">
        <v>0.87483573463123632</v>
      </c>
      <c r="X180" s="31">
        <v>1.2767468561222706</v>
      </c>
      <c r="Y180" s="31">
        <v>1.2888332260572761</v>
      </c>
      <c r="Z180" s="31">
        <v>1.4148838032011544</v>
      </c>
      <c r="AA180" s="31"/>
      <c r="AB180" s="31">
        <v>0.71800903353135914</v>
      </c>
      <c r="AC180" s="31">
        <v>0.55182399385616432</v>
      </c>
      <c r="AD180" s="31">
        <v>0.5143194225763198</v>
      </c>
      <c r="AE180" s="31">
        <v>0.50452207163582741</v>
      </c>
      <c r="AF180" s="31">
        <v>0.49018445281257317</v>
      </c>
      <c r="AG180" s="31">
        <v>0.45840866289244864</v>
      </c>
      <c r="AH180" s="31">
        <v>0.52295507315804879</v>
      </c>
      <c r="AI180" s="31">
        <v>0.47308987382783491</v>
      </c>
      <c r="AJ180" s="31">
        <v>0.54834070088478171</v>
      </c>
      <c r="AK180" s="31">
        <v>0.54512559911926328</v>
      </c>
      <c r="AL180" s="31">
        <v>0.68654981223644318</v>
      </c>
      <c r="AM180" s="37">
        <v>0.73240082662432637</v>
      </c>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row>
    <row r="181" spans="1:131">
      <c r="A181" s="1" t="s">
        <v>736</v>
      </c>
      <c r="B181" s="1"/>
      <c r="C181" s="31">
        <v>15.536210538971808</v>
      </c>
      <c r="D181" s="31">
        <v>7.1089579864357049</v>
      </c>
      <c r="E181" s="31">
        <v>1.4217915972871411</v>
      </c>
      <c r="F181" s="31">
        <v>8.5307495837228462</v>
      </c>
      <c r="G181" s="31">
        <v>-8.072545675168449</v>
      </c>
      <c r="H181" s="31">
        <v>10.029186422451275</v>
      </c>
      <c r="I181" s="31">
        <v>4810.0124651347414</v>
      </c>
      <c r="J181" s="31">
        <v>14.130348184412838</v>
      </c>
      <c r="K181" s="31">
        <v>-47.72588478334999</v>
      </c>
      <c r="L181" s="36">
        <v>2.3904493905809714</v>
      </c>
      <c r="M181" s="31">
        <v>0.1305961300779627</v>
      </c>
      <c r="N181" s="31">
        <v>4.0588070052657264E-3</v>
      </c>
      <c r="O181" s="31">
        <v>1.1115968132516232</v>
      </c>
      <c r="P181" s="31">
        <v>0.88411367400858021</v>
      </c>
      <c r="Q181" s="31">
        <v>0.89323650240449115</v>
      </c>
      <c r="R181" s="31">
        <v>0.72849999946647181</v>
      </c>
      <c r="S181" s="31">
        <v>0.66336503051642903</v>
      </c>
      <c r="T181" s="31">
        <v>0.68162200472457402</v>
      </c>
      <c r="U181" s="31">
        <v>0.5625360975782151</v>
      </c>
      <c r="V181" s="31">
        <v>0.64165761557353207</v>
      </c>
      <c r="W181" s="31">
        <v>0.70656195688643419</v>
      </c>
      <c r="X181" s="31">
        <v>1.0311658765180765</v>
      </c>
      <c r="Y181" s="31">
        <v>1.0409274452959347</v>
      </c>
      <c r="Z181" s="31">
        <v>1.1427323201173605</v>
      </c>
      <c r="AA181" s="31"/>
      <c r="AB181" s="31">
        <v>0.57990071474149463</v>
      </c>
      <c r="AC181" s="31">
        <v>0.44568120107742304</v>
      </c>
      <c r="AD181" s="31">
        <v>0.41539059653685312</v>
      </c>
      <c r="AE181" s="31">
        <v>0.40747775624148563</v>
      </c>
      <c r="AF181" s="31">
        <v>0.39589796404527355</v>
      </c>
      <c r="AG181" s="31">
        <v>0.3702342155050527</v>
      </c>
      <c r="AH181" s="31">
        <v>0.42236518837446929</v>
      </c>
      <c r="AI181" s="31">
        <v>0.38209151021460364</v>
      </c>
      <c r="AJ181" s="31">
        <v>0.44286791602190761</v>
      </c>
      <c r="AK181" s="31">
        <v>0.44027123586229888</v>
      </c>
      <c r="AL181" s="31">
        <v>0.55449264316834523</v>
      </c>
      <c r="AM181" s="37">
        <v>0.59152426084087517</v>
      </c>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row>
    <row r="182" spans="1:131">
      <c r="A182" s="1" t="s">
        <v>744</v>
      </c>
      <c r="B182" s="1"/>
      <c r="C182" s="31">
        <v>46.673278979590322</v>
      </c>
      <c r="D182" s="31">
        <v>15.921653708800646</v>
      </c>
      <c r="E182" s="31">
        <v>3.1843307417601294</v>
      </c>
      <c r="F182" s="31">
        <v>19.105984450560776</v>
      </c>
      <c r="G182" s="31">
        <v>-8.7903453648050114</v>
      </c>
      <c r="H182" s="31">
        <v>29.279665081463968</v>
      </c>
      <c r="I182" s="31">
        <v>3585.9581209218372</v>
      </c>
      <c r="J182" s="31">
        <v>6.7598187893809403</v>
      </c>
      <c r="K182" s="31">
        <v>-22.011904676498236</v>
      </c>
      <c r="L182" s="36">
        <v>2.2332836353554177</v>
      </c>
      <c r="M182" s="31">
        <v>0.37952117466876895</v>
      </c>
      <c r="N182" s="31">
        <v>1.2193310022794003E-2</v>
      </c>
      <c r="O182" s="31">
        <v>3.3394158792823707</v>
      </c>
      <c r="P182" s="31">
        <v>2.6560198867776115</v>
      </c>
      <c r="Q182" s="31">
        <v>2.6834263327534305</v>
      </c>
      <c r="R182" s="31">
        <v>2.1885313427260153</v>
      </c>
      <c r="S182" s="31">
        <v>1.9928554042784474</v>
      </c>
      <c r="T182" s="31">
        <v>2.0477022955716913</v>
      </c>
      <c r="U182" s="31">
        <v>1.6899490485467938</v>
      </c>
      <c r="V182" s="31">
        <v>1.927642833232625</v>
      </c>
      <c r="W182" s="31">
        <v>2.1226259291094984</v>
      </c>
      <c r="X182" s="31">
        <v>3.0977883897901326</v>
      </c>
      <c r="Y182" s="31">
        <v>3.127113714759473</v>
      </c>
      <c r="Z182" s="31">
        <v>3.4329519571097302</v>
      </c>
      <c r="AA182" s="31"/>
      <c r="AB182" s="31">
        <v>1.7421151555393914</v>
      </c>
      <c r="AC182" s="31">
        <v>1.3388981168648673</v>
      </c>
      <c r="AD182" s="31">
        <v>1.2479002617163344</v>
      </c>
      <c r="AE182" s="31">
        <v>1.22412881489536</v>
      </c>
      <c r="AF182" s="31">
        <v>1.1893412539039743</v>
      </c>
      <c r="AG182" s="31">
        <v>1.1122432194588867</v>
      </c>
      <c r="AH182" s="31">
        <v>1.2688530590403191</v>
      </c>
      <c r="AI182" s="31">
        <v>1.1478644426995133</v>
      </c>
      <c r="AJ182" s="31">
        <v>1.330446555403608</v>
      </c>
      <c r="AK182" s="31">
        <v>1.3226457099396403</v>
      </c>
      <c r="AL182" s="31">
        <v>1.6657852158869719</v>
      </c>
      <c r="AM182" s="37">
        <v>1.7770341603036266</v>
      </c>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row>
    <row r="183" spans="1:131">
      <c r="A183" s="1" t="s">
        <v>732</v>
      </c>
      <c r="B183" s="1"/>
      <c r="C183" s="31">
        <v>10.681196090262945</v>
      </c>
      <c r="D183" s="31">
        <v>9.6685045482595466</v>
      </c>
      <c r="E183" s="31">
        <v>1.9337009096519093</v>
      </c>
      <c r="F183" s="31">
        <v>11.602205457911456</v>
      </c>
      <c r="G183" s="31">
        <v>-13.14197018702332</v>
      </c>
      <c r="H183" s="31">
        <v>6.8735239870354583</v>
      </c>
      <c r="I183" s="31">
        <v>9515.3500555949759</v>
      </c>
      <c r="J183" s="31">
        <v>42.463100882853119</v>
      </c>
      <c r="K183" s="31">
        <v>-99.87829920820603</v>
      </c>
      <c r="L183" s="36">
        <v>2.1795149120847048</v>
      </c>
      <c r="M183" s="31">
        <v>8.9459966624327078E-2</v>
      </c>
      <c r="N183" s="31">
        <v>2.7904432298357131E-3</v>
      </c>
      <c r="O183" s="31">
        <v>0.7642264827622347</v>
      </c>
      <c r="P183" s="31">
        <v>0.60783107273682868</v>
      </c>
      <c r="Q183" s="31">
        <v>0.61410304740852306</v>
      </c>
      <c r="R183" s="31">
        <v>0.50084615721053449</v>
      </c>
      <c r="S183" s="31">
        <v>0.45606565079660444</v>
      </c>
      <c r="T183" s="31">
        <v>0.46861738090111776</v>
      </c>
      <c r="U183" s="31">
        <v>0.38674542617789825</v>
      </c>
      <c r="V183" s="31">
        <v>0.44114173128378797</v>
      </c>
      <c r="W183" s="31">
        <v>0.48576368043499596</v>
      </c>
      <c r="X183" s="31">
        <v>0.70892994794639019</v>
      </c>
      <c r="Y183" s="31">
        <v>0.71564105874160944</v>
      </c>
      <c r="Z183" s="31">
        <v>0.78563224663035736</v>
      </c>
      <c r="AA183" s="31"/>
      <c r="AB183" s="31">
        <v>0.39868365786496762</v>
      </c>
      <c r="AC183" s="31">
        <v>0.30640729864664351</v>
      </c>
      <c r="AD183" s="31">
        <v>0.28558240791934209</v>
      </c>
      <c r="AE183" s="31">
        <v>0.28014230406559065</v>
      </c>
      <c r="AF183" s="31">
        <v>0.27218115866131221</v>
      </c>
      <c r="AG183" s="31">
        <v>0.25453724672527844</v>
      </c>
      <c r="AH183" s="31">
        <v>0.29037746285762667</v>
      </c>
      <c r="AI183" s="31">
        <v>0.26268917602457925</v>
      </c>
      <c r="AJ183" s="31">
        <v>0.30447315587351431</v>
      </c>
      <c r="AK183" s="31">
        <v>0.30268792968216585</v>
      </c>
      <c r="AL183" s="31">
        <v>0.3812155246887674</v>
      </c>
      <c r="AM183" s="37">
        <v>0.4066748842222741</v>
      </c>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row>
    <row r="184" spans="1:131">
      <c r="A184" s="1" t="s">
        <v>734</v>
      </c>
      <c r="B184" s="1"/>
      <c r="C184" s="31">
        <v>20.374790406766845</v>
      </c>
      <c r="D184" s="31">
        <v>9.8657888350636807</v>
      </c>
      <c r="E184" s="31">
        <v>1.9731577670127363</v>
      </c>
      <c r="F184" s="31">
        <v>11.838946602076417</v>
      </c>
      <c r="G184" s="31">
        <v>-8.2543854914599706</v>
      </c>
      <c r="H184" s="31">
        <v>12.896493100023097</v>
      </c>
      <c r="I184" s="31">
        <v>5090.0730836350431</v>
      </c>
      <c r="J184" s="31">
        <v>15.81670715271061</v>
      </c>
      <c r="K184" s="31">
        <v>-38.377975660533203</v>
      </c>
      <c r="L184" s="36">
        <v>2.1597603385214326</v>
      </c>
      <c r="M184" s="31">
        <v>0.16740629198340662</v>
      </c>
      <c r="N184" s="31">
        <v>5.3228772760490119E-3</v>
      </c>
      <c r="O184" s="31">
        <v>1.4577912696290392</v>
      </c>
      <c r="P184" s="31">
        <v>1.1594610383590722</v>
      </c>
      <c r="Q184" s="31">
        <v>1.1714250701297106</v>
      </c>
      <c r="R184" s="31">
        <v>0.95538321672624815</v>
      </c>
      <c r="S184" s="31">
        <v>0.86996268659250697</v>
      </c>
      <c r="T184" s="31">
        <v>0.89390559223346777</v>
      </c>
      <c r="U184" s="31">
        <v>0.73773170462938431</v>
      </c>
      <c r="V184" s="31">
        <v>0.84149473885037285</v>
      </c>
      <c r="W184" s="31">
        <v>0.92661281493607173</v>
      </c>
      <c r="X184" s="31">
        <v>1.3523110127764957</v>
      </c>
      <c r="Y184" s="31">
        <v>1.3651127135124117</v>
      </c>
      <c r="Z184" s="31">
        <v>1.4986235835968849</v>
      </c>
      <c r="AA184" s="31"/>
      <c r="AB184" s="31">
        <v>0.76050433855501731</v>
      </c>
      <c r="AC184" s="31">
        <v>0.58448365110721312</v>
      </c>
      <c r="AD184" s="31">
        <v>0.54475937489067727</v>
      </c>
      <c r="AE184" s="31">
        <v>0.53438216854837683</v>
      </c>
      <c r="AF184" s="31">
        <v>0.51919597894571268</v>
      </c>
      <c r="AG184" s="31">
        <v>0.48553954153793449</v>
      </c>
      <c r="AH184" s="31">
        <v>0.55390612573495235</v>
      </c>
      <c r="AI184" s="31">
        <v>0.5010896587233542</v>
      </c>
      <c r="AJ184" s="31">
        <v>0.58079419973058355</v>
      </c>
      <c r="AK184" s="31">
        <v>0.57738881243406592</v>
      </c>
      <c r="AL184" s="31">
        <v>0.72718320586024165</v>
      </c>
      <c r="AM184" s="37">
        <v>0.77574790872704857</v>
      </c>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row>
    <row r="185" spans="1:131">
      <c r="A185" s="1" t="s">
        <v>740</v>
      </c>
      <c r="B185" s="1"/>
      <c r="C185" s="31">
        <v>48.421429568529426</v>
      </c>
      <c r="D185" s="31">
        <v>11.132580992823133</v>
      </c>
      <c r="E185" s="31">
        <v>2.2265161985646267</v>
      </c>
      <c r="F185" s="31">
        <v>13.359097191387759</v>
      </c>
      <c r="G185" s="31">
        <v>5.1596712064757035</v>
      </c>
      <c r="H185" s="31">
        <v>30.357233239685861</v>
      </c>
      <c r="I185" s="31">
        <v>2416.816117147755</v>
      </c>
      <c r="J185" s="31">
        <v>-0.28006105461767672</v>
      </c>
      <c r="K185" s="31">
        <v>-0.28395098554769854</v>
      </c>
      <c r="L185" s="36">
        <v>2.093839740603169</v>
      </c>
      <c r="M185" s="31">
        <v>0.39344812168197285</v>
      </c>
      <c r="N185" s="31">
        <v>1.2650011213785653E-2</v>
      </c>
      <c r="O185" s="31">
        <v>3.4644939103037795</v>
      </c>
      <c r="P185" s="31">
        <v>2.7555012780750743</v>
      </c>
      <c r="Q185" s="31">
        <v>2.783934234202329</v>
      </c>
      <c r="R185" s="31">
        <v>2.2705029213110808</v>
      </c>
      <c r="S185" s="31">
        <v>2.067497928327021</v>
      </c>
      <c r="T185" s="31">
        <v>2.1243991133706071</v>
      </c>
      <c r="U185" s="31">
        <v>1.7532461960599572</v>
      </c>
      <c r="V185" s="31">
        <v>1.9998428163461626</v>
      </c>
      <c r="W185" s="31">
        <v>2.2021290162976261</v>
      </c>
      <c r="X185" s="31">
        <v>3.2138162480511396</v>
      </c>
      <c r="Y185" s="31">
        <v>3.2442399549048635</v>
      </c>
      <c r="Z185" s="31">
        <v>3.5615333877875557</v>
      </c>
      <c r="AA185" s="31"/>
      <c r="AB185" s="31">
        <v>1.8073661878589267</v>
      </c>
      <c r="AC185" s="31">
        <v>1.3890466297334463</v>
      </c>
      <c r="AD185" s="31">
        <v>1.2946404442179886</v>
      </c>
      <c r="AE185" s="31">
        <v>1.2699786363667083</v>
      </c>
      <c r="AF185" s="31">
        <v>1.2338881050984445</v>
      </c>
      <c r="AG185" s="31">
        <v>1.1539023589419051</v>
      </c>
      <c r="AH185" s="31">
        <v>1.3163780298787402</v>
      </c>
      <c r="AI185" s="31">
        <v>1.1908577773311961</v>
      </c>
      <c r="AJ185" s="31">
        <v>1.3802785145080427</v>
      </c>
      <c r="AK185" s="31">
        <v>1.3721854878883859</v>
      </c>
      <c r="AL185" s="31">
        <v>1.7281773055336467</v>
      </c>
      <c r="AM185" s="37">
        <v>1.8435930861347887</v>
      </c>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row>
    <row r="186" spans="1:131">
      <c r="A186" s="1" t="s">
        <v>747</v>
      </c>
      <c r="B186" s="1"/>
      <c r="C186" s="31">
        <v>15.166068390464758</v>
      </c>
      <c r="D186" s="31">
        <v>7.2412963974195161</v>
      </c>
      <c r="E186" s="31">
        <v>1.4482592794839033</v>
      </c>
      <c r="F186" s="31">
        <v>8.689555676903419</v>
      </c>
      <c r="G186" s="31">
        <v>-2.2536614837457249</v>
      </c>
      <c r="H186" s="31">
        <v>9.6594989807017555</v>
      </c>
      <c r="I186" s="31">
        <v>5019.1325642137153</v>
      </c>
      <c r="J186" s="31">
        <v>15.389545412575663</v>
      </c>
      <c r="K186" s="31">
        <v>-19.792953526125213</v>
      </c>
      <c r="L186" s="36">
        <v>1.8927814549359303</v>
      </c>
      <c r="M186" s="31">
        <v>0.12551334229503877</v>
      </c>
      <c r="N186" s="31">
        <v>3.96210803600704E-3</v>
      </c>
      <c r="O186" s="31">
        <v>1.0851135964016425</v>
      </c>
      <c r="P186" s="31">
        <v>0.86305012482449117</v>
      </c>
      <c r="Q186" s="31">
        <v>0.87195560657113691</v>
      </c>
      <c r="R186" s="31">
        <v>0.71114386527187501</v>
      </c>
      <c r="S186" s="31">
        <v>0.64756070313402958</v>
      </c>
      <c r="T186" s="31">
        <v>0.66538271441207719</v>
      </c>
      <c r="U186" s="31">
        <v>0.54913396716500618</v>
      </c>
      <c r="V186" s="31">
        <v>0.62637045608000386</v>
      </c>
      <c r="W186" s="31">
        <v>0.68972848516440399</v>
      </c>
      <c r="X186" s="31">
        <v>1.0065988849699035</v>
      </c>
      <c r="Y186" s="31">
        <v>1.0161278894405794</v>
      </c>
      <c r="Z186" s="31">
        <v>1.1155073159842306</v>
      </c>
      <c r="AA186" s="31"/>
      <c r="AB186" s="31">
        <v>0.56608488134140256</v>
      </c>
      <c r="AC186" s="31">
        <v>0.435063077893382</v>
      </c>
      <c r="AD186" s="31">
        <v>0.40549413127680195</v>
      </c>
      <c r="AE186" s="31">
        <v>0.39776981029252217</v>
      </c>
      <c r="AF186" s="31">
        <v>0.38646590063227465</v>
      </c>
      <c r="AG186" s="31">
        <v>0.36141357757445147</v>
      </c>
      <c r="AH186" s="31">
        <v>0.4123025570856263</v>
      </c>
      <c r="AI186" s="31">
        <v>0.37298837839475796</v>
      </c>
      <c r="AJ186" s="31">
        <v>0.43231681789344234</v>
      </c>
      <c r="AK186" s="31">
        <v>0.42978200229024216</v>
      </c>
      <c r="AL186" s="31">
        <v>0.54128214387967721</v>
      </c>
      <c r="AM186" s="37">
        <v>0.57743150249079578</v>
      </c>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row>
    <row r="187" spans="1:131">
      <c r="A187" s="1" t="s">
        <v>718</v>
      </c>
      <c r="B187" s="1"/>
      <c r="C187" s="31">
        <v>14.492020906444102</v>
      </c>
      <c r="D187" s="31">
        <v>9.216195414897566</v>
      </c>
      <c r="E187" s="31">
        <v>1.8432390829795133</v>
      </c>
      <c r="F187" s="31">
        <v>11.05943449787708</v>
      </c>
      <c r="G187" s="31">
        <v>1.0497687175142649</v>
      </c>
      <c r="H187" s="31">
        <v>9.2301879148927899</v>
      </c>
      <c r="I187" s="31">
        <v>6685.1025696715451</v>
      </c>
      <c r="J187" s="31">
        <v>25.421028863062588</v>
      </c>
      <c r="K187" s="31">
        <v>-3.5286913755547569</v>
      </c>
      <c r="L187" s="36">
        <v>1.4930168008530333</v>
      </c>
      <c r="M187" s="31">
        <v>0.11993497152637034</v>
      </c>
      <c r="N187" s="31">
        <v>3.7860143455178382E-3</v>
      </c>
      <c r="O187" s="31">
        <v>1.0368863254504586</v>
      </c>
      <c r="P187" s="31">
        <v>0.8246923414989582</v>
      </c>
      <c r="Q187" s="31">
        <v>0.83320202405686417</v>
      </c>
      <c r="R187" s="31">
        <v>0.67953747125979169</v>
      </c>
      <c r="S187" s="31">
        <v>0.61878022743918382</v>
      </c>
      <c r="T187" s="31">
        <v>0.63581014932709601</v>
      </c>
      <c r="U187" s="31">
        <v>0.52472801306878369</v>
      </c>
      <c r="V187" s="31">
        <v>0.59853176914311479</v>
      </c>
      <c r="W187" s="31">
        <v>0.65907388582376392</v>
      </c>
      <c r="X187" s="31">
        <v>0.96186115674901895</v>
      </c>
      <c r="Y187" s="31">
        <v>0.97096664990988701</v>
      </c>
      <c r="Z187" s="31">
        <v>1.065929213051598</v>
      </c>
      <c r="AA187" s="31"/>
      <c r="AB187" s="31">
        <v>0.5409255532817846</v>
      </c>
      <c r="AC187" s="31">
        <v>0.41572694109812058</v>
      </c>
      <c r="AD187" s="31">
        <v>0.3874721698867219</v>
      </c>
      <c r="AE187" s="31">
        <v>0.38009115205729899</v>
      </c>
      <c r="AF187" s="31">
        <v>0.36928963838195134</v>
      </c>
      <c r="AG187" s="31">
        <v>0.34535075190447584</v>
      </c>
      <c r="AH187" s="31">
        <v>0.39397799899293179</v>
      </c>
      <c r="AI187" s="31">
        <v>0.35641111713276868</v>
      </c>
      <c r="AJ187" s="31">
        <v>0.41310273709817824</v>
      </c>
      <c r="AK187" s="31">
        <v>0.41068057996623142</v>
      </c>
      <c r="AL187" s="31">
        <v>0.51722515970724714</v>
      </c>
      <c r="AM187" s="37">
        <v>0.55176788015787159</v>
      </c>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row>
    <row r="188" spans="1:131">
      <c r="A188" s="1" t="s">
        <v>749</v>
      </c>
      <c r="B188" s="1"/>
      <c r="C188" s="31">
        <v>1.9210010172979759</v>
      </c>
      <c r="D188" s="31">
        <v>1.3200932224231732</v>
      </c>
      <c r="E188" s="31">
        <v>0.26401864448463463</v>
      </c>
      <c r="F188" s="31">
        <v>1.5841118669078078</v>
      </c>
      <c r="G188" s="31">
        <v>0.74943424862686059</v>
      </c>
      <c r="H188" s="31">
        <v>1.2226820472904469</v>
      </c>
      <c r="I188" s="31">
        <v>7223.7441985486957</v>
      </c>
      <c r="J188" s="31">
        <v>28.664409336974281</v>
      </c>
      <c r="K188" s="31">
        <v>19.879331870717266</v>
      </c>
      <c r="L188" s="36">
        <v>1.2001111462563916</v>
      </c>
      <c r="M188" s="31">
        <v>1.5885518265199343E-2</v>
      </c>
      <c r="N188" s="31">
        <v>5.0185805390402609E-4</v>
      </c>
      <c r="O188" s="31">
        <v>0.13744526721783706</v>
      </c>
      <c r="P188" s="31">
        <v>0.10931772988768557</v>
      </c>
      <c r="Q188" s="31">
        <v>0.11044573742756919</v>
      </c>
      <c r="R188" s="31">
        <v>9.0076614021560725E-2</v>
      </c>
      <c r="S188" s="31">
        <v>8.2022890669856893E-2</v>
      </c>
      <c r="T188" s="31">
        <v>8.4280305110698436E-2</v>
      </c>
      <c r="U188" s="31">
        <v>6.955572679733403E-2</v>
      </c>
      <c r="V188" s="31">
        <v>7.9338840651120859E-2</v>
      </c>
      <c r="W188" s="31">
        <v>8.7364047658735955E-2</v>
      </c>
      <c r="X188" s="31">
        <v>0.12750024807048468</v>
      </c>
      <c r="Y188" s="31">
        <v>0.12870723374473589</v>
      </c>
      <c r="Z188" s="31">
        <v>0.14129506960131633</v>
      </c>
      <c r="AA188" s="31"/>
      <c r="AB188" s="31">
        <v>7.1702804242762208E-2</v>
      </c>
      <c r="AC188" s="31">
        <v>5.5107005566942716E-2</v>
      </c>
      <c r="AD188" s="31">
        <v>5.1361672559833739E-2</v>
      </c>
      <c r="AE188" s="31">
        <v>5.0383276044223477E-2</v>
      </c>
      <c r="AF188" s="31">
        <v>4.8951473061557747E-2</v>
      </c>
      <c r="AG188" s="31">
        <v>4.5778235486682146E-2</v>
      </c>
      <c r="AH188" s="31">
        <v>5.2224057758701252E-2</v>
      </c>
      <c r="AI188" s="31">
        <v>4.7244350736749853E-2</v>
      </c>
      <c r="AJ188" s="31">
        <v>5.4759152180170065E-2</v>
      </c>
      <c r="AK188" s="31">
        <v>5.4438081271939699E-2</v>
      </c>
      <c r="AL188" s="31">
        <v>6.8561180278722517E-2</v>
      </c>
      <c r="AM188" s="37">
        <v>7.3140017250754669E-2</v>
      </c>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row>
    <row r="189" spans="1:131">
      <c r="A189" s="1" t="s">
        <v>750</v>
      </c>
      <c r="B189" s="1"/>
      <c r="C189" s="31">
        <v>7.4978046901704554</v>
      </c>
      <c r="D189" s="31">
        <v>3.4925672929957736</v>
      </c>
      <c r="E189" s="31">
        <v>0.69851345859915481</v>
      </c>
      <c r="F189" s="31">
        <v>4.191080751594928</v>
      </c>
      <c r="G189" s="31">
        <v>4.821694988712542</v>
      </c>
      <c r="H189" s="31">
        <v>4.8175252472340242</v>
      </c>
      <c r="I189" s="31">
        <v>4896.6155963095534</v>
      </c>
      <c r="J189" s="31">
        <v>14.651820884578129</v>
      </c>
      <c r="K189" s="31">
        <v>38.047469279788793</v>
      </c>
      <c r="L189" s="127">
        <v>0.99934936379134165</v>
      </c>
      <c r="M189" s="31">
        <v>6.2685492561143794E-2</v>
      </c>
      <c r="N189" s="31">
        <v>1.9587879633994761E-3</v>
      </c>
      <c r="O189" s="31">
        <v>0.53645873162376279</v>
      </c>
      <c r="P189" s="31">
        <v>0.42667493691573455</v>
      </c>
      <c r="Q189" s="31">
        <v>0.43107763121257736</v>
      </c>
      <c r="R189" s="31">
        <v>0.35157548226366747</v>
      </c>
      <c r="S189" s="31">
        <v>0.32014122263757089</v>
      </c>
      <c r="T189" s="31">
        <v>0.32895207303785196</v>
      </c>
      <c r="U189" s="31">
        <v>0.27148098825205935</v>
      </c>
      <c r="V189" s="31">
        <v>0.30966518299057599</v>
      </c>
      <c r="W189" s="31">
        <v>0.34098814128131166</v>
      </c>
      <c r="X189" s="31">
        <v>0.49764260891720863</v>
      </c>
      <c r="Y189" s="31">
        <v>0.50235356053455782</v>
      </c>
      <c r="Z189" s="31">
        <v>0.55148478632501485</v>
      </c>
      <c r="AA189" s="31"/>
      <c r="AB189" s="31">
        <v>0.27986118544900518</v>
      </c>
      <c r="AC189" s="31">
        <v>0.21508659343774925</v>
      </c>
      <c r="AD189" s="31">
        <v>0.20046829020204826</v>
      </c>
      <c r="AE189" s="31">
        <v>0.19664953845879962</v>
      </c>
      <c r="AF189" s="31">
        <v>0.19106110876919372</v>
      </c>
      <c r="AG189" s="31">
        <v>0.17867573501994241</v>
      </c>
      <c r="AH189" s="31">
        <v>0.20383424145901183</v>
      </c>
      <c r="AI189" s="31">
        <v>0.18439808794911994</v>
      </c>
      <c r="AJ189" s="31">
        <v>0.21372889673100612</v>
      </c>
      <c r="AK189" s="31">
        <v>0.21247573395809255</v>
      </c>
      <c r="AL189" s="31">
        <v>0.26759920188927711</v>
      </c>
      <c r="AM189" s="37">
        <v>0.28547073085531477</v>
      </c>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row>
    <row r="190" spans="1:131">
      <c r="A190" s="1" t="s">
        <v>722</v>
      </c>
      <c r="B190" s="1"/>
      <c r="C190" s="31">
        <v>1.835623194306955</v>
      </c>
      <c r="D190" s="31">
        <v>1.6801186467204023</v>
      </c>
      <c r="E190" s="31">
        <v>0.33602372934408048</v>
      </c>
      <c r="F190" s="31">
        <v>2.016142376064483</v>
      </c>
      <c r="G190" s="31">
        <v>1.3516518047243213</v>
      </c>
      <c r="H190" s="31">
        <v>1.1683406229664273</v>
      </c>
      <c r="I190" s="31">
        <v>9621.4774737540774</v>
      </c>
      <c r="J190" s="31">
        <v>43.102137261310219</v>
      </c>
      <c r="K190" s="31">
        <v>45.354656455601045</v>
      </c>
      <c r="L190" s="127">
        <v>0.93807418020603051</v>
      </c>
      <c r="M190" s="31">
        <v>1.5179495231190485E-2</v>
      </c>
      <c r="N190" s="31">
        <v>4.7955325150829165E-4</v>
      </c>
      <c r="O190" s="31">
        <v>0.13133658867482209</v>
      </c>
      <c r="P190" s="31">
        <v>0.10445916411489954</v>
      </c>
      <c r="Q190" s="31">
        <v>0.1055370379863439</v>
      </c>
      <c r="R190" s="31">
        <v>8.6073208953935804E-2</v>
      </c>
      <c r="S190" s="31">
        <v>7.837742886230771E-2</v>
      </c>
      <c r="T190" s="31">
        <v>8.0534513772445179E-2</v>
      </c>
      <c r="U190" s="31">
        <v>6.6464361161896968E-2</v>
      </c>
      <c r="V190" s="31">
        <v>7.5812669955515485E-2</v>
      </c>
      <c r="W190" s="31">
        <v>8.3481201096125474E-2</v>
      </c>
      <c r="X190" s="31">
        <v>0.12183357037846314</v>
      </c>
      <c r="Y190" s="31">
        <v>0.12298691224496987</v>
      </c>
      <c r="Z190" s="31">
        <v>0.13501528873014673</v>
      </c>
      <c r="AA190" s="31"/>
      <c r="AB190" s="31">
        <v>6.851601294308389E-2</v>
      </c>
      <c r="AC190" s="31">
        <v>5.2657805319523042E-2</v>
      </c>
      <c r="AD190" s="31">
        <v>4.9078931557174459E-2</v>
      </c>
      <c r="AE190" s="31">
        <v>4.8144019331146884E-2</v>
      </c>
      <c r="AF190" s="31">
        <v>4.6775852036599626E-2</v>
      </c>
      <c r="AG190" s="31">
        <v>4.3743647242829607E-2</v>
      </c>
      <c r="AH190" s="31">
        <v>4.99029885249812E-2</v>
      </c>
      <c r="AI190" s="31">
        <v>4.5144601815116529E-2</v>
      </c>
      <c r="AJ190" s="31">
        <v>5.2325412083273619E-2</v>
      </c>
      <c r="AK190" s="31">
        <v>5.2018610993186824E-2</v>
      </c>
      <c r="AL190" s="31">
        <v>6.5514016710779291E-2</v>
      </c>
      <c r="AM190" s="37">
        <v>6.98893498173878E-2</v>
      </c>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row>
    <row r="191" spans="1:131">
      <c r="A191" s="1" t="s">
        <v>724</v>
      </c>
      <c r="B191" s="1"/>
      <c r="C191" s="31">
        <v>7.1645689261628798</v>
      </c>
      <c r="D191" s="31">
        <v>4.4450856456309848</v>
      </c>
      <c r="E191" s="31">
        <v>0.88901712912619701</v>
      </c>
      <c r="F191" s="31">
        <v>5.3341027747571816</v>
      </c>
      <c r="G191" s="31">
        <v>6.4149804506536565</v>
      </c>
      <c r="H191" s="31">
        <v>4.6034130140236211</v>
      </c>
      <c r="I191" s="31">
        <v>6521.9192931818579</v>
      </c>
      <c r="J191" s="31">
        <v>24.438435939936909</v>
      </c>
      <c r="K191" s="31">
        <v>56.611757463143533</v>
      </c>
      <c r="L191" s="127">
        <v>0.7728958770817479</v>
      </c>
      <c r="M191" s="31">
        <v>5.9899470669537443E-2</v>
      </c>
      <c r="N191" s="31">
        <v>1.8717307205817217E-3</v>
      </c>
      <c r="O191" s="31">
        <v>0.5126161213293734</v>
      </c>
      <c r="P191" s="31">
        <v>0.40771160638614634</v>
      </c>
      <c r="Q191" s="31">
        <v>0.41191862538090729</v>
      </c>
      <c r="R191" s="31">
        <v>0.33594990527417118</v>
      </c>
      <c r="S191" s="31">
        <v>0.3059127238536789</v>
      </c>
      <c r="T191" s="31">
        <v>0.31433198090283632</v>
      </c>
      <c r="U191" s="31">
        <v>0.25941516655196784</v>
      </c>
      <c r="V191" s="31">
        <v>0.2959022859687726</v>
      </c>
      <c r="W191" s="31">
        <v>0.32583311277992005</v>
      </c>
      <c r="X191" s="31">
        <v>0.47552515963199937</v>
      </c>
      <c r="Y191" s="31">
        <v>0.48002673562191084</v>
      </c>
      <c r="Z191" s="31">
        <v>0.52697435137723647</v>
      </c>
      <c r="AA191" s="31"/>
      <c r="AB191" s="31">
        <v>0.26742291054016054</v>
      </c>
      <c r="AC191" s="31">
        <v>0.20552718928496042</v>
      </c>
      <c r="AD191" s="31">
        <v>0.19155858841529055</v>
      </c>
      <c r="AE191" s="31">
        <v>0.18790955897174189</v>
      </c>
      <c r="AF191" s="31">
        <v>0.18256950393500734</v>
      </c>
      <c r="AG191" s="31">
        <v>0.17073459124127832</v>
      </c>
      <c r="AH191" s="31">
        <v>0.19477494183861133</v>
      </c>
      <c r="AI191" s="31">
        <v>0.17620261737360352</v>
      </c>
      <c r="AJ191" s="31">
        <v>0.20422983465407252</v>
      </c>
      <c r="AK191" s="31">
        <v>0.20303236800439955</v>
      </c>
      <c r="AL191" s="31">
        <v>0.25570590402753146</v>
      </c>
      <c r="AM191" s="37">
        <v>0.27278314281730076</v>
      </c>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row>
    <row r="192" spans="1:131">
      <c r="A192" s="1" t="s">
        <v>751</v>
      </c>
      <c r="B192" s="1"/>
      <c r="C192" s="31">
        <v>14.009308234872018</v>
      </c>
      <c r="D192" s="31">
        <v>9.2685010927030476</v>
      </c>
      <c r="E192" s="31">
        <v>1.8537002185406095</v>
      </c>
      <c r="F192" s="31">
        <v>11.122201311243657</v>
      </c>
      <c r="G192" s="31">
        <v>14.121683248284867</v>
      </c>
      <c r="H192" s="31">
        <v>9.1017903519535359</v>
      </c>
      <c r="I192" s="31">
        <v>6954.696252879221</v>
      </c>
      <c r="J192" s="31">
        <v>27.044362153934426</v>
      </c>
      <c r="K192" s="31">
        <v>64.372768585347757</v>
      </c>
      <c r="L192" s="127">
        <v>0.69505862549913056</v>
      </c>
      <c r="M192" s="31">
        <v>0.118639775803542</v>
      </c>
      <c r="N192" s="31">
        <v>3.659906529973458E-3</v>
      </c>
      <c r="O192" s="31">
        <v>1.0023488257113993</v>
      </c>
      <c r="P192" s="31">
        <v>0.79722278111397538</v>
      </c>
      <c r="Q192" s="31">
        <v>0.80544901586095996</v>
      </c>
      <c r="R192" s="31">
        <v>0.65690285388635883</v>
      </c>
      <c r="S192" s="31">
        <v>0.59816936449388325</v>
      </c>
      <c r="T192" s="31">
        <v>0.61463203912592634</v>
      </c>
      <c r="U192" s="31">
        <v>0.50724992200941221</v>
      </c>
      <c r="V192" s="31">
        <v>0.57859535922699556</v>
      </c>
      <c r="W192" s="31">
        <v>0.63712088711894432</v>
      </c>
      <c r="X192" s="31">
        <v>0.92982265972689038</v>
      </c>
      <c r="Y192" s="31">
        <v>0.93862485930585982</v>
      </c>
      <c r="Z192" s="31">
        <v>1.0304243278833694</v>
      </c>
      <c r="AA192" s="31"/>
      <c r="AB192" s="31">
        <v>0.52290794064984647</v>
      </c>
      <c r="AC192" s="31">
        <v>0.40187955130497377</v>
      </c>
      <c r="AD192" s="31">
        <v>0.37456591426555569</v>
      </c>
      <c r="AE192" s="31">
        <v>0.36743074971348882</v>
      </c>
      <c r="AF192" s="31">
        <v>0.35698902212711459</v>
      </c>
      <c r="AG192" s="31">
        <v>0.33384751262836426</v>
      </c>
      <c r="AH192" s="31">
        <v>0.38085504163162015</v>
      </c>
      <c r="AI192" s="31">
        <v>0.34453946971797317</v>
      </c>
      <c r="AJ192" s="31">
        <v>0.39934275654434592</v>
      </c>
      <c r="AK192" s="31">
        <v>0.39700127870120755</v>
      </c>
      <c r="AL192" s="31">
        <v>0.49999698012771288</v>
      </c>
      <c r="AM192" s="37">
        <v>0.53338912199583788</v>
      </c>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row>
    <row r="193" spans="1:131">
      <c r="A193" s="1" t="s">
        <v>726</v>
      </c>
      <c r="B193" s="1"/>
      <c r="C193" s="31">
        <v>13.386672313322151</v>
      </c>
      <c r="D193" s="31">
        <v>11.796274117985698</v>
      </c>
      <c r="E193" s="31">
        <v>2.3592548235971398</v>
      </c>
      <c r="F193" s="31">
        <v>14.155528941582837</v>
      </c>
      <c r="G193" s="31">
        <v>18.349910453700371</v>
      </c>
      <c r="H193" s="31">
        <v>8.6972663363111558</v>
      </c>
      <c r="I193" s="31">
        <v>9263.1260873444171</v>
      </c>
      <c r="J193" s="31">
        <v>40.944357715189497</v>
      </c>
      <c r="K193" s="31">
        <v>91.063681093838966</v>
      </c>
      <c r="L193" s="127">
        <v>0.53250219897303108</v>
      </c>
      <c r="M193" s="31">
        <v>0.11336689687893985</v>
      </c>
      <c r="N193" s="31">
        <v>3.4972440175301935E-3</v>
      </c>
      <c r="O193" s="31">
        <v>0.95779998901311492</v>
      </c>
      <c r="P193" s="31">
        <v>0.76179065750890984</v>
      </c>
      <c r="Q193" s="31">
        <v>0.76965128182269515</v>
      </c>
      <c r="R193" s="31">
        <v>0.62770717149140953</v>
      </c>
      <c r="S193" s="31">
        <v>0.57158405940526624</v>
      </c>
      <c r="T193" s="31">
        <v>0.58731505960921848</v>
      </c>
      <c r="U193" s="31">
        <v>0.48470548103121619</v>
      </c>
      <c r="V193" s="31">
        <v>0.552880009928018</v>
      </c>
      <c r="W193" s="31">
        <v>0.60880440324699125</v>
      </c>
      <c r="X193" s="31">
        <v>0.888497208183473</v>
      </c>
      <c r="Y193" s="31">
        <v>0.89690819889226614</v>
      </c>
      <c r="Z193" s="31">
        <v>0.98462769108855308</v>
      </c>
      <c r="AA193" s="31"/>
      <c r="AB193" s="31">
        <v>0.49966758773207559</v>
      </c>
      <c r="AC193" s="31">
        <v>0.38401823791364159</v>
      </c>
      <c r="AD193" s="31">
        <v>0.35791854029819764</v>
      </c>
      <c r="AE193" s="31">
        <v>0.35110049417066713</v>
      </c>
      <c r="AF193" s="31">
        <v>0.34112284336590948</v>
      </c>
      <c r="AG193" s="31">
        <v>0.31900984540043698</v>
      </c>
      <c r="AH193" s="31">
        <v>0.36392815089243707</v>
      </c>
      <c r="AI193" s="31">
        <v>0.32922660439717438</v>
      </c>
      <c r="AJ193" s="31">
        <v>0.38159418958681945</v>
      </c>
      <c r="AK193" s="31">
        <v>0.37935677742559831</v>
      </c>
      <c r="AL193" s="31">
        <v>0.47777489212203672</v>
      </c>
      <c r="AM193" s="37">
        <v>0.50968293879602289</v>
      </c>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row>
    <row r="194" spans="1:131">
      <c r="A194" s="1" t="s">
        <v>748</v>
      </c>
      <c r="B194" s="1"/>
      <c r="C194" s="31">
        <v>7.5107020440195642</v>
      </c>
      <c r="D194" s="31">
        <v>19.103497090677337</v>
      </c>
      <c r="E194" s="31">
        <v>3.8206994181354674</v>
      </c>
      <c r="F194" s="31">
        <v>22.924196508812805</v>
      </c>
      <c r="G194" s="31">
        <v>26.782669954381539</v>
      </c>
      <c r="H194" s="31">
        <v>4.7694158771376838</v>
      </c>
      <c r="I194" s="31">
        <v>26737.309007897726</v>
      </c>
      <c r="J194" s="31">
        <v>146.16352504956146</v>
      </c>
      <c r="K194" s="31">
        <v>253.66864707291808</v>
      </c>
      <c r="L194" s="127">
        <v>0.32430364083465879</v>
      </c>
      <c r="M194" s="31">
        <v>6.1942980598568342E-2</v>
      </c>
      <c r="N194" s="31">
        <v>1.962157373850039E-3</v>
      </c>
      <c r="O194" s="31">
        <v>0.53738152147667351</v>
      </c>
      <c r="P194" s="31">
        <v>0.42740888209933781</v>
      </c>
      <c r="Q194" s="31">
        <v>0.43181914969377672</v>
      </c>
      <c r="R194" s="31">
        <v>0.35218024506915513</v>
      </c>
      <c r="S194" s="31">
        <v>0.32069191377993372</v>
      </c>
      <c r="T194" s="31">
        <v>0.32951792017053727</v>
      </c>
      <c r="U194" s="31">
        <v>0.27194797645907187</v>
      </c>
      <c r="V194" s="31">
        <v>0.31019785376619841</v>
      </c>
      <c r="W194" s="31">
        <v>0.34157469226499099</v>
      </c>
      <c r="X194" s="31">
        <v>0.49849862919018445</v>
      </c>
      <c r="Y194" s="31">
        <v>0.50321768435416969</v>
      </c>
      <c r="Z194" s="31">
        <v>0.5524334232561634</v>
      </c>
      <c r="AA194" s="31"/>
      <c r="AB194" s="31">
        <v>0.28034258885793889</v>
      </c>
      <c r="AC194" s="31">
        <v>0.21545657478807742</v>
      </c>
      <c r="AD194" s="31">
        <v>0.20081312586810013</v>
      </c>
      <c r="AE194" s="31">
        <v>0.19698780529643709</v>
      </c>
      <c r="AF194" s="31">
        <v>0.19138976266569091</v>
      </c>
      <c r="AG194" s="31">
        <v>0.17898308420734163</v>
      </c>
      <c r="AH194" s="31">
        <v>0.20418486706841296</v>
      </c>
      <c r="AI194" s="31">
        <v>0.18471528044581126</v>
      </c>
      <c r="AJ194" s="31">
        <v>0.21409654263841862</v>
      </c>
      <c r="AK194" s="31">
        <v>0.21284122423670696</v>
      </c>
      <c r="AL194" s="31">
        <v>0.26805951283883145</v>
      </c>
      <c r="AM194" s="37">
        <v>0.28596178352760315</v>
      </c>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row>
    <row r="195" spans="1:131">
      <c r="A195" s="1" t="s">
        <v>720</v>
      </c>
      <c r="B195" s="1"/>
      <c r="C195" s="31">
        <v>7.1768930642853626</v>
      </c>
      <c r="D195" s="31">
        <v>24.313541751771158</v>
      </c>
      <c r="E195" s="31">
        <v>4.8627083503542323</v>
      </c>
      <c r="F195" s="31">
        <v>29.17625010212539</v>
      </c>
      <c r="G195" s="31">
        <v>35.497555490832511</v>
      </c>
      <c r="H195" s="31">
        <v>4.5574418381537862</v>
      </c>
      <c r="I195" s="31">
        <v>35612.060623626989</v>
      </c>
      <c r="J195" s="31">
        <v>199.6020165402318</v>
      </c>
      <c r="K195" s="31">
        <v>355.22288385759038</v>
      </c>
      <c r="L195" s="127">
        <v>0.2502232669347928</v>
      </c>
      <c r="M195" s="31">
        <v>5.9189959238631934E-2</v>
      </c>
      <c r="N195" s="31">
        <v>1.8749503794567041E-3</v>
      </c>
      <c r="O195" s="31">
        <v>0.51349789829993253</v>
      </c>
      <c r="P195" s="31">
        <v>0.40841293178381172</v>
      </c>
      <c r="Q195" s="31">
        <v>0.41262718748516447</v>
      </c>
      <c r="R195" s="31">
        <v>0.33652778973274827</v>
      </c>
      <c r="S195" s="31">
        <v>0.30643893983415893</v>
      </c>
      <c r="T195" s="31">
        <v>0.31487267927406898</v>
      </c>
      <c r="U195" s="31">
        <v>0.25986139972755762</v>
      </c>
      <c r="V195" s="31">
        <v>0.29641128248770077</v>
      </c>
      <c r="W195" s="31">
        <v>0.32639359483099145</v>
      </c>
      <c r="X195" s="31">
        <v>0.47634313455950961</v>
      </c>
      <c r="Y195" s="31">
        <v>0.4808524539384289</v>
      </c>
      <c r="Z195" s="31">
        <v>0.52788082666700065</v>
      </c>
      <c r="AA195" s="31"/>
      <c r="AB195" s="31">
        <v>0.26788291824203048</v>
      </c>
      <c r="AC195" s="31">
        <v>0.20588072701971843</v>
      </c>
      <c r="AD195" s="31">
        <v>0.19188809805174015</v>
      </c>
      <c r="AE195" s="31">
        <v>0.18823279172770654</v>
      </c>
      <c r="AF195" s="31">
        <v>0.18288355099166023</v>
      </c>
      <c r="AG195" s="31">
        <v>0.17102828046479313</v>
      </c>
      <c r="AH195" s="31">
        <v>0.19510998408759461</v>
      </c>
      <c r="AI195" s="31">
        <v>0.17650571242599744</v>
      </c>
      <c r="AJ195" s="31">
        <v>0.20458114074337783</v>
      </c>
      <c r="AK195" s="31">
        <v>0.20338161427063109</v>
      </c>
      <c r="AL195" s="31">
        <v>0.25614575671266115</v>
      </c>
      <c r="AM195" s="37">
        <v>0.27325237092637639</v>
      </c>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row>
    <row r="196" spans="1:131">
      <c r="A196" s="1"/>
      <c r="B196" s="1"/>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row>
  </sheetData>
  <mergeCells count="3">
    <mergeCell ref="I6:N6"/>
    <mergeCell ref="O6:P6"/>
    <mergeCell ref="R6:T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sheetPr codeName="Sheet5"/>
  <dimension ref="B4:DC88"/>
  <sheetViews>
    <sheetView topLeftCell="A28" zoomScale="115" zoomScaleNormal="115" workbookViewId="0">
      <selection activeCell="G45" sqref="G45"/>
    </sheetView>
  </sheetViews>
  <sheetFormatPr defaultRowHeight="12.75"/>
  <cols>
    <col min="2" max="2" width="19.140625" customWidth="1"/>
    <col min="3" max="3" width="55.5703125" customWidth="1"/>
    <col min="4" max="4" width="35.7109375" customWidth="1"/>
    <col min="5" max="5" width="11.7109375" bestFit="1" customWidth="1"/>
    <col min="6" max="6" width="11.5703125" bestFit="1" customWidth="1"/>
    <col min="7" max="7" width="12.5703125" bestFit="1" customWidth="1"/>
    <col min="8" max="8" width="12.42578125" bestFit="1" customWidth="1"/>
    <col min="17" max="17" width="11.140625" customWidth="1"/>
    <col min="18" max="18" width="10.5703125" customWidth="1"/>
  </cols>
  <sheetData>
    <row r="4" spans="2:107">
      <c r="B4" s="38" t="s">
        <v>762</v>
      </c>
      <c r="C4">
        <v>1</v>
      </c>
      <c r="D4">
        <v>2</v>
      </c>
      <c r="E4">
        <v>3</v>
      </c>
      <c r="F4">
        <v>4</v>
      </c>
      <c r="G4">
        <v>5</v>
      </c>
      <c r="H4">
        <v>6</v>
      </c>
      <c r="I4">
        <v>7</v>
      </c>
      <c r="J4">
        <v>8</v>
      </c>
      <c r="K4">
        <v>9</v>
      </c>
      <c r="L4">
        <v>10</v>
      </c>
      <c r="M4">
        <v>11</v>
      </c>
      <c r="N4">
        <v>12</v>
      </c>
      <c r="O4">
        <v>13</v>
      </c>
      <c r="P4">
        <v>14</v>
      </c>
      <c r="Q4">
        <v>15</v>
      </c>
      <c r="R4">
        <v>16</v>
      </c>
    </row>
    <row r="5" spans="2:107" s="1" customFormat="1">
      <c r="C5" s="15" t="s">
        <v>6</v>
      </c>
      <c r="D5" s="16"/>
      <c r="E5" s="16"/>
      <c r="F5" s="16"/>
      <c r="G5" s="16"/>
      <c r="H5" s="16"/>
      <c r="I5" s="17"/>
      <c r="J5" s="39"/>
      <c r="K5" s="519" t="s">
        <v>7</v>
      </c>
      <c r="L5" s="520"/>
      <c r="M5" s="520"/>
      <c r="N5" s="520"/>
      <c r="O5" s="520"/>
      <c r="P5" s="521"/>
      <c r="Q5" s="522" t="s">
        <v>8</v>
      </c>
      <c r="R5" s="523"/>
      <c r="S5" s="19"/>
      <c r="T5" s="20"/>
      <c r="U5" s="20"/>
      <c r="V5" s="20"/>
      <c r="W5" s="20"/>
      <c r="X5" s="20"/>
      <c r="Y5" s="20"/>
      <c r="Z5" s="21"/>
      <c r="AA5" s="22"/>
      <c r="AB5" s="20"/>
      <c r="AC5" s="20"/>
      <c r="AD5" s="20"/>
      <c r="AE5" s="20"/>
      <c r="AF5" s="20"/>
      <c r="AG5" s="23"/>
      <c r="AH5" s="23"/>
      <c r="AI5" s="23"/>
      <c r="AJ5" s="23"/>
      <c r="AK5" s="23"/>
      <c r="AL5" s="23"/>
      <c r="AM5" s="23"/>
      <c r="AN5" s="23"/>
      <c r="AO5" s="23"/>
      <c r="AP5" s="23"/>
      <c r="AQ5" s="23"/>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row>
    <row r="6" spans="2:107" s="1" customFormat="1" ht="25.5">
      <c r="C6" s="24" t="s">
        <v>9</v>
      </c>
      <c r="D6" s="24" t="s">
        <v>10</v>
      </c>
      <c r="E6" s="24" t="s">
        <v>11</v>
      </c>
      <c r="F6" s="24" t="s">
        <v>12</v>
      </c>
      <c r="G6" s="24" t="s">
        <v>13</v>
      </c>
      <c r="H6" s="24" t="s">
        <v>14</v>
      </c>
      <c r="I6" s="24" t="s">
        <v>15</v>
      </c>
      <c r="J6" s="24" t="s">
        <v>16</v>
      </c>
      <c r="K6" s="24" t="s">
        <v>17</v>
      </c>
      <c r="L6" s="24" t="s">
        <v>18</v>
      </c>
      <c r="M6" s="24" t="s">
        <v>19</v>
      </c>
      <c r="N6" s="24" t="s">
        <v>20</v>
      </c>
      <c r="O6" s="24" t="s">
        <v>21</v>
      </c>
      <c r="P6" s="24" t="s">
        <v>22</v>
      </c>
      <c r="Q6" s="40" t="s">
        <v>23</v>
      </c>
      <c r="R6" s="24" t="s">
        <v>15</v>
      </c>
      <c r="S6" s="29"/>
      <c r="T6" s="29"/>
      <c r="U6" s="29"/>
      <c r="V6" s="29"/>
      <c r="W6" s="29"/>
      <c r="X6" s="29"/>
      <c r="Y6" s="29"/>
      <c r="Z6" s="29"/>
      <c r="AA6" s="29"/>
      <c r="AB6" s="29"/>
      <c r="AC6" s="29"/>
      <c r="AD6" s="29"/>
      <c r="AE6" s="29"/>
      <c r="AF6" s="29"/>
      <c r="AG6" s="23"/>
      <c r="AH6" s="23"/>
      <c r="AI6" s="23"/>
      <c r="AJ6" s="23"/>
      <c r="AK6" s="23"/>
      <c r="AL6" s="23"/>
      <c r="AM6" s="23"/>
      <c r="AN6" s="23"/>
      <c r="AO6" s="23"/>
      <c r="AP6" s="23"/>
      <c r="AQ6" s="23"/>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row>
    <row r="7" spans="2:107" ht="25.5">
      <c r="C7" s="41" t="str">
        <f>RIGHT(RawRTF!C8,LEN(RawRTF!C8)-6)</f>
        <v>LEDDecorative and Mini-Base250 to 664 lumensANY</v>
      </c>
      <c r="D7" s="41" t="str">
        <f>RIGHT(RawRTF!D8,LEN(RawRTF!D8)-6)</f>
        <v>LEDDecorative and Mini-Base250 to 664 lumensANY</v>
      </c>
      <c r="E7" s="432">
        <f>IF(RawRTF!E8&lt;&gt;0,RawRTF!E8-E22,0)</f>
        <v>15.813087034024461</v>
      </c>
      <c r="F7" s="432">
        <f>RawRTF!F8</f>
        <v>12</v>
      </c>
      <c r="G7" s="431">
        <f>RawRTF!G8</f>
        <v>8.3186951230499186</v>
      </c>
      <c r="H7" s="41">
        <f>RawRTF!H8</f>
        <v>0</v>
      </c>
      <c r="I7" s="41" t="str">
        <f>RawRTF!I8</f>
        <v>ResLIGHT</v>
      </c>
      <c r="J7" s="41">
        <f>RawRTF!J8</f>
        <v>0</v>
      </c>
      <c r="K7" s="41">
        <f>RawRTF!K8</f>
        <v>-1.6401583657682686</v>
      </c>
      <c r="L7" s="41">
        <f>RawRTF!L8</f>
        <v>1.7835655628514451</v>
      </c>
      <c r="M7" s="41">
        <f>RawRTF!M8</f>
        <v>0</v>
      </c>
      <c r="N7" s="41">
        <f>RawRTF!N8</f>
        <v>0</v>
      </c>
      <c r="O7" s="41">
        <f>RawRTF!O8</f>
        <v>0</v>
      </c>
      <c r="P7" s="41">
        <f>RawRTF!P8</f>
        <v>0</v>
      </c>
      <c r="Q7" s="41">
        <f>RawRTF!Q8</f>
        <v>-0.18567444027133875</v>
      </c>
      <c r="R7" s="41" t="str">
        <f>RawRTF!R8</f>
        <v>ResSHWX</v>
      </c>
      <c r="S7" s="42"/>
      <c r="T7" s="42"/>
      <c r="U7" s="42"/>
      <c r="V7" s="42"/>
      <c r="W7" s="42"/>
      <c r="X7" s="42"/>
      <c r="Y7" s="42"/>
      <c r="Z7" s="42"/>
      <c r="AA7" s="42"/>
      <c r="AB7" s="42"/>
      <c r="AC7" s="42"/>
      <c r="AD7" s="42"/>
      <c r="AE7" s="42"/>
      <c r="AF7" s="42"/>
      <c r="AG7" s="42"/>
      <c r="AH7" s="42"/>
      <c r="AI7" s="42"/>
      <c r="AJ7" s="42"/>
      <c r="AK7" s="42"/>
      <c r="AL7" s="42"/>
      <c r="AM7" s="42"/>
      <c r="AN7" s="42"/>
    </row>
    <row r="8" spans="2:107" ht="25.5">
      <c r="C8" s="41" t="str">
        <f>RIGHT(RawRTF!C9,LEN(RawRTF!C9)-6)</f>
        <v>LEDDecorative and Mini-Base665 to 1439 lumensANY</v>
      </c>
      <c r="D8" s="41" t="str">
        <f>RIGHT(RawRTF!D9,LEN(RawRTF!D9)-6)</f>
        <v>LEDDecorative and Mini-Base665 to 1439 lumensANY</v>
      </c>
      <c r="E8" s="432">
        <f>RawRTF!E9</f>
        <v>11.913085286550384</v>
      </c>
      <c r="F8" s="432">
        <f>RawRTF!F9</f>
        <v>12</v>
      </c>
      <c r="G8" s="431">
        <f>RawRTF!G9</f>
        <v>15.470042303578058</v>
      </c>
      <c r="H8" s="41">
        <f>RawRTF!H9</f>
        <v>0</v>
      </c>
      <c r="I8" s="41" t="str">
        <f>RawRTF!I9</f>
        <v>ResLIGHT</v>
      </c>
      <c r="J8" s="41">
        <f>RawRTF!J9</f>
        <v>0</v>
      </c>
      <c r="K8" s="41">
        <f>RawRTF!K9</f>
        <v>-2.357302490345714</v>
      </c>
      <c r="L8" s="41">
        <f>RawRTF!L9</f>
        <v>1.7864498053021971</v>
      </c>
      <c r="M8" s="41">
        <f>RawRTF!M9</f>
        <v>0</v>
      </c>
      <c r="N8" s="41">
        <f>RawRTF!N9</f>
        <v>0</v>
      </c>
      <c r="O8" s="41">
        <f>RawRTF!O9</f>
        <v>0</v>
      </c>
      <c r="P8" s="41">
        <f>RawRTF!P9</f>
        <v>0</v>
      </c>
      <c r="Q8" s="41">
        <f>RawRTF!Q9</f>
        <v>-0.13266859273683673</v>
      </c>
      <c r="R8" s="41" t="str">
        <f>RawRTF!R9</f>
        <v>ResSHWX</v>
      </c>
      <c r="S8" s="42"/>
      <c r="T8" s="42"/>
      <c r="U8" s="42"/>
      <c r="V8" s="42"/>
      <c r="W8" s="42"/>
      <c r="X8" s="42"/>
      <c r="Y8" s="42"/>
      <c r="Z8" s="42"/>
      <c r="AA8" s="42"/>
      <c r="AB8" s="42"/>
      <c r="AC8" s="42"/>
      <c r="AD8" s="42"/>
      <c r="AE8" s="42"/>
      <c r="AF8" s="42"/>
      <c r="AG8" s="42"/>
      <c r="AH8" s="42"/>
      <c r="AI8" s="42"/>
      <c r="AJ8" s="42"/>
      <c r="AK8" s="42"/>
      <c r="AL8" s="42"/>
      <c r="AM8" s="42"/>
      <c r="AN8" s="42"/>
    </row>
    <row r="9" spans="2:107" ht="25.5">
      <c r="C9" s="41" t="str">
        <f>RIGHT(RawRTF!C10,LEN(RawRTF!C10)-6)</f>
        <v>LEDDecorative and Mini-Base1440 to 2600 lumensANY</v>
      </c>
      <c r="D9" s="41" t="str">
        <f>RIGHT(RawRTF!D10,LEN(RawRTF!D10)-6)</f>
        <v>LEDDecorative and Mini-Base1440 to 2600 lumensANY</v>
      </c>
      <c r="E9" s="432">
        <f>RawRTF!E10</f>
        <v>5.899725077629788</v>
      </c>
      <c r="F9" s="432">
        <f>RawRTF!F10</f>
        <v>12</v>
      </c>
      <c r="G9" s="431">
        <f>RawRTF!G10</f>
        <v>40.812016511901589</v>
      </c>
      <c r="H9" s="41">
        <f>RawRTF!H10</f>
        <v>0</v>
      </c>
      <c r="I9" s="41" t="str">
        <f>RawRTF!I10</f>
        <v>ResLIGHT</v>
      </c>
      <c r="J9" s="41">
        <f>RawRTF!J10</f>
        <v>0</v>
      </c>
      <c r="K9" s="41">
        <f>RawRTF!K10</f>
        <v>-2.5719834880984087</v>
      </c>
      <c r="L9" s="41">
        <f>RawRTF!L10</f>
        <v>4.4344805227500377</v>
      </c>
      <c r="M9" s="41">
        <f>RawRTF!M10</f>
        <v>0</v>
      </c>
      <c r="N9" s="41">
        <f>RawRTF!N10</f>
        <v>0</v>
      </c>
      <c r="O9" s="41">
        <f>RawRTF!O10</f>
        <v>0</v>
      </c>
      <c r="P9" s="41">
        <f>RawRTF!P10</f>
        <v>0</v>
      </c>
      <c r="Q9" s="41">
        <f>RawRTF!Q10</f>
        <v>-6.7238480832665995E-2</v>
      </c>
      <c r="R9" s="41" t="str">
        <f>RawRTF!R10</f>
        <v>ResSHWX</v>
      </c>
      <c r="S9" s="42"/>
      <c r="T9" s="42"/>
      <c r="U9" s="42"/>
      <c r="V9" s="42"/>
      <c r="W9" s="42"/>
      <c r="X9" s="42"/>
      <c r="Y9" s="42"/>
      <c r="Z9" s="42"/>
      <c r="AA9" s="42"/>
      <c r="AB9" s="42"/>
      <c r="AC9" s="42"/>
      <c r="AD9" s="42"/>
      <c r="AE9" s="42"/>
      <c r="AF9" s="42"/>
      <c r="AG9" s="42"/>
      <c r="AH9" s="42"/>
      <c r="AI9" s="42"/>
      <c r="AJ9" s="42"/>
      <c r="AK9" s="42"/>
      <c r="AL9" s="42"/>
      <c r="AM9" s="42"/>
      <c r="AN9" s="42"/>
    </row>
    <row r="10" spans="2:107" ht="25.5">
      <c r="C10" s="41" t="str">
        <f>RIGHT(RawRTF!C11,LEN(RawRTF!C11)-6)</f>
        <v>LEDGeneral Purpose and Dimmable250 to 664 lumensANY</v>
      </c>
      <c r="D10" s="41" t="str">
        <f>RIGHT(RawRTF!D11,LEN(RawRTF!D11)-6)</f>
        <v>LEDGeneral Purpose and Dimmable250 to 664 lumensANY</v>
      </c>
      <c r="E10" s="432">
        <f>RawRTF!E11</f>
        <v>1.5089638504471714</v>
      </c>
      <c r="F10" s="432">
        <f>RawRTF!F11</f>
        <v>12</v>
      </c>
      <c r="G10" s="431">
        <f>RawRTF!G11</f>
        <v>2.8201991569949612</v>
      </c>
      <c r="H10" s="41">
        <f>RawRTF!H11</f>
        <v>0</v>
      </c>
      <c r="I10" s="41" t="str">
        <f>RawRTF!I11</f>
        <v>ResLIGHT</v>
      </c>
      <c r="J10" s="41">
        <f>RawRTF!J11</f>
        <v>0</v>
      </c>
      <c r="K10" s="41">
        <f>RawRTF!K11</f>
        <v>-2.1592275874141325</v>
      </c>
      <c r="L10" s="41">
        <f>RawRTF!L11</f>
        <v>8.5397834253252132</v>
      </c>
      <c r="M10" s="41">
        <f>RawRTF!M11</f>
        <v>0</v>
      </c>
      <c r="N10" s="41">
        <f>RawRTF!N11</f>
        <v>0</v>
      </c>
      <c r="O10" s="41">
        <f>RawRTF!O11</f>
        <v>0</v>
      </c>
      <c r="P10" s="41">
        <f>RawRTF!P11</f>
        <v>0</v>
      </c>
      <c r="Q10" s="41">
        <f>RawRTF!Q11</f>
        <v>-1.6894102606505926E-2</v>
      </c>
      <c r="R10" s="41" t="str">
        <f>RawRTF!R11</f>
        <v>ResSHWX</v>
      </c>
      <c r="S10" s="42"/>
      <c r="T10" s="42"/>
      <c r="U10" s="42"/>
      <c r="V10" s="42"/>
      <c r="W10" s="42"/>
      <c r="X10" s="42"/>
      <c r="Y10" s="42"/>
      <c r="Z10" s="42"/>
      <c r="AA10" s="42"/>
      <c r="AB10" s="42"/>
      <c r="AC10" s="42"/>
      <c r="AD10" s="42"/>
      <c r="AE10" s="42"/>
      <c r="AF10" s="42"/>
      <c r="AG10" s="42"/>
      <c r="AH10" s="42"/>
      <c r="AI10" s="42"/>
      <c r="AJ10" s="42"/>
      <c r="AK10" s="42"/>
      <c r="AL10" s="42"/>
      <c r="AM10" s="42"/>
      <c r="AN10" s="42"/>
    </row>
    <row r="11" spans="2:107" ht="25.5">
      <c r="C11" s="41" t="str">
        <f>RIGHT(RawRTF!C12,LEN(RawRTF!C12)-6)</f>
        <v>LEDGeneral Purpose and Dimmable665 to 1439 lumensANY</v>
      </c>
      <c r="D11" s="41" t="str">
        <f>RIGHT(RawRTF!D12,LEN(RawRTF!D12)-6)</f>
        <v>LEDGeneral Purpose and Dimmable665 to 1439 lumensANY</v>
      </c>
      <c r="E11" s="432">
        <f>RawRTF!E12</f>
        <v>5.889594088343741</v>
      </c>
      <c r="F11" s="432">
        <f>RawRTF!F12</f>
        <v>12</v>
      </c>
      <c r="G11" s="431">
        <f>RawRTF!G12</f>
        <v>7.4613937623091537</v>
      </c>
      <c r="H11" s="41">
        <f>RawRTF!H12</f>
        <v>0</v>
      </c>
      <c r="I11" s="41" t="str">
        <f>RawRTF!I12</f>
        <v>ResLIGHT</v>
      </c>
      <c r="J11" s="41">
        <f>RawRTF!J12</f>
        <v>0</v>
      </c>
      <c r="K11" s="41">
        <f>RawRTF!K12</f>
        <v>-1.4522786346527323</v>
      </c>
      <c r="L11" s="41">
        <f>RawRTF!L12</f>
        <v>7.9445543113898527</v>
      </c>
      <c r="M11" s="41">
        <f>RawRTF!M12</f>
        <v>0</v>
      </c>
      <c r="N11" s="41">
        <f>RawRTF!N12</f>
        <v>0</v>
      </c>
      <c r="O11" s="41">
        <f>RawRTF!O12</f>
        <v>0</v>
      </c>
      <c r="P11" s="41">
        <f>RawRTF!P12</f>
        <v>0</v>
      </c>
      <c r="Q11" s="41">
        <f>RawRTF!Q12</f>
        <v>-6.1056909178256021E-2</v>
      </c>
      <c r="R11" s="41" t="str">
        <f>RawRTF!R12</f>
        <v>ResSHWX</v>
      </c>
      <c r="S11" s="42"/>
      <c r="T11" s="42"/>
      <c r="U11" s="42"/>
      <c r="V11" s="42"/>
      <c r="W11" s="42"/>
      <c r="X11" s="42"/>
      <c r="Y11" s="42"/>
      <c r="Z11" s="42"/>
      <c r="AA11" s="42"/>
      <c r="AB11" s="42"/>
      <c r="AC11" s="42"/>
      <c r="AD11" s="42"/>
      <c r="AE11" s="42"/>
      <c r="AF11" s="42"/>
      <c r="AG11" s="42"/>
      <c r="AH11" s="42"/>
      <c r="AI11" s="42"/>
      <c r="AJ11" s="42"/>
      <c r="AK11" s="42"/>
      <c r="AL11" s="42"/>
      <c r="AM11" s="42"/>
      <c r="AN11" s="42"/>
    </row>
    <row r="12" spans="2:107" ht="25.5">
      <c r="C12" s="41" t="str">
        <f>RIGHT(RawRTF!C13,LEN(RawRTF!C13)-6)</f>
        <v>LEDGeneral Purpose and Dimmable1440 to 2600 lumensANY</v>
      </c>
      <c r="D12" s="41" t="str">
        <f>RIGHT(RawRTF!D13,LEN(RawRTF!D13)-6)</f>
        <v>LEDGeneral Purpose and Dimmable1440 to 2600 lumensANY</v>
      </c>
      <c r="E12" s="432">
        <f>RawRTF!E13</f>
        <v>11.004439615512545</v>
      </c>
      <c r="F12" s="432">
        <f>RawRTF!F13</f>
        <v>12</v>
      </c>
      <c r="G12" s="431">
        <f>RawRTF!G13</f>
        <v>19.800888698047423</v>
      </c>
      <c r="H12" s="41">
        <f>RawRTF!H13</f>
        <v>0</v>
      </c>
      <c r="I12" s="41" t="str">
        <f>RawRTF!I13</f>
        <v>ResLIGHT</v>
      </c>
      <c r="J12" s="41">
        <f>RawRTF!J13</f>
        <v>0</v>
      </c>
      <c r="K12" s="41">
        <f>RawRTF!K13</f>
        <v>-1.8911113019525783</v>
      </c>
      <c r="L12" s="41">
        <f>RawRTF!L13</f>
        <v>7.4879032412351636</v>
      </c>
      <c r="M12" s="41">
        <f>RawRTF!M13</f>
        <v>0</v>
      </c>
      <c r="N12" s="41">
        <f>RawRTF!N13</f>
        <v>0</v>
      </c>
      <c r="O12" s="41">
        <f>RawRTF!O13</f>
        <v>0</v>
      </c>
      <c r="P12" s="41">
        <f>RawRTF!P13</f>
        <v>0</v>
      </c>
      <c r="Q12" s="41">
        <f>RawRTF!Q13</f>
        <v>-0.10325747098492929</v>
      </c>
      <c r="R12" s="41" t="str">
        <f>RawRTF!R13</f>
        <v>ResSHWX</v>
      </c>
      <c r="S12" s="42"/>
      <c r="T12" s="42"/>
      <c r="U12" s="42"/>
      <c r="V12" s="42"/>
      <c r="W12" s="42"/>
      <c r="X12" s="42"/>
      <c r="Y12" s="42"/>
      <c r="Z12" s="42"/>
      <c r="AA12" s="42"/>
      <c r="AB12" s="42"/>
      <c r="AC12" s="42"/>
      <c r="AD12" s="42"/>
      <c r="AE12" s="42"/>
      <c r="AF12" s="42"/>
      <c r="AG12" s="42"/>
      <c r="AH12" s="42"/>
      <c r="AI12" s="42"/>
      <c r="AJ12" s="42"/>
      <c r="AK12" s="42"/>
      <c r="AL12" s="42"/>
      <c r="AM12" s="42"/>
      <c r="AN12" s="42"/>
    </row>
    <row r="13" spans="2:107" ht="25.5">
      <c r="C13" s="41" t="str">
        <f>RIGHT(RawRTF!C14,LEN(RawRTF!C14)-6)</f>
        <v>LEDGlobe250 to 664 lumensANY</v>
      </c>
      <c r="D13" s="41" t="str">
        <f>RIGHT(RawRTF!D14,LEN(RawRTF!D14)-6)</f>
        <v>LEDGlobe250 to 664 lumensANY</v>
      </c>
      <c r="E13" s="432">
        <f>RawRTF!E14</f>
        <v>11.783591977694261</v>
      </c>
      <c r="F13" s="432">
        <f>RawRTF!F14</f>
        <v>12</v>
      </c>
      <c r="G13" s="431">
        <f>RawRTF!G14</f>
        <v>4.4151785617916461</v>
      </c>
      <c r="H13" s="41">
        <f>RawRTF!H14</f>
        <v>0</v>
      </c>
      <c r="I13" s="41" t="str">
        <f>RawRTF!I14</f>
        <v>ResLIGHT</v>
      </c>
      <c r="J13" s="41">
        <f>RawRTF!J14</f>
        <v>0</v>
      </c>
      <c r="K13" s="41">
        <f>RawRTF!K14</f>
        <v>-2.1737529557872382</v>
      </c>
      <c r="L13" s="41">
        <f>RawRTF!L14</f>
        <v>2.2408705642884907</v>
      </c>
      <c r="M13" s="41">
        <f>RawRTF!M14</f>
        <v>0</v>
      </c>
      <c r="N13" s="41">
        <f>RawRTF!N14</f>
        <v>0</v>
      </c>
      <c r="O13" s="41">
        <f>RawRTF!O14</f>
        <v>0</v>
      </c>
      <c r="P13" s="41">
        <f>RawRTF!P14</f>
        <v>0</v>
      </c>
      <c r="Q13" s="41">
        <f>RawRTF!Q14</f>
        <v>-0.14607548101368481</v>
      </c>
      <c r="R13" s="41" t="str">
        <f>RawRTF!R14</f>
        <v>ResSHWX</v>
      </c>
      <c r="S13" s="42"/>
      <c r="T13" s="42"/>
      <c r="U13" s="42"/>
      <c r="V13" s="42"/>
      <c r="W13" s="42"/>
      <c r="X13" s="42"/>
      <c r="Y13" s="42"/>
      <c r="Z13" s="42"/>
      <c r="AA13" s="42"/>
      <c r="AB13" s="42"/>
      <c r="AC13" s="42"/>
      <c r="AD13" s="42"/>
      <c r="AE13" s="42"/>
      <c r="AF13" s="42"/>
      <c r="AG13" s="42"/>
      <c r="AH13" s="42"/>
      <c r="AI13" s="42"/>
      <c r="AJ13" s="42"/>
      <c r="AK13" s="42"/>
      <c r="AL13" s="42"/>
      <c r="AM13" s="42"/>
      <c r="AN13" s="42"/>
    </row>
    <row r="14" spans="2:107" ht="25.5">
      <c r="C14" s="41" t="str">
        <f>RIGHT(RawRTF!C15,LEN(RawRTF!C15)-6)</f>
        <v>LEDGlobe665 to 1439 lumensANY</v>
      </c>
      <c r="D14" s="41" t="str">
        <f>RIGHT(RawRTF!D15,LEN(RawRTF!D15)-6)</f>
        <v>LEDGlobe665 to 1439 lumensANY</v>
      </c>
      <c r="E14" s="432">
        <f>RawRTF!E15</f>
        <v>8.1155301664356294</v>
      </c>
      <c r="F14" s="432">
        <f>RawRTF!F15</f>
        <v>12</v>
      </c>
      <c r="G14" s="431">
        <f>RawRTF!G15</f>
        <v>4.1681068697803356</v>
      </c>
      <c r="H14" s="41">
        <f>RawRTF!H15</f>
        <v>0</v>
      </c>
      <c r="I14" s="41" t="str">
        <f>RawRTF!I15</f>
        <v>ResLIGHT</v>
      </c>
      <c r="J14" s="41">
        <f>RawRTF!J15</f>
        <v>0</v>
      </c>
      <c r="K14" s="41">
        <f>RawRTF!K15</f>
        <v>-4.74556552718155</v>
      </c>
      <c r="L14" s="41">
        <f>RawRTF!L15</f>
        <v>2.7621105076077872</v>
      </c>
      <c r="M14" s="41">
        <f>RawRTF!M15</f>
        <v>0</v>
      </c>
      <c r="N14" s="41">
        <f>RawRTF!N15</f>
        <v>0</v>
      </c>
      <c r="O14" s="41">
        <f>RawRTF!O15</f>
        <v>0</v>
      </c>
      <c r="P14" s="41">
        <f>RawRTF!P15</f>
        <v>0</v>
      </c>
      <c r="Q14" s="41">
        <f>RawRTF!Q15</f>
        <v>-9.8554102721400638E-2</v>
      </c>
      <c r="R14" s="41" t="str">
        <f>RawRTF!R15</f>
        <v>ResSHWX</v>
      </c>
      <c r="S14" s="42"/>
      <c r="T14" s="42"/>
      <c r="U14" s="42"/>
      <c r="V14" s="42"/>
      <c r="W14" s="42"/>
      <c r="X14" s="42"/>
      <c r="Y14" s="42"/>
      <c r="Z14" s="42"/>
      <c r="AA14" s="42"/>
      <c r="AB14" s="42"/>
      <c r="AC14" s="42"/>
      <c r="AD14" s="42"/>
      <c r="AE14" s="42"/>
      <c r="AF14" s="42"/>
      <c r="AG14" s="42"/>
      <c r="AH14" s="42"/>
      <c r="AI14" s="42"/>
      <c r="AJ14" s="42"/>
      <c r="AK14" s="42"/>
      <c r="AL14" s="42"/>
      <c r="AM14" s="42"/>
      <c r="AN14" s="42"/>
    </row>
    <row r="15" spans="2:107" ht="25.5">
      <c r="C15" s="41" t="str">
        <f>RIGHT(RawRTF!C16,LEN(RawRTF!C16)-6)</f>
        <v>LEDGlobe1440 to 2600 lumensANY</v>
      </c>
      <c r="D15" s="41" t="str">
        <f>RIGHT(RawRTF!D16,LEN(RawRTF!D16)-6)</f>
        <v>LEDGlobe1440 to 2600 lumensANY</v>
      </c>
      <c r="E15" s="432">
        <f>RawRTF!E16</f>
        <v>8.780417914598031</v>
      </c>
      <c r="F15" s="432">
        <f>RawRTF!F16</f>
        <v>12</v>
      </c>
      <c r="G15" s="431">
        <f>RawRTF!G16</f>
        <v>16.229275491721381</v>
      </c>
      <c r="H15" s="41">
        <f>RawRTF!H16</f>
        <v>0</v>
      </c>
      <c r="I15" s="41" t="str">
        <f>RawRTF!I16</f>
        <v>ResLIGHT</v>
      </c>
      <c r="J15" s="41">
        <f>RawRTF!J16</f>
        <v>0</v>
      </c>
      <c r="K15" s="41">
        <f>RawRTF!K16</f>
        <v>-5.4627245082786207</v>
      </c>
      <c r="L15" s="41">
        <f>RawRTF!L16</f>
        <v>2.0492242794119604</v>
      </c>
      <c r="M15" s="41">
        <f>RawRTF!M16</f>
        <v>0</v>
      </c>
      <c r="N15" s="41">
        <f>RawRTF!N16</f>
        <v>0</v>
      </c>
      <c r="O15" s="41">
        <f>RawRTF!O16</f>
        <v>0</v>
      </c>
      <c r="P15" s="41">
        <f>RawRTF!P16</f>
        <v>0</v>
      </c>
      <c r="Q15" s="41">
        <f>RawRTF!Q16</f>
        <v>-8.9831609721237965E-2</v>
      </c>
      <c r="R15" s="41" t="str">
        <f>RawRTF!R16</f>
        <v>ResSHWX</v>
      </c>
      <c r="S15" s="42"/>
      <c r="T15" s="42"/>
      <c r="U15" s="42"/>
      <c r="V15" s="42"/>
      <c r="W15" s="42"/>
      <c r="X15" s="42"/>
      <c r="Y15" s="42"/>
      <c r="Z15" s="42"/>
      <c r="AA15" s="42"/>
      <c r="AB15" s="42"/>
      <c r="AC15" s="42"/>
      <c r="AD15" s="42"/>
      <c r="AE15" s="42"/>
      <c r="AF15" s="42"/>
      <c r="AG15" s="42"/>
      <c r="AH15" s="42"/>
      <c r="AI15" s="42"/>
      <c r="AJ15" s="42"/>
      <c r="AK15" s="42"/>
      <c r="AL15" s="42"/>
      <c r="AM15" s="42"/>
      <c r="AN15" s="42"/>
    </row>
    <row r="16" spans="2:107" ht="25.5">
      <c r="C16" s="41" t="str">
        <f>RIGHT(RawRTF!C17,LEN(RawRTF!C17)-6)</f>
        <v>LEDReflectors and Outdoor250 to 664 lumensANY</v>
      </c>
      <c r="D16" s="41" t="str">
        <f>RIGHT(RawRTF!D17,LEN(RawRTF!D17)-6)</f>
        <v>LEDReflectors and Outdoor250 to 664 lumensANY</v>
      </c>
      <c r="E16" s="432">
        <f>RawRTF!E17</f>
        <v>16.748983276961038</v>
      </c>
      <c r="F16" s="432">
        <f>RawRTF!F17</f>
        <v>12</v>
      </c>
      <c r="G16" s="431">
        <f>RawRTF!G17</f>
        <v>16.560431258856894</v>
      </c>
      <c r="H16" s="41">
        <f>RawRTF!H17</f>
        <v>0</v>
      </c>
      <c r="I16" s="41" t="str">
        <f>RawRTF!I17</f>
        <v>ResLIGHT</v>
      </c>
      <c r="J16" s="41">
        <f>RawRTF!J17</f>
        <v>0</v>
      </c>
      <c r="K16" s="41">
        <f>RawRTF!K17</f>
        <v>-4.6350044381489033</v>
      </c>
      <c r="L16" s="41">
        <f>RawRTF!L17</f>
        <v>2.1002897994909375</v>
      </c>
      <c r="M16" s="41">
        <f>RawRTF!M17</f>
        <v>0</v>
      </c>
      <c r="N16" s="41">
        <f>RawRTF!N17</f>
        <v>0</v>
      </c>
      <c r="O16" s="41">
        <f>RawRTF!O17</f>
        <v>0</v>
      </c>
      <c r="P16" s="41">
        <f>RawRTF!P17</f>
        <v>0</v>
      </c>
      <c r="Q16" s="41">
        <f>RawRTF!Q17</f>
        <v>-0.1956023035798862</v>
      </c>
      <c r="R16" s="41" t="str">
        <f>RawRTF!R17</f>
        <v>ResSHWX</v>
      </c>
      <c r="S16" s="42"/>
      <c r="T16" s="42"/>
      <c r="U16" s="42"/>
      <c r="V16" s="42"/>
      <c r="W16" s="42"/>
      <c r="X16" s="42"/>
      <c r="Y16" s="42"/>
      <c r="Z16" s="42"/>
      <c r="AA16" s="42"/>
      <c r="AB16" s="42"/>
      <c r="AC16" s="42"/>
      <c r="AD16" s="42"/>
      <c r="AE16" s="42"/>
      <c r="AF16" s="42"/>
      <c r="AG16" s="42"/>
      <c r="AH16" s="42"/>
      <c r="AI16" s="42"/>
      <c r="AJ16" s="42"/>
      <c r="AK16" s="42"/>
      <c r="AL16" s="42"/>
      <c r="AM16" s="42"/>
      <c r="AN16" s="42"/>
    </row>
    <row r="17" spans="3:40" ht="25.5">
      <c r="C17" s="41" t="str">
        <f>RIGHT(RawRTF!C18,LEN(RawRTF!C18)-6)</f>
        <v>LEDReflectors and Outdoor665 to 1439 lumensANY</v>
      </c>
      <c r="D17" s="41" t="str">
        <f>RIGHT(RawRTF!D18,LEN(RawRTF!D18)-6)</f>
        <v>LEDReflectors and Outdoor665 to 1439 lumensANY</v>
      </c>
      <c r="E17" s="432">
        <f>RawRTF!E18</f>
        <v>12.771455573754622</v>
      </c>
      <c r="F17" s="432">
        <f>RawRTF!F18</f>
        <v>12</v>
      </c>
      <c r="G17" s="431">
        <f>RawRTF!G18</f>
        <v>11.932893762945648</v>
      </c>
      <c r="H17" s="41">
        <f>RawRTF!H18</f>
        <v>0</v>
      </c>
      <c r="I17" s="41" t="str">
        <f>RawRTF!I18</f>
        <v>ResLIGHT</v>
      </c>
      <c r="J17" s="41">
        <f>RawRTF!J18</f>
        <v>0</v>
      </c>
      <c r="K17" s="41">
        <f>RawRTF!K18</f>
        <v>-6.0025868409413388</v>
      </c>
      <c r="L17" s="41">
        <f>RawRTF!L18</f>
        <v>2.7605785479478313</v>
      </c>
      <c r="M17" s="41">
        <f>RawRTF!M18</f>
        <v>0</v>
      </c>
      <c r="N17" s="41">
        <f>RawRTF!N18</f>
        <v>0</v>
      </c>
      <c r="O17" s="41">
        <f>RawRTF!O18</f>
        <v>0</v>
      </c>
      <c r="P17" s="41">
        <f>RawRTF!P18</f>
        <v>0</v>
      </c>
      <c r="Q17" s="41">
        <f>RawRTF!Q18</f>
        <v>-0.12712500006264277</v>
      </c>
      <c r="R17" s="41" t="str">
        <f>RawRTF!R18</f>
        <v>ResSHWX</v>
      </c>
      <c r="S17" s="42"/>
      <c r="T17" s="42"/>
      <c r="U17" s="42"/>
      <c r="V17" s="42"/>
      <c r="W17" s="42"/>
      <c r="X17" s="42"/>
      <c r="Y17" s="42"/>
      <c r="Z17" s="42"/>
      <c r="AA17" s="42"/>
      <c r="AB17" s="42"/>
      <c r="AC17" s="42"/>
      <c r="AD17" s="42"/>
      <c r="AE17" s="42"/>
      <c r="AF17" s="42"/>
      <c r="AG17" s="42"/>
      <c r="AH17" s="42"/>
      <c r="AI17" s="42"/>
      <c r="AJ17" s="42"/>
      <c r="AK17" s="42"/>
      <c r="AL17" s="42"/>
      <c r="AM17" s="42"/>
      <c r="AN17" s="42"/>
    </row>
    <row r="18" spans="3:40" ht="25.5">
      <c r="C18" s="41" t="str">
        <f>RIGHT(RawRTF!C19,LEN(RawRTF!C19)-6)</f>
        <v>LEDReflectors and Outdoor1440 to 2600 lumensANY</v>
      </c>
      <c r="D18" s="41" t="str">
        <f>RIGHT(RawRTF!D19,LEN(RawRTF!D19)-6)</f>
        <v>LEDReflectors and Outdoor1440 to 2600 lumensANY</v>
      </c>
      <c r="E18" s="432">
        <f>RawRTF!E19</f>
        <v>68.372098659970248</v>
      </c>
      <c r="F18" s="432">
        <f>RawRTF!F19</f>
        <v>12</v>
      </c>
      <c r="G18" s="431">
        <f>RawRTF!G19</f>
        <v>25.700056781560097</v>
      </c>
      <c r="H18" s="41">
        <f>RawRTF!H19</f>
        <v>0</v>
      </c>
      <c r="I18" s="41" t="str">
        <f>RawRTF!I19</f>
        <v>ResLIGHT</v>
      </c>
      <c r="J18" s="41">
        <f>RawRTF!J19</f>
        <v>0</v>
      </c>
      <c r="K18" s="41">
        <f>RawRTF!K19</f>
        <v>-6.8379432184399001</v>
      </c>
      <c r="L18" s="41">
        <f>RawRTF!L19</f>
        <v>1.8152462117520278</v>
      </c>
      <c r="M18" s="41">
        <f>RawRTF!M19</f>
        <v>0</v>
      </c>
      <c r="N18" s="41">
        <f>RawRTF!N19</f>
        <v>0</v>
      </c>
      <c r="O18" s="41">
        <f>RawRTF!O19</f>
        <v>0</v>
      </c>
      <c r="P18" s="41">
        <f>RawRTF!P19</f>
        <v>0</v>
      </c>
      <c r="Q18" s="41">
        <f>RawRTF!Q19</f>
        <v>-0.21775732072721576</v>
      </c>
      <c r="R18" s="41" t="str">
        <f>RawRTF!R19</f>
        <v>ResSHWX</v>
      </c>
      <c r="S18" s="42"/>
      <c r="T18" s="42"/>
      <c r="U18" s="42"/>
      <c r="V18" s="42"/>
      <c r="W18" s="42"/>
      <c r="X18" s="42"/>
      <c r="Y18" s="42"/>
      <c r="Z18" s="42"/>
      <c r="AA18" s="42"/>
      <c r="AB18" s="42"/>
      <c r="AC18" s="42"/>
      <c r="AD18" s="42"/>
      <c r="AE18" s="42"/>
      <c r="AF18" s="42"/>
      <c r="AG18" s="42"/>
      <c r="AH18" s="42"/>
      <c r="AI18" s="42"/>
      <c r="AJ18" s="42"/>
      <c r="AK18" s="42"/>
      <c r="AL18" s="42"/>
      <c r="AM18" s="42"/>
      <c r="AN18" s="42"/>
    </row>
    <row r="19" spans="3:40" ht="25.5">
      <c r="C19" s="41" t="str">
        <f>RIGHT(RawRTF!C20,LEN(RawRTF!C20)-6)</f>
        <v>LEDThree-Way250 to 664 lumensANY</v>
      </c>
      <c r="D19" s="41" t="str">
        <f>RIGHT(RawRTF!D20,LEN(RawRTF!D20)-6)</f>
        <v>LEDThree-Way250 to 664 lumensANY</v>
      </c>
      <c r="E19" s="432">
        <f>RawRTF!E20</f>
        <v>39.804567207743872</v>
      </c>
      <c r="F19" s="432">
        <f>RawRTF!F20</f>
        <v>12</v>
      </c>
      <c r="G19" s="431">
        <f>RawRTF!G20</f>
        <v>18.686832380810259</v>
      </c>
      <c r="H19" s="41">
        <f>RawRTF!H20</f>
        <v>0</v>
      </c>
      <c r="I19" s="41" t="str">
        <f>RawRTF!I20</f>
        <v>ResLIGHT</v>
      </c>
      <c r="J19" s="41">
        <f>RawRTF!J20</f>
        <v>0</v>
      </c>
      <c r="K19" s="41">
        <f>RawRTF!K20</f>
        <v>-2.5086033161955381</v>
      </c>
      <c r="L19" s="41">
        <f>RawRTF!L20</f>
        <v>1.9664811264199897</v>
      </c>
      <c r="M19" s="41">
        <f>RawRTF!M20</f>
        <v>0</v>
      </c>
      <c r="N19" s="41">
        <f>RawRTF!N20</f>
        <v>0</v>
      </c>
      <c r="O19" s="41">
        <f>RawRTF!O20</f>
        <v>0</v>
      </c>
      <c r="P19" s="41">
        <f>RawRTF!P20</f>
        <v>0</v>
      </c>
      <c r="Q19" s="41">
        <f>RawRTF!Q20</f>
        <v>-0.49775349711117017</v>
      </c>
      <c r="R19" s="41" t="str">
        <f>RawRTF!R20</f>
        <v>ResSHWX</v>
      </c>
      <c r="S19" s="42"/>
      <c r="T19" s="42"/>
      <c r="U19" s="42"/>
      <c r="V19" s="42"/>
      <c r="W19" s="42"/>
      <c r="X19" s="42"/>
      <c r="Y19" s="42"/>
      <c r="Z19" s="42"/>
      <c r="AA19" s="42"/>
      <c r="AB19" s="42"/>
      <c r="AC19" s="42"/>
      <c r="AD19" s="42"/>
      <c r="AE19" s="42"/>
      <c r="AF19" s="42"/>
      <c r="AG19" s="42"/>
      <c r="AH19" s="42"/>
      <c r="AI19" s="42"/>
      <c r="AJ19" s="42"/>
      <c r="AK19" s="42"/>
      <c r="AL19" s="42"/>
      <c r="AM19" s="42"/>
      <c r="AN19" s="42"/>
    </row>
    <row r="20" spans="3:40" ht="25.5">
      <c r="C20" s="41" t="str">
        <f>RIGHT(RawRTF!C21,LEN(RawRTF!C21)-6)</f>
        <v>LEDThree-Way665 to 1439 lumensANY</v>
      </c>
      <c r="D20" s="41" t="str">
        <f>RIGHT(RawRTF!D21,LEN(RawRTF!D21)-6)</f>
        <v>LEDThree-Way665 to 1439 lumensANY</v>
      </c>
      <c r="E20" s="432">
        <f>RawRTF!E21</f>
        <v>42.875942858198606</v>
      </c>
      <c r="F20" s="432">
        <f>RawRTF!F21</f>
        <v>12</v>
      </c>
      <c r="G20" s="431">
        <f>RawRTF!G21</f>
        <v>11.915035896161536</v>
      </c>
      <c r="H20" s="41">
        <f>RawRTF!H21</f>
        <v>0</v>
      </c>
      <c r="I20" s="41" t="str">
        <f>RawRTF!I21</f>
        <v>ResLIGHT</v>
      </c>
      <c r="J20" s="41">
        <f>RawRTF!J21</f>
        <v>0</v>
      </c>
      <c r="K20" s="41">
        <f>RawRTF!K21</f>
        <v>-6.020444707725451</v>
      </c>
      <c r="L20" s="41">
        <f>RawRTF!L21</f>
        <v>3.7098631590053808</v>
      </c>
      <c r="M20" s="41">
        <f>RawRTF!M21</f>
        <v>0</v>
      </c>
      <c r="N20" s="41">
        <f>RawRTF!N21</f>
        <v>0</v>
      </c>
      <c r="O20" s="41">
        <f>RawRTF!O21</f>
        <v>0</v>
      </c>
      <c r="P20" s="41">
        <f>RawRTF!P21</f>
        <v>0</v>
      </c>
      <c r="Q20" s="41">
        <f>RawRTF!Q21</f>
        <v>-0.5346867079133425</v>
      </c>
      <c r="R20" s="41" t="str">
        <f>RawRTF!R21</f>
        <v>ResSHWX</v>
      </c>
      <c r="S20" s="42"/>
      <c r="T20" s="42"/>
      <c r="U20" s="42"/>
      <c r="V20" s="42"/>
      <c r="W20" s="42"/>
      <c r="X20" s="42"/>
      <c r="Y20" s="42"/>
      <c r="Z20" s="42"/>
      <c r="AA20" s="42"/>
      <c r="AB20" s="42"/>
      <c r="AC20" s="42"/>
      <c r="AD20" s="42"/>
      <c r="AE20" s="42"/>
      <c r="AF20" s="42"/>
      <c r="AG20" s="42"/>
      <c r="AH20" s="42"/>
      <c r="AI20" s="42"/>
      <c r="AJ20" s="42"/>
      <c r="AK20" s="42"/>
      <c r="AL20" s="42"/>
      <c r="AM20" s="42"/>
      <c r="AN20" s="42"/>
    </row>
    <row r="21" spans="3:40" ht="25.5">
      <c r="C21" s="41" t="str">
        <f>RIGHT(RawRTF!C22,LEN(RawRTF!C22)-6)</f>
        <v>LEDThree-Way1440 to 2600 lumensANY</v>
      </c>
      <c r="D21" s="41" t="str">
        <f>RIGHT(RawRTF!D22,LEN(RawRTF!D22)-6)</f>
        <v>LEDThree-Way1440 to 2600 lumensANY</v>
      </c>
      <c r="E21" s="432">
        <f>RawRTF!E22</f>
        <v>38.367509726650653</v>
      </c>
      <c r="F21" s="432">
        <f>RawRTF!F22</f>
        <v>12</v>
      </c>
      <c r="G21" s="431">
        <f>RawRTF!G22</f>
        <v>26.725633011201086</v>
      </c>
      <c r="H21" s="41">
        <f>RawRTF!H22</f>
        <v>0</v>
      </c>
      <c r="I21" s="41" t="str">
        <f>RawRTF!I22</f>
        <v>ResLIGHT</v>
      </c>
      <c r="J21" s="41">
        <f>RawRTF!J22</f>
        <v>0</v>
      </c>
      <c r="K21" s="41">
        <f>RawRTF!K22</f>
        <v>-5.8123669887989093</v>
      </c>
      <c r="L21" s="41">
        <f>RawRTF!L22</f>
        <v>1.7652962324402386</v>
      </c>
      <c r="M21" s="41">
        <f>RawRTF!M22</f>
        <v>0</v>
      </c>
      <c r="N21" s="41">
        <f>RawRTF!N22</f>
        <v>0</v>
      </c>
      <c r="O21" s="41">
        <f>RawRTF!O22</f>
        <v>0</v>
      </c>
      <c r="P21" s="41">
        <f>RawRTF!P22</f>
        <v>0</v>
      </c>
      <c r="Q21" s="41">
        <f>RawRTF!Q22</f>
        <v>-0.47770686443381255</v>
      </c>
      <c r="R21" s="41" t="str">
        <f>RawRTF!R22</f>
        <v>ResSHWX</v>
      </c>
      <c r="S21" s="42"/>
      <c r="T21" s="42"/>
      <c r="U21" s="42"/>
      <c r="V21" s="42"/>
      <c r="W21" s="42"/>
      <c r="X21" s="42"/>
      <c r="Y21" s="42"/>
      <c r="Z21" s="42"/>
      <c r="AA21" s="42"/>
      <c r="AB21" s="42"/>
      <c r="AC21" s="42"/>
      <c r="AD21" s="42"/>
      <c r="AE21" s="42"/>
      <c r="AF21" s="42"/>
      <c r="AG21" s="42"/>
      <c r="AH21" s="42"/>
      <c r="AI21" s="42"/>
      <c r="AJ21" s="42"/>
      <c r="AK21" s="42"/>
      <c r="AL21" s="42"/>
      <c r="AM21" s="42"/>
      <c r="AN21" s="42"/>
    </row>
    <row r="22" spans="3:40">
      <c r="C22" s="41"/>
      <c r="D22" s="41"/>
      <c r="E22" s="432"/>
      <c r="F22" s="432"/>
      <c r="G22" s="431"/>
      <c r="H22" s="41"/>
      <c r="I22" s="41"/>
      <c r="J22" s="41"/>
      <c r="K22" s="41"/>
      <c r="L22" s="41"/>
      <c r="M22" s="41"/>
      <c r="N22" s="41"/>
      <c r="O22" s="41"/>
      <c r="P22" s="41"/>
      <c r="Q22" s="41"/>
      <c r="R22" s="41"/>
      <c r="S22" s="42"/>
      <c r="T22" s="42"/>
      <c r="U22" s="42"/>
      <c r="V22" s="42"/>
      <c r="W22" s="42"/>
      <c r="X22" s="42"/>
      <c r="Y22" s="42"/>
      <c r="Z22" s="42"/>
      <c r="AA22" s="42"/>
      <c r="AB22" s="42"/>
      <c r="AC22" s="42"/>
      <c r="AD22" s="42"/>
      <c r="AE22" s="42"/>
      <c r="AF22" s="42"/>
      <c r="AG22" s="42"/>
      <c r="AH22" s="42"/>
      <c r="AI22" s="42"/>
      <c r="AJ22" s="42"/>
      <c r="AK22" s="42"/>
      <c r="AL22" s="42"/>
      <c r="AM22" s="42"/>
      <c r="AN22" s="42"/>
    </row>
    <row r="23" spans="3:40">
      <c r="C23" s="41"/>
      <c r="D23" s="41"/>
      <c r="E23" s="432"/>
      <c r="F23" s="432"/>
      <c r="G23" s="431"/>
      <c r="H23" s="41"/>
      <c r="I23" s="41"/>
      <c r="J23" s="41"/>
      <c r="K23" s="41"/>
      <c r="L23" s="41"/>
      <c r="M23" s="41"/>
      <c r="N23" s="41"/>
      <c r="O23" s="41"/>
      <c r="P23" s="41"/>
      <c r="Q23" s="41"/>
      <c r="R23" s="41"/>
      <c r="S23" s="42"/>
      <c r="T23" s="42"/>
      <c r="U23" s="42"/>
      <c r="V23" s="42"/>
      <c r="W23" s="42"/>
      <c r="X23" s="42"/>
      <c r="Y23" s="42"/>
      <c r="Z23" s="42"/>
      <c r="AA23" s="42"/>
      <c r="AB23" s="42"/>
      <c r="AC23" s="42"/>
      <c r="AD23" s="42"/>
      <c r="AE23" s="42"/>
      <c r="AF23" s="42"/>
      <c r="AG23" s="42"/>
      <c r="AH23" s="42"/>
      <c r="AI23" s="42"/>
      <c r="AJ23" s="42"/>
      <c r="AK23" s="42"/>
      <c r="AL23" s="42"/>
      <c r="AM23" s="42"/>
      <c r="AN23" s="42"/>
    </row>
    <row r="24" spans="3:40">
      <c r="C24" s="41"/>
      <c r="D24" s="41"/>
      <c r="E24" s="432"/>
      <c r="F24" s="432"/>
      <c r="G24" s="431"/>
      <c r="H24" s="41"/>
      <c r="I24" s="41"/>
      <c r="J24" s="41"/>
      <c r="K24" s="41"/>
      <c r="L24" s="41"/>
      <c r="M24" s="41"/>
      <c r="N24" s="41"/>
      <c r="O24" s="41"/>
      <c r="P24" s="41"/>
      <c r="Q24" s="41"/>
      <c r="R24" s="41"/>
      <c r="S24" s="42"/>
      <c r="T24" s="42"/>
      <c r="U24" s="42"/>
      <c r="V24" s="42"/>
      <c r="W24" s="42"/>
      <c r="X24" s="42"/>
      <c r="Y24" s="42"/>
      <c r="Z24" s="42"/>
      <c r="AA24" s="42"/>
      <c r="AB24" s="42"/>
      <c r="AC24" s="42"/>
      <c r="AD24" s="42"/>
      <c r="AE24" s="42"/>
      <c r="AF24" s="42"/>
      <c r="AG24" s="42"/>
      <c r="AH24" s="42"/>
      <c r="AI24" s="42"/>
      <c r="AJ24" s="42"/>
      <c r="AK24" s="42"/>
      <c r="AL24" s="42"/>
      <c r="AM24" s="42"/>
      <c r="AN24" s="42"/>
    </row>
    <row r="25" spans="3:40">
      <c r="C25" s="41"/>
      <c r="D25" s="41"/>
      <c r="E25" s="432"/>
      <c r="F25" s="432"/>
      <c r="G25" s="431"/>
      <c r="H25" s="41"/>
      <c r="I25" s="41"/>
      <c r="J25" s="41"/>
      <c r="K25" s="41"/>
      <c r="L25" s="41"/>
      <c r="M25" s="41"/>
      <c r="N25" s="41"/>
      <c r="O25" s="41"/>
      <c r="P25" s="41"/>
      <c r="Q25" s="41"/>
      <c r="R25" s="41"/>
      <c r="S25" s="42"/>
      <c r="T25" s="42"/>
      <c r="U25" s="42"/>
      <c r="V25" s="42"/>
      <c r="W25" s="42"/>
      <c r="X25" s="42"/>
      <c r="Y25" s="42"/>
      <c r="Z25" s="42"/>
      <c r="AA25" s="42"/>
      <c r="AB25" s="42"/>
      <c r="AC25" s="42"/>
      <c r="AD25" s="42"/>
      <c r="AE25" s="42"/>
      <c r="AF25" s="42"/>
      <c r="AG25" s="42"/>
      <c r="AH25" s="42"/>
      <c r="AI25" s="42"/>
      <c r="AJ25" s="42"/>
      <c r="AK25" s="42"/>
      <c r="AL25" s="42"/>
      <c r="AM25" s="42"/>
      <c r="AN25" s="42"/>
    </row>
    <row r="26" spans="3:40">
      <c r="C26" s="41"/>
      <c r="D26" s="41"/>
      <c r="E26" s="432"/>
      <c r="F26" s="432"/>
      <c r="G26" s="431"/>
      <c r="H26" s="41"/>
      <c r="I26" s="41"/>
      <c r="J26" s="41"/>
      <c r="K26" s="41"/>
      <c r="L26" s="41"/>
      <c r="M26" s="41"/>
      <c r="N26" s="41"/>
      <c r="O26" s="41"/>
      <c r="P26" s="41"/>
      <c r="Q26" s="41"/>
      <c r="R26" s="41"/>
      <c r="S26" s="42"/>
      <c r="T26" s="42"/>
      <c r="U26" s="42"/>
      <c r="V26" s="42"/>
      <c r="W26" s="42"/>
      <c r="X26" s="42"/>
      <c r="Y26" s="42"/>
      <c r="Z26" s="42"/>
      <c r="AA26" s="42"/>
      <c r="AB26" s="42"/>
      <c r="AC26" s="42"/>
      <c r="AD26" s="42"/>
      <c r="AE26" s="42"/>
      <c r="AF26" s="42"/>
      <c r="AG26" s="42"/>
      <c r="AH26" s="42"/>
      <c r="AI26" s="42"/>
      <c r="AJ26" s="42"/>
      <c r="AK26" s="42"/>
      <c r="AL26" s="42"/>
      <c r="AM26" s="42"/>
      <c r="AN26" s="42"/>
    </row>
    <row r="27" spans="3:40">
      <c r="C27" s="41"/>
      <c r="D27" s="41"/>
      <c r="E27" s="432"/>
      <c r="F27" s="432"/>
      <c r="G27" s="431"/>
      <c r="H27" s="41"/>
      <c r="I27" s="41"/>
      <c r="J27" s="41"/>
      <c r="K27" s="41"/>
      <c r="L27" s="41"/>
      <c r="M27" s="41"/>
      <c r="N27" s="41"/>
      <c r="O27" s="41"/>
      <c r="P27" s="41"/>
      <c r="Q27" s="41"/>
      <c r="R27" s="41"/>
      <c r="S27" s="42"/>
      <c r="T27" s="42"/>
      <c r="U27" s="42"/>
      <c r="V27" s="42"/>
      <c r="W27" s="42"/>
      <c r="X27" s="42"/>
      <c r="Y27" s="42"/>
      <c r="Z27" s="42"/>
      <c r="AA27" s="42"/>
      <c r="AB27" s="42"/>
      <c r="AC27" s="42"/>
      <c r="AD27" s="42"/>
      <c r="AE27" s="42"/>
      <c r="AF27" s="42"/>
      <c r="AG27" s="42"/>
      <c r="AH27" s="42"/>
      <c r="AI27" s="42"/>
      <c r="AJ27" s="42"/>
      <c r="AK27" s="42"/>
      <c r="AL27" s="42"/>
      <c r="AM27" s="42"/>
      <c r="AN27" s="42"/>
    </row>
    <row r="28" spans="3:40">
      <c r="C28" s="41"/>
      <c r="D28" s="41"/>
      <c r="E28" s="432"/>
      <c r="F28" s="432"/>
      <c r="G28" s="431"/>
      <c r="H28" s="41"/>
      <c r="I28" s="41"/>
      <c r="J28" s="41"/>
      <c r="K28" s="41"/>
      <c r="L28" s="41"/>
      <c r="M28" s="41"/>
      <c r="N28" s="41"/>
      <c r="O28" s="41"/>
      <c r="P28" s="41"/>
      <c r="Q28" s="41"/>
      <c r="R28" s="41"/>
      <c r="S28" s="42"/>
      <c r="T28" s="42"/>
      <c r="U28" s="42"/>
      <c r="V28" s="42"/>
      <c r="W28" s="42"/>
      <c r="X28" s="42"/>
      <c r="Y28" s="42"/>
      <c r="Z28" s="42"/>
      <c r="AA28" s="42"/>
      <c r="AB28" s="42"/>
      <c r="AC28" s="42"/>
      <c r="AD28" s="42"/>
      <c r="AE28" s="42"/>
      <c r="AF28" s="42"/>
      <c r="AG28" s="42"/>
      <c r="AH28" s="42"/>
      <c r="AI28" s="42"/>
      <c r="AJ28" s="42"/>
      <c r="AK28" s="42"/>
      <c r="AL28" s="42"/>
      <c r="AM28" s="42"/>
      <c r="AN28" s="42"/>
    </row>
    <row r="29" spans="3:40">
      <c r="C29" s="41"/>
      <c r="D29" s="41"/>
      <c r="E29" s="432"/>
      <c r="F29" s="432"/>
      <c r="G29" s="431"/>
      <c r="H29" s="41"/>
      <c r="I29" s="41"/>
      <c r="J29" s="41"/>
      <c r="K29" s="41"/>
      <c r="L29" s="41"/>
      <c r="M29" s="41"/>
      <c r="N29" s="41"/>
      <c r="O29" s="41"/>
      <c r="P29" s="41"/>
      <c r="Q29" s="41"/>
      <c r="R29" s="41"/>
      <c r="S29" s="42"/>
      <c r="T29" s="42"/>
      <c r="U29" s="42"/>
      <c r="V29" s="42"/>
      <c r="W29" s="42"/>
      <c r="X29" s="42"/>
      <c r="Y29" s="42"/>
      <c r="Z29" s="42"/>
      <c r="AA29" s="42"/>
      <c r="AB29" s="42"/>
      <c r="AC29" s="42"/>
      <c r="AD29" s="42"/>
      <c r="AE29" s="42"/>
      <c r="AF29" s="42"/>
      <c r="AG29" s="42"/>
      <c r="AH29" s="42"/>
      <c r="AI29" s="42"/>
      <c r="AJ29" s="42"/>
      <c r="AK29" s="42"/>
      <c r="AL29" s="42"/>
      <c r="AM29" s="42"/>
      <c r="AN29" s="42"/>
    </row>
    <row r="30" spans="3:40">
      <c r="C30" s="41"/>
      <c r="D30" s="41"/>
      <c r="E30" s="432"/>
      <c r="F30" s="432"/>
      <c r="G30" s="431"/>
      <c r="H30" s="41"/>
      <c r="I30" s="41"/>
      <c r="J30" s="41"/>
      <c r="K30" s="41"/>
      <c r="L30" s="41"/>
      <c r="M30" s="41"/>
      <c r="N30" s="41"/>
      <c r="O30" s="41"/>
      <c r="P30" s="41"/>
      <c r="Q30" s="41"/>
      <c r="R30" s="41"/>
      <c r="S30" s="42"/>
      <c r="T30" s="42"/>
      <c r="U30" s="42"/>
      <c r="V30" s="42"/>
      <c r="W30" s="42"/>
      <c r="X30" s="42"/>
      <c r="Y30" s="42"/>
      <c r="Z30" s="42"/>
      <c r="AA30" s="42"/>
      <c r="AB30" s="42"/>
      <c r="AC30" s="42"/>
      <c r="AD30" s="42"/>
      <c r="AE30" s="42"/>
      <c r="AF30" s="42"/>
      <c r="AG30" s="42"/>
      <c r="AH30" s="42"/>
      <c r="AI30" s="42"/>
      <c r="AJ30" s="42"/>
      <c r="AK30" s="42"/>
      <c r="AL30" s="42"/>
      <c r="AM30" s="42"/>
      <c r="AN30" s="42"/>
    </row>
    <row r="31" spans="3:40">
      <c r="C31" s="41"/>
      <c r="D31" s="41"/>
      <c r="E31" s="432"/>
      <c r="F31" s="432"/>
      <c r="G31" s="431"/>
      <c r="H31" s="41"/>
      <c r="I31" s="41"/>
      <c r="J31" s="41"/>
      <c r="K31" s="41"/>
      <c r="L31" s="41"/>
      <c r="M31" s="41"/>
      <c r="N31" s="41"/>
      <c r="O31" s="41"/>
      <c r="P31" s="41"/>
      <c r="Q31" s="41"/>
      <c r="R31" s="41"/>
      <c r="S31" s="42"/>
      <c r="T31" s="42"/>
      <c r="U31" s="42"/>
      <c r="V31" s="42"/>
      <c r="W31" s="42"/>
      <c r="X31" s="42"/>
      <c r="Y31" s="42"/>
      <c r="Z31" s="42"/>
      <c r="AA31" s="42"/>
      <c r="AB31" s="42"/>
      <c r="AC31" s="42"/>
      <c r="AD31" s="42"/>
      <c r="AE31" s="42"/>
      <c r="AF31" s="42"/>
      <c r="AG31" s="42"/>
      <c r="AH31" s="42"/>
      <c r="AI31" s="42"/>
      <c r="AJ31" s="42"/>
      <c r="AK31" s="42"/>
      <c r="AL31" s="42"/>
      <c r="AM31" s="42"/>
      <c r="AN31" s="42"/>
    </row>
    <row r="32" spans="3:40">
      <c r="C32" s="41"/>
      <c r="D32" s="41"/>
      <c r="E32" s="432"/>
      <c r="F32" s="432"/>
      <c r="G32" s="431"/>
      <c r="H32" s="41"/>
      <c r="I32" s="41"/>
      <c r="J32" s="41"/>
      <c r="K32" s="41"/>
      <c r="L32" s="41"/>
      <c r="M32" s="41"/>
      <c r="N32" s="41"/>
      <c r="O32" s="41"/>
      <c r="P32" s="41"/>
      <c r="Q32" s="41"/>
      <c r="R32" s="41"/>
      <c r="S32" s="42"/>
      <c r="T32" s="42"/>
      <c r="U32" s="42"/>
      <c r="V32" s="42"/>
      <c r="W32" s="42"/>
      <c r="X32" s="42"/>
      <c r="Y32" s="42"/>
      <c r="Z32" s="42"/>
      <c r="AA32" s="42"/>
      <c r="AB32" s="42"/>
      <c r="AC32" s="42"/>
      <c r="AD32" s="42"/>
      <c r="AE32" s="42"/>
      <c r="AF32" s="42"/>
      <c r="AG32" s="42"/>
      <c r="AH32" s="42"/>
      <c r="AI32" s="42"/>
      <c r="AJ32" s="42"/>
      <c r="AK32" s="42"/>
      <c r="AL32" s="42"/>
      <c r="AM32" s="42"/>
      <c r="AN32" s="42"/>
    </row>
    <row r="33" spans="2:107">
      <c r="C33" s="41"/>
      <c r="D33" s="41"/>
      <c r="E33" s="432"/>
      <c r="F33" s="432"/>
      <c r="G33" s="431"/>
      <c r="H33" s="41"/>
      <c r="I33" s="41"/>
      <c r="J33" s="41"/>
      <c r="K33" s="41"/>
      <c r="L33" s="41"/>
      <c r="M33" s="41"/>
      <c r="N33" s="41"/>
      <c r="O33" s="41"/>
      <c r="P33" s="41"/>
      <c r="Q33" s="41"/>
      <c r="R33" s="41"/>
      <c r="S33" s="42"/>
      <c r="T33" s="42"/>
      <c r="U33" s="42"/>
      <c r="V33" s="42"/>
      <c r="W33" s="42"/>
      <c r="X33" s="42"/>
      <c r="Y33" s="42"/>
      <c r="Z33" s="42"/>
      <c r="AA33" s="42"/>
      <c r="AB33" s="42"/>
      <c r="AC33" s="42"/>
      <c r="AD33" s="42"/>
      <c r="AE33" s="42"/>
      <c r="AF33" s="42"/>
      <c r="AG33" s="42"/>
      <c r="AH33" s="42"/>
      <c r="AI33" s="42"/>
      <c r="AJ33" s="42"/>
      <c r="AK33" s="42"/>
      <c r="AL33" s="42"/>
      <c r="AM33" s="42"/>
      <c r="AN33" s="42"/>
    </row>
    <row r="34" spans="2:107">
      <c r="C34" s="41"/>
      <c r="D34" s="41"/>
      <c r="E34" s="432"/>
      <c r="F34" s="432"/>
      <c r="G34" s="431"/>
      <c r="H34" s="41"/>
      <c r="I34" s="41"/>
      <c r="J34" s="41"/>
      <c r="K34" s="41"/>
      <c r="L34" s="41"/>
      <c r="M34" s="41"/>
      <c r="N34" s="41"/>
      <c r="O34" s="41"/>
      <c r="P34" s="41"/>
      <c r="Q34" s="41"/>
      <c r="R34" s="41"/>
      <c r="S34" s="42"/>
      <c r="T34" s="42"/>
      <c r="U34" s="42"/>
      <c r="V34" s="42"/>
      <c r="W34" s="42"/>
      <c r="X34" s="42"/>
      <c r="Y34" s="42"/>
      <c r="Z34" s="42"/>
      <c r="AA34" s="42"/>
      <c r="AB34" s="42"/>
      <c r="AC34" s="42"/>
      <c r="AD34" s="42"/>
      <c r="AE34" s="42"/>
      <c r="AF34" s="42"/>
      <c r="AG34" s="42"/>
      <c r="AH34" s="42"/>
      <c r="AI34" s="42"/>
      <c r="AJ34" s="42"/>
      <c r="AK34" s="42"/>
      <c r="AL34" s="42"/>
      <c r="AM34" s="42"/>
      <c r="AN34" s="42"/>
    </row>
    <row r="35" spans="2:107">
      <c r="C35" s="41"/>
      <c r="D35" s="41"/>
      <c r="E35" s="432"/>
      <c r="F35" s="432"/>
      <c r="G35" s="431"/>
      <c r="H35" s="41"/>
      <c r="I35" s="41"/>
      <c r="J35" s="41"/>
      <c r="K35" s="41"/>
      <c r="L35" s="41"/>
      <c r="M35" s="41"/>
      <c r="N35" s="41"/>
      <c r="O35" s="41"/>
      <c r="P35" s="41"/>
      <c r="Q35" s="41"/>
      <c r="R35" s="41"/>
      <c r="S35" s="42"/>
      <c r="T35" s="42"/>
      <c r="U35" s="42"/>
      <c r="V35" s="42"/>
      <c r="W35" s="42"/>
      <c r="X35" s="42"/>
      <c r="Y35" s="42"/>
      <c r="Z35" s="42"/>
      <c r="AA35" s="42"/>
      <c r="AB35" s="42"/>
      <c r="AC35" s="42"/>
      <c r="AD35" s="42"/>
      <c r="AE35" s="42"/>
      <c r="AF35" s="42"/>
      <c r="AG35" s="42"/>
      <c r="AH35" s="42"/>
      <c r="AI35" s="42"/>
      <c r="AJ35" s="42"/>
      <c r="AK35" s="42"/>
      <c r="AL35" s="42"/>
      <c r="AM35" s="42"/>
      <c r="AN35" s="42"/>
    </row>
    <row r="36" spans="2:107">
      <c r="C36" s="41"/>
      <c r="D36" s="41"/>
      <c r="E36" s="432"/>
      <c r="F36" s="432"/>
      <c r="G36" s="431"/>
      <c r="H36" s="41"/>
      <c r="I36" s="41"/>
      <c r="J36" s="41"/>
      <c r="K36" s="41"/>
      <c r="L36" s="41"/>
      <c r="M36" s="41"/>
      <c r="N36" s="41"/>
      <c r="O36" s="41"/>
      <c r="P36" s="41"/>
      <c r="Q36" s="41"/>
      <c r="R36" s="41"/>
      <c r="S36" s="42"/>
      <c r="T36" s="42"/>
      <c r="U36" s="42"/>
      <c r="V36" s="42"/>
      <c r="W36" s="42"/>
      <c r="X36" s="42"/>
      <c r="Y36" s="42"/>
      <c r="Z36" s="42"/>
      <c r="AA36" s="42"/>
      <c r="AB36" s="42"/>
      <c r="AC36" s="42"/>
      <c r="AD36" s="42"/>
      <c r="AE36" s="42"/>
      <c r="AF36" s="42"/>
      <c r="AG36" s="42"/>
      <c r="AH36" s="42"/>
      <c r="AI36" s="42"/>
      <c r="AJ36" s="42"/>
      <c r="AK36" s="42"/>
      <c r="AL36" s="42"/>
      <c r="AM36" s="42"/>
      <c r="AN36" s="42"/>
    </row>
    <row r="37" spans="2:107">
      <c r="C37" s="41"/>
      <c r="D37" s="41"/>
      <c r="E37" s="41"/>
      <c r="F37" s="41"/>
      <c r="G37" s="41"/>
      <c r="H37" s="41"/>
      <c r="I37" s="41"/>
      <c r="J37" s="41"/>
      <c r="K37" s="41"/>
      <c r="L37" s="41"/>
      <c r="M37" s="41"/>
      <c r="N37" s="41"/>
      <c r="O37" s="41"/>
      <c r="P37" s="41"/>
      <c r="Q37" s="41"/>
      <c r="R37" s="41"/>
      <c r="S37" s="42"/>
      <c r="T37" s="42"/>
      <c r="U37" s="42"/>
      <c r="V37" s="42"/>
      <c r="W37" s="42"/>
      <c r="X37" s="42"/>
      <c r="Y37" s="42"/>
      <c r="Z37" s="42"/>
      <c r="AA37" s="42"/>
      <c r="AB37" s="42"/>
      <c r="AC37" s="42"/>
      <c r="AD37" s="42"/>
      <c r="AE37" s="42"/>
      <c r="AF37" s="42"/>
      <c r="AG37" s="42"/>
      <c r="AH37" s="42"/>
      <c r="AI37" s="42"/>
      <c r="AJ37" s="42"/>
      <c r="AK37" s="42"/>
      <c r="AL37" s="42"/>
      <c r="AM37" s="42"/>
      <c r="AN37" s="42"/>
    </row>
    <row r="38" spans="2:107">
      <c r="C38" s="41"/>
      <c r="D38" s="41"/>
      <c r="E38" s="41"/>
      <c r="F38" s="41"/>
      <c r="G38" s="41"/>
      <c r="H38" s="41"/>
      <c r="I38" s="41"/>
      <c r="J38" s="41"/>
      <c r="K38" s="41"/>
      <c r="L38" s="41"/>
      <c r="M38" s="41"/>
      <c r="N38" s="41"/>
      <c r="O38" s="41"/>
      <c r="P38" s="41"/>
      <c r="Q38" s="41"/>
      <c r="R38" s="41"/>
      <c r="S38" s="42"/>
      <c r="T38" s="42"/>
      <c r="U38" s="42"/>
      <c r="V38" s="42"/>
      <c r="W38" s="42"/>
      <c r="X38" s="42"/>
      <c r="Y38" s="42"/>
      <c r="Z38" s="42"/>
      <c r="AA38" s="42"/>
      <c r="AB38" s="42"/>
      <c r="AC38" s="42"/>
      <c r="AD38" s="42"/>
      <c r="AE38" s="42"/>
      <c r="AF38" s="42"/>
      <c r="AG38" s="42"/>
      <c r="AH38" s="42"/>
      <c r="AI38" s="42"/>
      <c r="AJ38" s="42"/>
      <c r="AK38" s="42"/>
      <c r="AL38" s="42"/>
      <c r="AM38" s="42"/>
      <c r="AN38" s="42"/>
    </row>
    <row r="39" spans="2:107">
      <c r="C39" s="41"/>
      <c r="D39" s="41"/>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row>
    <row r="40" spans="2:107">
      <c r="C40" s="41"/>
      <c r="D40" s="41"/>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row>
    <row r="41" spans="2:107">
      <c r="C41" s="41"/>
      <c r="D41" s="41"/>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row>
    <row r="42" spans="2:107">
      <c r="B42" s="38" t="s">
        <v>710</v>
      </c>
    </row>
    <row r="43" spans="2:107" s="1" customFormat="1">
      <c r="C43" s="15" t="s">
        <v>6</v>
      </c>
      <c r="D43" s="16"/>
      <c r="E43" s="16"/>
      <c r="F43" s="16"/>
      <c r="G43" s="16"/>
      <c r="H43" s="16"/>
      <c r="I43" s="17"/>
      <c r="J43" s="39"/>
      <c r="K43" s="519" t="s">
        <v>7</v>
      </c>
      <c r="L43" s="520"/>
      <c r="M43" s="520"/>
      <c r="N43" s="520"/>
      <c r="O43" s="520"/>
      <c r="P43" s="521"/>
      <c r="Q43" s="522" t="s">
        <v>8</v>
      </c>
      <c r="R43" s="523"/>
      <c r="S43" s="19"/>
      <c r="T43" s="20"/>
      <c r="U43" s="20"/>
      <c r="V43" s="20"/>
      <c r="W43" s="20"/>
      <c r="X43" s="20"/>
      <c r="Y43" s="20"/>
      <c r="Z43" s="21"/>
      <c r="AA43" s="22"/>
      <c r="AB43" s="20"/>
      <c r="AC43" s="20"/>
      <c r="AD43" s="20"/>
      <c r="AE43" s="20"/>
      <c r="AF43" s="20"/>
      <c r="AG43" s="23"/>
      <c r="AH43" s="23"/>
      <c r="AI43" s="23"/>
      <c r="AJ43" s="23"/>
      <c r="AK43" s="23"/>
      <c r="AL43" s="23"/>
      <c r="AM43" s="23"/>
      <c r="AN43" s="23"/>
      <c r="AO43" s="23"/>
      <c r="AP43" s="23"/>
      <c r="AQ43" s="23"/>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row>
    <row r="44" spans="2:107" ht="25.5">
      <c r="B44" s="1"/>
      <c r="C44" s="24" t="s">
        <v>9</v>
      </c>
      <c r="D44" s="24" t="s">
        <v>10</v>
      </c>
      <c r="E44" s="24" t="s">
        <v>11</v>
      </c>
      <c r="F44" s="24" t="s">
        <v>12</v>
      </c>
      <c r="G44" s="24" t="s">
        <v>13</v>
      </c>
      <c r="H44" s="24" t="s">
        <v>14</v>
      </c>
      <c r="I44" s="24" t="s">
        <v>15</v>
      </c>
      <c r="J44" s="24" t="s">
        <v>16</v>
      </c>
      <c r="K44" s="24" t="s">
        <v>17</v>
      </c>
      <c r="L44" s="24" t="s">
        <v>18</v>
      </c>
      <c r="M44" s="24" t="s">
        <v>19</v>
      </c>
      <c r="N44" s="24" t="s">
        <v>20</v>
      </c>
      <c r="O44" s="24" t="s">
        <v>21</v>
      </c>
      <c r="P44" s="24" t="s">
        <v>22</v>
      </c>
      <c r="Q44" s="40" t="s">
        <v>23</v>
      </c>
      <c r="R44" s="24" t="s">
        <v>15</v>
      </c>
    </row>
    <row r="45" spans="2:107" ht="26.25" customHeight="1">
      <c r="B45">
        <v>2016</v>
      </c>
      <c r="C45" s="41" t="str">
        <f>C7</f>
        <v>LEDDecorative and Mini-Base250 to 664 lumensANY</v>
      </c>
      <c r="D45" s="41" t="str">
        <f>D7</f>
        <v>LEDDecorative and Mini-Base250 to 664 lumensANY</v>
      </c>
      <c r="E45" s="432">
        <f>E7*VLOOKUP($B45,Trend!$B$3:$D$6,2,FALSE)</f>
        <v>17.893756380606625</v>
      </c>
      <c r="F45" s="41">
        <f>F7</f>
        <v>12</v>
      </c>
      <c r="G45" s="432">
        <f>G7*VLOOKUP($B45,Trend!$B$3:$D$6,3,FALSE)</f>
        <v>4.9558183711786743</v>
      </c>
      <c r="H45" s="41">
        <f t="shared" ref="H45:P45" si="0">H7</f>
        <v>0</v>
      </c>
      <c r="I45" s="41" t="str">
        <f t="shared" si="0"/>
        <v>ResLIGHT</v>
      </c>
      <c r="J45" s="41">
        <f t="shared" si="0"/>
        <v>0</v>
      </c>
      <c r="K45" s="41">
        <f t="shared" si="0"/>
        <v>-1.6401583657682686</v>
      </c>
      <c r="L45" s="41">
        <f t="shared" si="0"/>
        <v>1.7835655628514451</v>
      </c>
      <c r="M45" s="41">
        <f t="shared" si="0"/>
        <v>0</v>
      </c>
      <c r="N45" s="41">
        <f t="shared" si="0"/>
        <v>0</v>
      </c>
      <c r="O45" s="41">
        <f t="shared" si="0"/>
        <v>0</v>
      </c>
      <c r="P45" s="41">
        <f t="shared" si="0"/>
        <v>0</v>
      </c>
      <c r="Q45" s="432">
        <f>Q7*VLOOKUP($B45,Trend!$B$3:$D$6,2,FALSE)</f>
        <v>-0.21010528767546227</v>
      </c>
      <c r="R45" s="41" t="str">
        <f>R7</f>
        <v>ResSHWX</v>
      </c>
    </row>
    <row r="46" spans="2:107" ht="25.5">
      <c r="B46">
        <v>2016</v>
      </c>
      <c r="C46" s="41" t="str">
        <f t="shared" ref="C46:D46" si="1">C8</f>
        <v>LEDDecorative and Mini-Base665 to 1439 lumensANY</v>
      </c>
      <c r="D46" s="41" t="str">
        <f t="shared" si="1"/>
        <v>LEDDecorative and Mini-Base665 to 1439 lumensANY</v>
      </c>
      <c r="E46" s="432">
        <f>E8*VLOOKUP($B46,Trend!$B$3:$D$6,2,FALSE)</f>
        <v>13.480596508464908</v>
      </c>
      <c r="F46" s="41">
        <f t="shared" ref="F46:F58" si="2">F8</f>
        <v>12</v>
      </c>
      <c r="G46" s="432">
        <f>G8*VLOOKUP($B46,Trend!$B$3:$D$6,3,FALSE)</f>
        <v>9.216195414897566</v>
      </c>
      <c r="H46" s="41">
        <f t="shared" ref="H46:P46" si="3">H8</f>
        <v>0</v>
      </c>
      <c r="I46" s="41" t="str">
        <f t="shared" si="3"/>
        <v>ResLIGHT</v>
      </c>
      <c r="J46" s="41">
        <f t="shared" si="3"/>
        <v>0</v>
      </c>
      <c r="K46" s="41">
        <f t="shared" si="3"/>
        <v>-2.357302490345714</v>
      </c>
      <c r="L46" s="41">
        <f t="shared" si="3"/>
        <v>1.7864498053021971</v>
      </c>
      <c r="M46" s="41">
        <f t="shared" si="3"/>
        <v>0</v>
      </c>
      <c r="N46" s="41">
        <f t="shared" si="3"/>
        <v>0</v>
      </c>
      <c r="O46" s="41">
        <f t="shared" si="3"/>
        <v>0</v>
      </c>
      <c r="P46" s="41">
        <f t="shared" si="3"/>
        <v>0</v>
      </c>
      <c r="Q46" s="432">
        <f>Q8*VLOOKUP($B46,Trend!$B$3:$D$6,2,FALSE)</f>
        <v>-0.15012498651799946</v>
      </c>
      <c r="R46" s="41" t="str">
        <f t="shared" ref="R46:R58" si="4">R8</f>
        <v>ResSHWX</v>
      </c>
    </row>
    <row r="47" spans="2:107" ht="25.5">
      <c r="B47">
        <v>2016</v>
      </c>
      <c r="C47" s="41" t="str">
        <f t="shared" ref="C47:D47" si="5">C9</f>
        <v>LEDDecorative and Mini-Base1440 to 2600 lumensANY</v>
      </c>
      <c r="D47" s="41" t="str">
        <f t="shared" si="5"/>
        <v>LEDDecorative and Mini-Base1440 to 2600 lumensANY</v>
      </c>
      <c r="E47" s="432">
        <f>E9*VLOOKUP($B47,Trend!$B$3:$D$6,2,FALSE)</f>
        <v>6.6760046931073918</v>
      </c>
      <c r="F47" s="41">
        <f t="shared" si="2"/>
        <v>12</v>
      </c>
      <c r="G47" s="432">
        <f>G9*VLOOKUP($B47,Trend!$B$3:$D$6,3,FALSE)</f>
        <v>24.313541751771158</v>
      </c>
      <c r="H47" s="41">
        <f t="shared" ref="H47:P47" si="6">H9</f>
        <v>0</v>
      </c>
      <c r="I47" s="41" t="str">
        <f t="shared" si="6"/>
        <v>ResLIGHT</v>
      </c>
      <c r="J47" s="41">
        <f t="shared" si="6"/>
        <v>0</v>
      </c>
      <c r="K47" s="41">
        <f t="shared" si="6"/>
        <v>-2.5719834880984087</v>
      </c>
      <c r="L47" s="41">
        <f t="shared" si="6"/>
        <v>4.4344805227500377</v>
      </c>
      <c r="M47" s="41">
        <f t="shared" si="6"/>
        <v>0</v>
      </c>
      <c r="N47" s="41">
        <f t="shared" si="6"/>
        <v>0</v>
      </c>
      <c r="O47" s="41">
        <f t="shared" si="6"/>
        <v>0</v>
      </c>
      <c r="P47" s="41">
        <f t="shared" si="6"/>
        <v>0</v>
      </c>
      <c r="Q47" s="432">
        <f>Q9*VLOOKUP($B47,Trend!$B$3:$D$6,2,FALSE)</f>
        <v>-7.6085649363279939E-2</v>
      </c>
      <c r="R47" s="41" t="str">
        <f t="shared" si="4"/>
        <v>ResSHWX</v>
      </c>
    </row>
    <row r="48" spans="2:107" ht="25.5">
      <c r="B48">
        <v>2016</v>
      </c>
      <c r="C48" s="41" t="str">
        <f t="shared" ref="C48:D48" si="7">C10</f>
        <v>LEDGeneral Purpose and Dimmable250 to 664 lumensANY</v>
      </c>
      <c r="D48" s="41" t="str">
        <f t="shared" si="7"/>
        <v>LEDGeneral Purpose and Dimmable250 to 664 lumensANY</v>
      </c>
      <c r="E48" s="432">
        <f>E10*VLOOKUP($B48,Trend!$B$3:$D$6,2,FALSE)</f>
        <v>1.7075117255060097</v>
      </c>
      <c r="F48" s="41">
        <f t="shared" si="2"/>
        <v>12</v>
      </c>
      <c r="G48" s="432">
        <f>G10*VLOOKUP($B48,Trend!$B$3:$D$6,3,FALSE)</f>
        <v>1.6801186467204023</v>
      </c>
      <c r="H48" s="41">
        <f t="shared" ref="H48:P48" si="8">H10</f>
        <v>0</v>
      </c>
      <c r="I48" s="41" t="str">
        <f t="shared" si="8"/>
        <v>ResLIGHT</v>
      </c>
      <c r="J48" s="41">
        <f t="shared" si="8"/>
        <v>0</v>
      </c>
      <c r="K48" s="41">
        <f t="shared" si="8"/>
        <v>-2.1592275874141325</v>
      </c>
      <c r="L48" s="41">
        <f t="shared" si="8"/>
        <v>8.5397834253252132</v>
      </c>
      <c r="M48" s="41">
        <f t="shared" si="8"/>
        <v>0</v>
      </c>
      <c r="N48" s="41">
        <f t="shared" si="8"/>
        <v>0</v>
      </c>
      <c r="O48" s="41">
        <f t="shared" si="8"/>
        <v>0</v>
      </c>
      <c r="P48" s="41">
        <f t="shared" si="8"/>
        <v>0</v>
      </c>
      <c r="Q48" s="432">
        <f>Q10*VLOOKUP($B48,Trend!$B$3:$D$6,2,FALSE)</f>
        <v>-1.9117010844204075E-2</v>
      </c>
      <c r="R48" s="41" t="str">
        <f t="shared" si="4"/>
        <v>ResSHWX</v>
      </c>
    </row>
    <row r="49" spans="2:18" ht="25.5">
      <c r="B49">
        <v>2016</v>
      </c>
      <c r="C49" s="41" t="str">
        <f t="shared" ref="C49:D49" si="9">C11</f>
        <v>LEDGeneral Purpose and Dimmable665 to 1439 lumensANY</v>
      </c>
      <c r="D49" s="41" t="str">
        <f t="shared" si="9"/>
        <v>LEDGeneral Purpose and Dimmable665 to 1439 lumensANY</v>
      </c>
      <c r="E49" s="432">
        <f>E11*VLOOKUP($B49,Trend!$B$3:$D$6,2,FALSE)</f>
        <v>6.6645406789152855</v>
      </c>
      <c r="F49" s="41">
        <f t="shared" si="2"/>
        <v>12</v>
      </c>
      <c r="G49" s="432">
        <f>G11*VLOOKUP($B49,Trend!$B$3:$D$6,3,FALSE)</f>
        <v>4.4450856456309848</v>
      </c>
      <c r="H49" s="41">
        <f t="shared" ref="H49:P49" si="10">H11</f>
        <v>0</v>
      </c>
      <c r="I49" s="41" t="str">
        <f t="shared" si="10"/>
        <v>ResLIGHT</v>
      </c>
      <c r="J49" s="41">
        <f t="shared" si="10"/>
        <v>0</v>
      </c>
      <c r="K49" s="41">
        <f t="shared" si="10"/>
        <v>-1.4522786346527323</v>
      </c>
      <c r="L49" s="41">
        <f t="shared" si="10"/>
        <v>7.9445543113898527</v>
      </c>
      <c r="M49" s="41">
        <f t="shared" si="10"/>
        <v>0</v>
      </c>
      <c r="N49" s="41">
        <f t="shared" si="10"/>
        <v>0</v>
      </c>
      <c r="O49" s="41">
        <f t="shared" si="10"/>
        <v>0</v>
      </c>
      <c r="P49" s="41">
        <f t="shared" si="10"/>
        <v>0</v>
      </c>
      <c r="Q49" s="432">
        <f>Q11*VLOOKUP($B49,Trend!$B$3:$D$6,2,FALSE)</f>
        <v>-6.9090713017500235E-2</v>
      </c>
      <c r="R49" s="41" t="str">
        <f t="shared" si="4"/>
        <v>ResSHWX</v>
      </c>
    </row>
    <row r="50" spans="2:18" ht="25.5">
      <c r="B50">
        <v>2016</v>
      </c>
      <c r="C50" s="41" t="str">
        <f t="shared" ref="C50:D50" si="11">C12</f>
        <v>LEDGeneral Purpose and Dimmable1440 to 2600 lumensANY</v>
      </c>
      <c r="D50" s="41" t="str">
        <f t="shared" si="11"/>
        <v>LEDGeneral Purpose and Dimmable1440 to 2600 lumensANY</v>
      </c>
      <c r="E50" s="432">
        <f>E12*VLOOKUP($B50,Trend!$B$3:$D$6,2,FALSE)</f>
        <v>12.452392196501037</v>
      </c>
      <c r="F50" s="41">
        <f t="shared" si="2"/>
        <v>12</v>
      </c>
      <c r="G50" s="432">
        <f>G12*VLOOKUP($B50,Trend!$B$3:$D$6,3,FALSE)</f>
        <v>11.796274117985698</v>
      </c>
      <c r="H50" s="41">
        <f t="shared" ref="H50:P50" si="12">H12</f>
        <v>0</v>
      </c>
      <c r="I50" s="41" t="str">
        <f t="shared" si="12"/>
        <v>ResLIGHT</v>
      </c>
      <c r="J50" s="41">
        <f t="shared" si="12"/>
        <v>0</v>
      </c>
      <c r="K50" s="41">
        <f t="shared" si="12"/>
        <v>-1.8911113019525783</v>
      </c>
      <c r="L50" s="41">
        <f t="shared" si="12"/>
        <v>7.4879032412351636</v>
      </c>
      <c r="M50" s="41">
        <f t="shared" si="12"/>
        <v>0</v>
      </c>
      <c r="N50" s="41">
        <f t="shared" si="12"/>
        <v>0</v>
      </c>
      <c r="O50" s="41">
        <f t="shared" si="12"/>
        <v>0</v>
      </c>
      <c r="P50" s="41">
        <f t="shared" si="12"/>
        <v>0</v>
      </c>
      <c r="Q50" s="432">
        <f>Q12*VLOOKUP($B50,Trend!$B$3:$D$6,2,FALSE)</f>
        <v>-0.11684398032505157</v>
      </c>
      <c r="R50" s="41" t="str">
        <f t="shared" si="4"/>
        <v>ResSHWX</v>
      </c>
    </row>
    <row r="51" spans="2:18" ht="25.5">
      <c r="B51">
        <v>2016</v>
      </c>
      <c r="C51" s="41" t="str">
        <f t="shared" ref="C51:D51" si="13">C13</f>
        <v>LEDGlobe250 to 664 lumensANY</v>
      </c>
      <c r="D51" s="41" t="str">
        <f t="shared" si="13"/>
        <v>LEDGlobe250 to 664 lumensANY</v>
      </c>
      <c r="E51" s="432">
        <f>E13*VLOOKUP($B51,Trend!$B$3:$D$6,2,FALSE)</f>
        <v>13.334064606338242</v>
      </c>
      <c r="F51" s="41">
        <f t="shared" si="2"/>
        <v>12</v>
      </c>
      <c r="G51" s="432">
        <f>G13*VLOOKUP($B51,Trend!$B$3:$D$6,3,FALSE)</f>
        <v>2.630319143195023</v>
      </c>
      <c r="H51" s="41">
        <f t="shared" ref="H51:P51" si="14">H13</f>
        <v>0</v>
      </c>
      <c r="I51" s="41" t="str">
        <f t="shared" si="14"/>
        <v>ResLIGHT</v>
      </c>
      <c r="J51" s="41">
        <f t="shared" si="14"/>
        <v>0</v>
      </c>
      <c r="K51" s="41">
        <f t="shared" si="14"/>
        <v>-2.1737529557872382</v>
      </c>
      <c r="L51" s="41">
        <f t="shared" si="14"/>
        <v>2.2408705642884907</v>
      </c>
      <c r="M51" s="41">
        <f t="shared" si="14"/>
        <v>0</v>
      </c>
      <c r="N51" s="41">
        <f t="shared" si="14"/>
        <v>0</v>
      </c>
      <c r="O51" s="41">
        <f t="shared" si="14"/>
        <v>0</v>
      </c>
      <c r="P51" s="41">
        <f t="shared" si="14"/>
        <v>0</v>
      </c>
      <c r="Q51" s="432">
        <f>Q13*VLOOKUP($B51,Trend!$B$3:$D$6,2,FALSE)</f>
        <v>-0.16529593904180123</v>
      </c>
      <c r="R51" s="41" t="str">
        <f t="shared" si="4"/>
        <v>ResSHWX</v>
      </c>
    </row>
    <row r="52" spans="2:18" ht="25.5">
      <c r="B52">
        <v>2016</v>
      </c>
      <c r="C52" s="41" t="str">
        <f t="shared" ref="C52:D52" si="15">C14</f>
        <v>LEDGlobe665 to 1439 lumensANY</v>
      </c>
      <c r="D52" s="41" t="str">
        <f t="shared" si="15"/>
        <v>LEDGlobe665 to 1439 lumensANY</v>
      </c>
      <c r="E52" s="432">
        <f>E14*VLOOKUP($B52,Trend!$B$3:$D$6,2,FALSE)</f>
        <v>9.183363083071896</v>
      </c>
      <c r="F52" s="41">
        <f t="shared" si="2"/>
        <v>12</v>
      </c>
      <c r="G52" s="432">
        <f>G14*VLOOKUP($B52,Trend!$B$3:$D$6,3,FALSE)</f>
        <v>2.4831274968904125</v>
      </c>
      <c r="H52" s="41">
        <f t="shared" ref="H52:P52" si="16">H14</f>
        <v>0</v>
      </c>
      <c r="I52" s="41" t="str">
        <f t="shared" si="16"/>
        <v>ResLIGHT</v>
      </c>
      <c r="J52" s="41">
        <f t="shared" si="16"/>
        <v>0</v>
      </c>
      <c r="K52" s="41">
        <f t="shared" si="16"/>
        <v>-4.74556552718155</v>
      </c>
      <c r="L52" s="41">
        <f t="shared" si="16"/>
        <v>2.7621105076077872</v>
      </c>
      <c r="M52" s="41">
        <f t="shared" si="16"/>
        <v>0</v>
      </c>
      <c r="N52" s="41">
        <f t="shared" si="16"/>
        <v>0</v>
      </c>
      <c r="O52" s="41">
        <f t="shared" si="16"/>
        <v>0</v>
      </c>
      <c r="P52" s="41">
        <f t="shared" si="16"/>
        <v>0</v>
      </c>
      <c r="Q52" s="432">
        <f>Q14*VLOOKUP($B52,Trend!$B$3:$D$6,2,FALSE)</f>
        <v>-0.11152174781632176</v>
      </c>
      <c r="R52" s="41" t="str">
        <f t="shared" si="4"/>
        <v>ResSHWX</v>
      </c>
    </row>
    <row r="53" spans="2:18" ht="25.5">
      <c r="B53">
        <v>2016</v>
      </c>
      <c r="C53" s="41" t="str">
        <f t="shared" ref="C53:D53" si="17">C15</f>
        <v>LEDGlobe1440 to 2600 lumensANY</v>
      </c>
      <c r="D53" s="41" t="str">
        <f t="shared" si="17"/>
        <v>LEDGlobe1440 to 2600 lumensANY</v>
      </c>
      <c r="E53" s="432">
        <f>E15*VLOOKUP($B53,Trend!$B$3:$D$6,2,FALSE)</f>
        <v>9.9357360612556658</v>
      </c>
      <c r="F53" s="41">
        <f t="shared" si="2"/>
        <v>12</v>
      </c>
      <c r="G53" s="432">
        <f>G15*VLOOKUP($B53,Trend!$B$3:$D$6,3,FALSE)</f>
        <v>9.6685045482595466</v>
      </c>
      <c r="H53" s="41">
        <f t="shared" ref="H53:P53" si="18">H15</f>
        <v>0</v>
      </c>
      <c r="I53" s="41" t="str">
        <f t="shared" si="18"/>
        <v>ResLIGHT</v>
      </c>
      <c r="J53" s="41">
        <f t="shared" si="18"/>
        <v>0</v>
      </c>
      <c r="K53" s="41">
        <f t="shared" si="18"/>
        <v>-5.4627245082786207</v>
      </c>
      <c r="L53" s="41">
        <f t="shared" si="18"/>
        <v>2.0492242794119604</v>
      </c>
      <c r="M53" s="41">
        <f t="shared" si="18"/>
        <v>0</v>
      </c>
      <c r="N53" s="41">
        <f t="shared" si="18"/>
        <v>0</v>
      </c>
      <c r="O53" s="41">
        <f t="shared" si="18"/>
        <v>0</v>
      </c>
      <c r="P53" s="41">
        <f t="shared" si="18"/>
        <v>0</v>
      </c>
      <c r="Q53" s="432">
        <f>Q15*VLOOKUP($B53,Trend!$B$3:$D$6,2,FALSE)</f>
        <v>-0.10165155836876927</v>
      </c>
      <c r="R53" s="41" t="str">
        <f t="shared" si="4"/>
        <v>ResSHWX</v>
      </c>
    </row>
    <row r="54" spans="2:18" ht="25.5">
      <c r="B54">
        <v>2016</v>
      </c>
      <c r="C54" s="41" t="str">
        <f t="shared" ref="C54:D54" si="19">C16</f>
        <v>LEDReflectors and Outdoor250 to 664 lumensANY</v>
      </c>
      <c r="D54" s="41" t="str">
        <f t="shared" si="19"/>
        <v>LEDReflectors and Outdoor250 to 664 lumensANY</v>
      </c>
      <c r="E54" s="432">
        <f>E16*VLOOKUP($B54,Trend!$B$3:$D$6,2,FALSE)</f>
        <v>18.952796866034859</v>
      </c>
      <c r="F54" s="41">
        <f t="shared" si="2"/>
        <v>12</v>
      </c>
      <c r="G54" s="432">
        <f>G16*VLOOKUP($B54,Trend!$B$3:$D$6,3,FALSE)</f>
        <v>9.8657888350636807</v>
      </c>
      <c r="H54" s="41">
        <f t="shared" ref="H54:P54" si="20">H16</f>
        <v>0</v>
      </c>
      <c r="I54" s="41" t="str">
        <f t="shared" si="20"/>
        <v>ResLIGHT</v>
      </c>
      <c r="J54" s="41">
        <f t="shared" si="20"/>
        <v>0</v>
      </c>
      <c r="K54" s="41">
        <f t="shared" si="20"/>
        <v>-4.6350044381489033</v>
      </c>
      <c r="L54" s="41">
        <f t="shared" si="20"/>
        <v>2.1002897994909375</v>
      </c>
      <c r="M54" s="41">
        <f t="shared" si="20"/>
        <v>0</v>
      </c>
      <c r="N54" s="41">
        <f t="shared" si="20"/>
        <v>0</v>
      </c>
      <c r="O54" s="41">
        <f t="shared" si="20"/>
        <v>0</v>
      </c>
      <c r="P54" s="41">
        <f t="shared" si="20"/>
        <v>0</v>
      </c>
      <c r="Q54" s="432">
        <f>Q16*VLOOKUP($B54,Trend!$B$3:$D$6,2,FALSE)</f>
        <v>-0.22133944878776596</v>
      </c>
      <c r="R54" s="41" t="str">
        <f t="shared" si="4"/>
        <v>ResSHWX</v>
      </c>
    </row>
    <row r="55" spans="2:18" ht="25.5">
      <c r="B55">
        <v>2016</v>
      </c>
      <c r="C55" s="41" t="str">
        <f t="shared" ref="C55:D55" si="21">C17</f>
        <v>LEDReflectors and Outdoor665 to 1439 lumensANY</v>
      </c>
      <c r="D55" s="41" t="str">
        <f t="shared" si="21"/>
        <v>LEDReflectors and Outdoor665 to 1439 lumensANY</v>
      </c>
      <c r="E55" s="432">
        <f>E17*VLOOKUP($B55,Trend!$B$3:$D$6,2,FALSE)</f>
        <v>14.451910254511809</v>
      </c>
      <c r="F55" s="41">
        <f t="shared" si="2"/>
        <v>12</v>
      </c>
      <c r="G55" s="432">
        <f>G17*VLOOKUP($B55,Trend!$B$3:$D$6,3,FALSE)</f>
        <v>7.1089579864357049</v>
      </c>
      <c r="H55" s="41">
        <f t="shared" ref="H55:P55" si="22">H17</f>
        <v>0</v>
      </c>
      <c r="I55" s="41" t="str">
        <f t="shared" si="22"/>
        <v>ResLIGHT</v>
      </c>
      <c r="J55" s="41">
        <f t="shared" si="22"/>
        <v>0</v>
      </c>
      <c r="K55" s="41">
        <f t="shared" si="22"/>
        <v>-6.0025868409413388</v>
      </c>
      <c r="L55" s="41">
        <f t="shared" si="22"/>
        <v>2.7605785479478313</v>
      </c>
      <c r="M55" s="41">
        <f t="shared" si="22"/>
        <v>0</v>
      </c>
      <c r="N55" s="41">
        <f t="shared" si="22"/>
        <v>0</v>
      </c>
      <c r="O55" s="41">
        <f t="shared" si="22"/>
        <v>0</v>
      </c>
      <c r="P55" s="41">
        <f t="shared" si="22"/>
        <v>0</v>
      </c>
      <c r="Q55" s="432">
        <f>Q17*VLOOKUP($B55,Trend!$B$3:$D$6,2,FALSE)</f>
        <v>-0.14385197375509576</v>
      </c>
      <c r="R55" s="41" t="str">
        <f t="shared" si="4"/>
        <v>ResSHWX</v>
      </c>
    </row>
    <row r="56" spans="2:18" ht="25.5">
      <c r="B56">
        <v>2016</v>
      </c>
      <c r="C56" s="41" t="str">
        <f t="shared" ref="C56:D56" si="23">C18</f>
        <v>LEDReflectors and Outdoor1440 to 2600 lumensANY</v>
      </c>
      <c r="D56" s="41" t="str">
        <f t="shared" si="23"/>
        <v>LEDReflectors and Outdoor1440 to 2600 lumensANY</v>
      </c>
      <c r="E56" s="432">
        <f>E18*VLOOKUP($B56,Trend!$B$3:$D$6,2,FALSE)</f>
        <v>77.368427431018958</v>
      </c>
      <c r="F56" s="41">
        <f t="shared" si="2"/>
        <v>12</v>
      </c>
      <c r="G56" s="432">
        <f>G18*VLOOKUP($B56,Trend!$B$3:$D$6,3,FALSE)</f>
        <v>15.310672125184738</v>
      </c>
      <c r="H56" s="41">
        <f t="shared" ref="H56:P56" si="24">H18</f>
        <v>0</v>
      </c>
      <c r="I56" s="41" t="str">
        <f t="shared" si="24"/>
        <v>ResLIGHT</v>
      </c>
      <c r="J56" s="41">
        <f t="shared" si="24"/>
        <v>0</v>
      </c>
      <c r="K56" s="41">
        <f t="shared" si="24"/>
        <v>-6.8379432184399001</v>
      </c>
      <c r="L56" s="41">
        <f t="shared" si="24"/>
        <v>1.8152462117520278</v>
      </c>
      <c r="M56" s="41">
        <f t="shared" si="24"/>
        <v>0</v>
      </c>
      <c r="N56" s="41">
        <f t="shared" si="24"/>
        <v>0</v>
      </c>
      <c r="O56" s="41">
        <f t="shared" si="24"/>
        <v>0</v>
      </c>
      <c r="P56" s="41">
        <f t="shared" si="24"/>
        <v>0</v>
      </c>
      <c r="Q56" s="432">
        <f>Q18*VLOOKUP($B56,Trend!$B$3:$D$6,2,FALSE)</f>
        <v>-0.24640959977027047</v>
      </c>
      <c r="R56" s="41" t="str">
        <f t="shared" si="4"/>
        <v>ResSHWX</v>
      </c>
    </row>
    <row r="57" spans="2:18" ht="25.5">
      <c r="B57">
        <v>2016</v>
      </c>
      <c r="C57" s="41" t="str">
        <f t="shared" ref="C57:D57" si="25">C19</f>
        <v>LEDThree-Way250 to 664 lumensANY</v>
      </c>
      <c r="D57" s="41" t="str">
        <f t="shared" si="25"/>
        <v>LEDThree-Way250 to 664 lumensANY</v>
      </c>
      <c r="E57" s="432">
        <f>E19*VLOOKUP($B57,Trend!$B$3:$D$6,2,FALSE)</f>
        <v>45.042010261394381</v>
      </c>
      <c r="F57" s="41">
        <f t="shared" si="2"/>
        <v>12</v>
      </c>
      <c r="G57" s="432">
        <f>G19*VLOOKUP($B57,Trend!$B$3:$D$6,3,FALSE)</f>
        <v>11.132580992823133</v>
      </c>
      <c r="H57" s="41">
        <f t="shared" ref="H57:P57" si="26">H19</f>
        <v>0</v>
      </c>
      <c r="I57" s="41" t="str">
        <f t="shared" si="26"/>
        <v>ResLIGHT</v>
      </c>
      <c r="J57" s="41">
        <f t="shared" si="26"/>
        <v>0</v>
      </c>
      <c r="K57" s="41">
        <f t="shared" si="26"/>
        <v>-2.5086033161955381</v>
      </c>
      <c r="L57" s="41">
        <f t="shared" si="26"/>
        <v>1.9664811264199897</v>
      </c>
      <c r="M57" s="41">
        <f t="shared" si="26"/>
        <v>0</v>
      </c>
      <c r="N57" s="41">
        <f t="shared" si="26"/>
        <v>0</v>
      </c>
      <c r="O57" s="41">
        <f t="shared" si="26"/>
        <v>0</v>
      </c>
      <c r="P57" s="41">
        <f t="shared" si="26"/>
        <v>0</v>
      </c>
      <c r="Q57" s="432">
        <f>Q19*VLOOKUP($B57,Trend!$B$3:$D$6,2,FALSE)</f>
        <v>-0.56324737831000837</v>
      </c>
      <c r="R57" s="41" t="str">
        <f t="shared" si="4"/>
        <v>ResSHWX</v>
      </c>
    </row>
    <row r="58" spans="2:18" ht="25.5">
      <c r="B58">
        <v>2016</v>
      </c>
      <c r="C58" s="41" t="str">
        <f t="shared" ref="C58:D58" si="27">C20</f>
        <v>LEDThree-Way665 to 1439 lumensANY</v>
      </c>
      <c r="D58" s="41" t="str">
        <f t="shared" si="27"/>
        <v>LEDThree-Way665 to 1439 lumensANY</v>
      </c>
      <c r="E58" s="432">
        <f>E20*VLOOKUP($B58,Trend!$B$3:$D$6,2,FALSE)</f>
        <v>48.517514286908948</v>
      </c>
      <c r="F58" s="41">
        <f t="shared" si="2"/>
        <v>12</v>
      </c>
      <c r="G58" s="432">
        <f>G20*VLOOKUP($B58,Trend!$B$3:$D$6,3,FALSE)</f>
        <v>7.0983192572877227</v>
      </c>
      <c r="H58" s="41">
        <f t="shared" ref="H58:P58" si="28">H20</f>
        <v>0</v>
      </c>
      <c r="I58" s="41" t="str">
        <f t="shared" si="28"/>
        <v>ResLIGHT</v>
      </c>
      <c r="J58" s="41">
        <f t="shared" si="28"/>
        <v>0</v>
      </c>
      <c r="K58" s="41">
        <f t="shared" si="28"/>
        <v>-6.020444707725451</v>
      </c>
      <c r="L58" s="41">
        <f t="shared" si="28"/>
        <v>3.7098631590053808</v>
      </c>
      <c r="M58" s="41">
        <f t="shared" si="28"/>
        <v>0</v>
      </c>
      <c r="N58" s="41">
        <f t="shared" si="28"/>
        <v>0</v>
      </c>
      <c r="O58" s="41">
        <f t="shared" si="28"/>
        <v>0</v>
      </c>
      <c r="P58" s="41">
        <f t="shared" si="28"/>
        <v>0</v>
      </c>
      <c r="Q58" s="432">
        <f>Q20*VLOOKUP($B58,Trend!$B$3:$D$6,2,FALSE)</f>
        <v>-0.60504022211246644</v>
      </c>
      <c r="R58" s="41" t="str">
        <f t="shared" si="4"/>
        <v>ResSHWX</v>
      </c>
    </row>
    <row r="59" spans="2:18" ht="25.5">
      <c r="B59">
        <v>2016</v>
      </c>
      <c r="C59" s="41" t="str">
        <f t="shared" ref="C59:D59" si="29">C21</f>
        <v>LEDThree-Way1440 to 2600 lumensANY</v>
      </c>
      <c r="D59" s="41" t="str">
        <f t="shared" si="29"/>
        <v>LEDThree-Way1440 to 2600 lumensANY</v>
      </c>
      <c r="E59" s="432">
        <f>E21*VLOOKUP($B59,Trend!$B$3:$D$6,2,FALSE)</f>
        <v>43.415866269631003</v>
      </c>
      <c r="F59" s="41">
        <f>F21</f>
        <v>12</v>
      </c>
      <c r="G59" s="432">
        <f>G21*VLOOKUP($B59,Trend!$B$3:$D$6,3,FALSE)</f>
        <v>15.921653708800646</v>
      </c>
      <c r="H59" s="41">
        <f t="shared" ref="H59:P59" si="30">H21</f>
        <v>0</v>
      </c>
      <c r="I59" s="41" t="str">
        <f t="shared" si="30"/>
        <v>ResLIGHT</v>
      </c>
      <c r="J59" s="41">
        <f t="shared" si="30"/>
        <v>0</v>
      </c>
      <c r="K59" s="41">
        <f t="shared" si="30"/>
        <v>-5.8123669887989093</v>
      </c>
      <c r="L59" s="41">
        <f t="shared" si="30"/>
        <v>1.7652962324402386</v>
      </c>
      <c r="M59" s="41">
        <f t="shared" si="30"/>
        <v>0</v>
      </c>
      <c r="N59" s="41">
        <f t="shared" si="30"/>
        <v>0</v>
      </c>
      <c r="O59" s="41">
        <f t="shared" si="30"/>
        <v>0</v>
      </c>
      <c r="P59" s="41">
        <f t="shared" si="30"/>
        <v>0</v>
      </c>
      <c r="Q59" s="432">
        <f>Q21*VLOOKUP($B59,Trend!$B$3:$D$6,2,FALSE)</f>
        <v>-0.54056303080668255</v>
      </c>
      <c r="R59" s="41" t="str">
        <f>R21</f>
        <v>ResSHWX</v>
      </c>
    </row>
    <row r="60" spans="2:18" ht="25.5">
      <c r="B60">
        <v>2017</v>
      </c>
      <c r="C60" s="41" t="str">
        <f>C7</f>
        <v>LEDDecorative and Mini-Base250 to 664 lumensANY</v>
      </c>
      <c r="D60" s="41" t="str">
        <f>D7</f>
        <v>LEDDecorative and Mini-Base250 to 664 lumensANY</v>
      </c>
      <c r="E60" s="432">
        <f>E7*VLOOKUP($B60,Trend!$B$3:$D$6,2,FALSE)</f>
        <v>18.72602411923949</v>
      </c>
      <c r="F60" s="432">
        <f>F7</f>
        <v>12</v>
      </c>
      <c r="G60" s="432">
        <f>G7*VLOOKUP($B60,Trend!$B$3:$D$6,3,FALSE)</f>
        <v>3.8938572916403871</v>
      </c>
      <c r="H60" s="41">
        <f t="shared" ref="H60:P60" si="31">H7</f>
        <v>0</v>
      </c>
      <c r="I60" s="41" t="str">
        <f t="shared" si="31"/>
        <v>ResLIGHT</v>
      </c>
      <c r="J60" s="41">
        <f t="shared" si="31"/>
        <v>0</v>
      </c>
      <c r="K60" s="41">
        <f t="shared" si="31"/>
        <v>-1.6401583657682686</v>
      </c>
      <c r="L60" s="41">
        <f t="shared" si="31"/>
        <v>1.7835655628514451</v>
      </c>
      <c r="M60" s="41">
        <f t="shared" si="31"/>
        <v>0</v>
      </c>
      <c r="N60" s="41">
        <f t="shared" si="31"/>
        <v>0</v>
      </c>
      <c r="O60" s="41">
        <f t="shared" si="31"/>
        <v>0</v>
      </c>
      <c r="P60" s="41">
        <f t="shared" si="31"/>
        <v>0</v>
      </c>
      <c r="Q60" s="432">
        <f>Q7*VLOOKUP($B60,Trend!$B$3:$D$6,2,FALSE)</f>
        <v>-0.21987762663711166</v>
      </c>
      <c r="R60" s="41" t="str">
        <f>R7</f>
        <v>ResSHWX</v>
      </c>
    </row>
    <row r="61" spans="2:18" ht="25.5">
      <c r="B61">
        <v>2017</v>
      </c>
      <c r="C61" s="41" t="str">
        <f t="shared" ref="C61:D61" si="32">C8</f>
        <v>LEDDecorative and Mini-Base665 to 1439 lumensANY</v>
      </c>
      <c r="D61" s="41" t="str">
        <f t="shared" si="32"/>
        <v>LEDDecorative and Mini-Base665 to 1439 lumensANY</v>
      </c>
      <c r="E61" s="432">
        <f>E8*VLOOKUP($B61,Trend!$B$3:$D$6,2,FALSE)</f>
        <v>14.107600997230717</v>
      </c>
      <c r="F61" s="432">
        <f t="shared" ref="F61:F74" si="33">F8</f>
        <v>12</v>
      </c>
      <c r="G61" s="432">
        <f>G8*VLOOKUP($B61,Trend!$B$3:$D$6,3,FALSE)</f>
        <v>7.2412963974195161</v>
      </c>
      <c r="H61" s="41">
        <f t="shared" ref="H61:P61" si="34">H8</f>
        <v>0</v>
      </c>
      <c r="I61" s="41" t="str">
        <f t="shared" si="34"/>
        <v>ResLIGHT</v>
      </c>
      <c r="J61" s="41">
        <f t="shared" si="34"/>
        <v>0</v>
      </c>
      <c r="K61" s="41">
        <f t="shared" si="34"/>
        <v>-2.357302490345714</v>
      </c>
      <c r="L61" s="41">
        <f t="shared" si="34"/>
        <v>1.7864498053021971</v>
      </c>
      <c r="M61" s="41">
        <f t="shared" si="34"/>
        <v>0</v>
      </c>
      <c r="N61" s="41">
        <f t="shared" si="34"/>
        <v>0</v>
      </c>
      <c r="O61" s="41">
        <f t="shared" si="34"/>
        <v>0</v>
      </c>
      <c r="P61" s="41">
        <f t="shared" si="34"/>
        <v>0</v>
      </c>
      <c r="Q61" s="432">
        <f>Q8*VLOOKUP($B61,Trend!$B$3:$D$6,2,FALSE)</f>
        <v>-0.15710754403046454</v>
      </c>
      <c r="R61" s="41" t="str">
        <f t="shared" ref="R61:R74" si="35">R8</f>
        <v>ResSHWX</v>
      </c>
    </row>
    <row r="62" spans="2:18" ht="25.5">
      <c r="B62">
        <v>2017</v>
      </c>
      <c r="C62" s="41" t="str">
        <f t="shared" ref="C62:D62" si="36">C9</f>
        <v>LEDDecorative and Mini-Base1440 to 2600 lumensANY</v>
      </c>
      <c r="D62" s="41" t="str">
        <f t="shared" si="36"/>
        <v>LEDDecorative and Mini-Base1440 to 2600 lumensANY</v>
      </c>
      <c r="E62" s="432">
        <f>E9*VLOOKUP($B62,Trend!$B$3:$D$6,2,FALSE)</f>
        <v>6.9865165392984325</v>
      </c>
      <c r="F62" s="432">
        <f t="shared" si="33"/>
        <v>12</v>
      </c>
      <c r="G62" s="432">
        <f>G9*VLOOKUP($B62,Trend!$B$3:$D$6,3,FALSE)</f>
        <v>19.103497090677337</v>
      </c>
      <c r="H62" s="41">
        <f t="shared" ref="H62:P62" si="37">H9</f>
        <v>0</v>
      </c>
      <c r="I62" s="41" t="str">
        <f t="shared" si="37"/>
        <v>ResLIGHT</v>
      </c>
      <c r="J62" s="41">
        <f t="shared" si="37"/>
        <v>0</v>
      </c>
      <c r="K62" s="41">
        <f t="shared" si="37"/>
        <v>-2.5719834880984087</v>
      </c>
      <c r="L62" s="41">
        <f t="shared" si="37"/>
        <v>4.4344805227500377</v>
      </c>
      <c r="M62" s="41">
        <f t="shared" si="37"/>
        <v>0</v>
      </c>
      <c r="N62" s="41">
        <f t="shared" si="37"/>
        <v>0</v>
      </c>
      <c r="O62" s="41">
        <f t="shared" si="37"/>
        <v>0</v>
      </c>
      <c r="P62" s="41">
        <f t="shared" si="37"/>
        <v>0</v>
      </c>
      <c r="Q62" s="432">
        <f>Q9*VLOOKUP($B62,Trend!$B$3:$D$6,2,FALSE)</f>
        <v>-7.9624516775525511E-2</v>
      </c>
      <c r="R62" s="41" t="str">
        <f t="shared" si="35"/>
        <v>ResSHWX</v>
      </c>
    </row>
    <row r="63" spans="2:18" ht="25.5">
      <c r="B63">
        <v>2017</v>
      </c>
      <c r="C63" s="41" t="str">
        <f t="shared" ref="C63:D63" si="38">C10</f>
        <v>LEDGeneral Purpose and Dimmable250 to 664 lumensANY</v>
      </c>
      <c r="D63" s="41" t="str">
        <f t="shared" si="38"/>
        <v>LEDGeneral Purpose and Dimmable250 to 664 lumensANY</v>
      </c>
      <c r="E63" s="432">
        <f>E10*VLOOKUP($B63,Trend!$B$3:$D$6,2,FALSE)</f>
        <v>1.786930875529545</v>
      </c>
      <c r="F63" s="432">
        <f t="shared" si="33"/>
        <v>12</v>
      </c>
      <c r="G63" s="432">
        <f>G10*VLOOKUP($B63,Trend!$B$3:$D$6,3,FALSE)</f>
        <v>1.3200932224231732</v>
      </c>
      <c r="H63" s="41">
        <f t="shared" ref="H63:P63" si="39">H10</f>
        <v>0</v>
      </c>
      <c r="I63" s="41" t="str">
        <f t="shared" si="39"/>
        <v>ResLIGHT</v>
      </c>
      <c r="J63" s="41">
        <f t="shared" si="39"/>
        <v>0</v>
      </c>
      <c r="K63" s="41">
        <f t="shared" si="39"/>
        <v>-2.1592275874141325</v>
      </c>
      <c r="L63" s="41">
        <f t="shared" si="39"/>
        <v>8.5397834253252132</v>
      </c>
      <c r="M63" s="41">
        <f t="shared" si="39"/>
        <v>0</v>
      </c>
      <c r="N63" s="41">
        <f t="shared" si="39"/>
        <v>0</v>
      </c>
      <c r="O63" s="41">
        <f t="shared" si="39"/>
        <v>0</v>
      </c>
      <c r="P63" s="41">
        <f t="shared" si="39"/>
        <v>0</v>
      </c>
      <c r="Q63" s="432">
        <f>Q10*VLOOKUP($B63,Trend!$B$3:$D$6,2,FALSE)</f>
        <v>-2.0006174139283333E-2</v>
      </c>
      <c r="R63" s="41" t="str">
        <f t="shared" si="35"/>
        <v>ResSHWX</v>
      </c>
    </row>
    <row r="64" spans="2:18" ht="25.5">
      <c r="B64">
        <v>2017</v>
      </c>
      <c r="C64" s="41" t="str">
        <f t="shared" ref="C64:D64" si="40">C11</f>
        <v>LEDGeneral Purpose and Dimmable665 to 1439 lumensANY</v>
      </c>
      <c r="D64" s="41" t="str">
        <f t="shared" si="40"/>
        <v>LEDGeneral Purpose and Dimmable665 to 1439 lumensANY</v>
      </c>
      <c r="E64" s="432">
        <f>E11*VLOOKUP($B64,Trend!$B$3:$D$6,2,FALSE)</f>
        <v>6.9745193151439029</v>
      </c>
      <c r="F64" s="432">
        <f t="shared" si="33"/>
        <v>12</v>
      </c>
      <c r="G64" s="432">
        <f>G11*VLOOKUP($B64,Trend!$B$3:$D$6,3,FALSE)</f>
        <v>3.4925672929957736</v>
      </c>
      <c r="H64" s="41">
        <f t="shared" ref="H64:P64" si="41">H11</f>
        <v>0</v>
      </c>
      <c r="I64" s="41" t="str">
        <f t="shared" si="41"/>
        <v>ResLIGHT</v>
      </c>
      <c r="J64" s="41">
        <f t="shared" si="41"/>
        <v>0</v>
      </c>
      <c r="K64" s="41">
        <f t="shared" si="41"/>
        <v>-1.4522786346527323</v>
      </c>
      <c r="L64" s="41">
        <f t="shared" si="41"/>
        <v>7.9445543113898527</v>
      </c>
      <c r="M64" s="41">
        <f t="shared" si="41"/>
        <v>0</v>
      </c>
      <c r="N64" s="41">
        <f t="shared" si="41"/>
        <v>0</v>
      </c>
      <c r="O64" s="41">
        <f t="shared" si="41"/>
        <v>0</v>
      </c>
      <c r="P64" s="41">
        <f t="shared" si="41"/>
        <v>0</v>
      </c>
      <c r="Q64" s="432">
        <f>Q11*VLOOKUP($B64,Trend!$B$3:$D$6,2,FALSE)</f>
        <v>-7.2304234553197913E-2</v>
      </c>
      <c r="R64" s="41" t="str">
        <f t="shared" si="35"/>
        <v>ResSHWX</v>
      </c>
    </row>
    <row r="65" spans="2:18" ht="25.5">
      <c r="B65">
        <v>2017</v>
      </c>
      <c r="C65" s="41" t="str">
        <f t="shared" ref="C65:D65" si="42">C12</f>
        <v>LEDGeneral Purpose and Dimmable1440 to 2600 lumensANY</v>
      </c>
      <c r="D65" s="41" t="str">
        <f t="shared" si="42"/>
        <v>LEDGeneral Purpose and Dimmable1440 to 2600 lumensANY</v>
      </c>
      <c r="E65" s="432">
        <f>E12*VLOOKUP($B65,Trend!$B$3:$D$6,2,FALSE)</f>
        <v>13.031573228896434</v>
      </c>
      <c r="F65" s="432">
        <f t="shared" si="33"/>
        <v>12</v>
      </c>
      <c r="G65" s="432">
        <f>G12*VLOOKUP($B65,Trend!$B$3:$D$6,3,FALSE)</f>
        <v>9.2685010927030476</v>
      </c>
      <c r="H65" s="41">
        <f t="shared" ref="H65:P65" si="43">H12</f>
        <v>0</v>
      </c>
      <c r="I65" s="41" t="str">
        <f t="shared" si="43"/>
        <v>ResLIGHT</v>
      </c>
      <c r="J65" s="41">
        <f t="shared" si="43"/>
        <v>0</v>
      </c>
      <c r="K65" s="41">
        <f t="shared" si="43"/>
        <v>-1.8911113019525783</v>
      </c>
      <c r="L65" s="41">
        <f t="shared" si="43"/>
        <v>7.4879032412351636</v>
      </c>
      <c r="M65" s="41">
        <f t="shared" si="43"/>
        <v>0</v>
      </c>
      <c r="N65" s="41">
        <f t="shared" si="43"/>
        <v>0</v>
      </c>
      <c r="O65" s="41">
        <f t="shared" si="43"/>
        <v>0</v>
      </c>
      <c r="P65" s="41">
        <f t="shared" si="43"/>
        <v>0</v>
      </c>
      <c r="Q65" s="432">
        <f>Q12*VLOOKUP($B65,Trend!$B$3:$D$6,2,FALSE)</f>
        <v>-0.12227858406110047</v>
      </c>
      <c r="R65" s="41" t="str">
        <f t="shared" si="35"/>
        <v>ResSHWX</v>
      </c>
    </row>
    <row r="66" spans="2:18" ht="25.5">
      <c r="B66">
        <v>2017</v>
      </c>
      <c r="C66" s="41" t="str">
        <f t="shared" ref="C66:D66" si="44">C13</f>
        <v>LEDGlobe250 to 664 lumensANY</v>
      </c>
      <c r="D66" s="41" t="str">
        <f t="shared" si="44"/>
        <v>LEDGlobe250 to 664 lumensANY</v>
      </c>
      <c r="E66" s="432">
        <f>E13*VLOOKUP($B66,Trend!$B$3:$D$6,2,FALSE)</f>
        <v>13.954253657795835</v>
      </c>
      <c r="F66" s="432">
        <f t="shared" si="33"/>
        <v>12</v>
      </c>
      <c r="G66" s="432">
        <f>G13*VLOOKUP($B66,Trend!$B$3:$D$6,3,FALSE)</f>
        <v>2.0666793267960895</v>
      </c>
      <c r="H66" s="41">
        <f t="shared" ref="H66:P66" si="45">H13</f>
        <v>0</v>
      </c>
      <c r="I66" s="41" t="str">
        <f t="shared" si="45"/>
        <v>ResLIGHT</v>
      </c>
      <c r="J66" s="41">
        <f t="shared" si="45"/>
        <v>0</v>
      </c>
      <c r="K66" s="41">
        <f t="shared" si="45"/>
        <v>-2.1737529557872382</v>
      </c>
      <c r="L66" s="41">
        <f t="shared" si="45"/>
        <v>2.2408705642884907</v>
      </c>
      <c r="M66" s="41">
        <f t="shared" si="45"/>
        <v>0</v>
      </c>
      <c r="N66" s="41">
        <f t="shared" si="45"/>
        <v>0</v>
      </c>
      <c r="O66" s="41">
        <f t="shared" si="45"/>
        <v>0</v>
      </c>
      <c r="P66" s="41">
        <f t="shared" si="45"/>
        <v>0</v>
      </c>
      <c r="Q66" s="432">
        <f>Q13*VLOOKUP($B66,Trend!$B$3:$D$6,2,FALSE)</f>
        <v>-0.1729841222530478</v>
      </c>
      <c r="R66" s="41" t="str">
        <f t="shared" si="35"/>
        <v>ResSHWX</v>
      </c>
    </row>
    <row r="67" spans="2:18" ht="25.5">
      <c r="B67">
        <v>2017</v>
      </c>
      <c r="C67" s="41" t="str">
        <f t="shared" ref="C67:D67" si="46">C14</f>
        <v>LEDGlobe665 to 1439 lumensANY</v>
      </c>
      <c r="D67" s="41" t="str">
        <f t="shared" si="46"/>
        <v>LEDGlobe665 to 1439 lumensANY</v>
      </c>
      <c r="E67" s="432">
        <f>E14*VLOOKUP($B67,Trend!$B$3:$D$6,2,FALSE)</f>
        <v>9.6104962497264026</v>
      </c>
      <c r="F67" s="432">
        <f t="shared" si="33"/>
        <v>12</v>
      </c>
      <c r="G67" s="432">
        <f>G14*VLOOKUP($B67,Trend!$B$3:$D$6,3,FALSE)</f>
        <v>1.9510287475567527</v>
      </c>
      <c r="H67" s="41">
        <f t="shared" ref="H67:P67" si="47">H14</f>
        <v>0</v>
      </c>
      <c r="I67" s="41" t="str">
        <f t="shared" si="47"/>
        <v>ResLIGHT</v>
      </c>
      <c r="J67" s="41">
        <f t="shared" si="47"/>
        <v>0</v>
      </c>
      <c r="K67" s="41">
        <f t="shared" si="47"/>
        <v>-4.74556552718155</v>
      </c>
      <c r="L67" s="41">
        <f t="shared" si="47"/>
        <v>2.7621105076077872</v>
      </c>
      <c r="M67" s="41">
        <f t="shared" si="47"/>
        <v>0</v>
      </c>
      <c r="N67" s="41">
        <f t="shared" si="47"/>
        <v>0</v>
      </c>
      <c r="O67" s="41">
        <f t="shared" si="47"/>
        <v>0</v>
      </c>
      <c r="P67" s="41">
        <f t="shared" si="47"/>
        <v>0</v>
      </c>
      <c r="Q67" s="432">
        <f>Q14*VLOOKUP($B67,Trend!$B$3:$D$6,2,FALSE)</f>
        <v>-0.11670880585429022</v>
      </c>
      <c r="R67" s="41" t="str">
        <f t="shared" si="35"/>
        <v>ResSHWX</v>
      </c>
    </row>
    <row r="68" spans="2:18" ht="25.5">
      <c r="B68">
        <v>2017</v>
      </c>
      <c r="C68" s="41" t="str">
        <f t="shared" ref="C68:D68" si="48">C15</f>
        <v>LEDGlobe1440 to 2600 lumensANY</v>
      </c>
      <c r="D68" s="41" t="str">
        <f t="shared" si="48"/>
        <v>LEDGlobe1440 to 2600 lumensANY</v>
      </c>
      <c r="E68" s="432">
        <f>E15*VLOOKUP($B68,Trend!$B$3:$D$6,2,FALSE)</f>
        <v>10.39786331991872</v>
      </c>
      <c r="F68" s="432">
        <f t="shared" si="33"/>
        <v>12</v>
      </c>
      <c r="G68" s="432">
        <f>G15*VLOOKUP($B68,Trend!$B$3:$D$6,3,FALSE)</f>
        <v>7.5966821450610711</v>
      </c>
      <c r="H68" s="41">
        <f t="shared" ref="H68:P68" si="49">H15</f>
        <v>0</v>
      </c>
      <c r="I68" s="41" t="str">
        <f t="shared" si="49"/>
        <v>ResLIGHT</v>
      </c>
      <c r="J68" s="41">
        <f t="shared" si="49"/>
        <v>0</v>
      </c>
      <c r="K68" s="41">
        <f t="shared" si="49"/>
        <v>-5.4627245082786207</v>
      </c>
      <c r="L68" s="41">
        <f t="shared" si="49"/>
        <v>2.0492242794119604</v>
      </c>
      <c r="M68" s="41">
        <f t="shared" si="49"/>
        <v>0</v>
      </c>
      <c r="N68" s="41">
        <f t="shared" si="49"/>
        <v>0</v>
      </c>
      <c r="O68" s="41">
        <f t="shared" si="49"/>
        <v>0</v>
      </c>
      <c r="P68" s="41">
        <f t="shared" si="49"/>
        <v>0</v>
      </c>
      <c r="Q68" s="432">
        <f>Q15*VLOOKUP($B68,Trend!$B$3:$D$6,2,FALSE)</f>
        <v>-0.1063795378277818</v>
      </c>
      <c r="R68" s="41" t="str">
        <f t="shared" si="35"/>
        <v>ResSHWX</v>
      </c>
    </row>
    <row r="69" spans="2:18" ht="25.5">
      <c r="B69">
        <v>2017</v>
      </c>
      <c r="C69" s="41" t="str">
        <f t="shared" ref="C69:D69" si="50">C16</f>
        <v>LEDReflectors and Outdoor250 to 664 lumensANY</v>
      </c>
      <c r="D69" s="41" t="str">
        <f t="shared" si="50"/>
        <v>LEDReflectors and Outdoor250 to 664 lumensANY</v>
      </c>
      <c r="E69" s="432">
        <f>E16*VLOOKUP($B69,Trend!$B$3:$D$6,2,FALSE)</f>
        <v>19.834322301664386</v>
      </c>
      <c r="F69" s="432">
        <f t="shared" si="33"/>
        <v>12</v>
      </c>
      <c r="G69" s="432">
        <f>G16*VLOOKUP($B69,Trend!$B$3:$D$6,3,FALSE)</f>
        <v>7.7516912275500349</v>
      </c>
      <c r="H69" s="41">
        <f t="shared" ref="H69:P69" si="51">H16</f>
        <v>0</v>
      </c>
      <c r="I69" s="41" t="str">
        <f t="shared" si="51"/>
        <v>ResLIGHT</v>
      </c>
      <c r="J69" s="41">
        <f t="shared" si="51"/>
        <v>0</v>
      </c>
      <c r="K69" s="41">
        <f t="shared" si="51"/>
        <v>-4.6350044381489033</v>
      </c>
      <c r="L69" s="41">
        <f t="shared" si="51"/>
        <v>2.1002897994909375</v>
      </c>
      <c r="M69" s="41">
        <f t="shared" si="51"/>
        <v>0</v>
      </c>
      <c r="N69" s="41">
        <f t="shared" si="51"/>
        <v>0</v>
      </c>
      <c r="O69" s="41">
        <f t="shared" si="51"/>
        <v>0</v>
      </c>
      <c r="P69" s="41">
        <f t="shared" si="51"/>
        <v>0</v>
      </c>
      <c r="Q69" s="432">
        <f>Q16*VLOOKUP($B69,Trend!$B$3:$D$6,2,FALSE)</f>
        <v>-0.23163430687091785</v>
      </c>
      <c r="R69" s="41" t="str">
        <f t="shared" si="35"/>
        <v>ResSHWX</v>
      </c>
    </row>
    <row r="70" spans="2:18" ht="25.5">
      <c r="B70">
        <v>2017</v>
      </c>
      <c r="C70" s="41" t="str">
        <f t="shared" ref="C70:D70" si="52">C17</f>
        <v>LEDReflectors and Outdoor665 to 1439 lumensANY</v>
      </c>
      <c r="D70" s="41" t="str">
        <f t="shared" si="52"/>
        <v>LEDReflectors and Outdoor665 to 1439 lumensANY</v>
      </c>
      <c r="E70" s="432">
        <f>E17*VLOOKUP($B70,Trend!$B$3:$D$6,2,FALSE)</f>
        <v>15.124092126814682</v>
      </c>
      <c r="F70" s="432">
        <f t="shared" si="33"/>
        <v>12</v>
      </c>
      <c r="G70" s="432">
        <f>G17*VLOOKUP($B70,Trend!$B$3:$D$6,3,FALSE)</f>
        <v>5.5856098464851964</v>
      </c>
      <c r="H70" s="41">
        <f t="shared" ref="H70:P70" si="53">H17</f>
        <v>0</v>
      </c>
      <c r="I70" s="41" t="str">
        <f t="shared" si="53"/>
        <v>ResLIGHT</v>
      </c>
      <c r="J70" s="41">
        <f t="shared" si="53"/>
        <v>0</v>
      </c>
      <c r="K70" s="41">
        <f t="shared" si="53"/>
        <v>-6.0025868409413388</v>
      </c>
      <c r="L70" s="41">
        <f t="shared" si="53"/>
        <v>2.7605785479478313</v>
      </c>
      <c r="M70" s="41">
        <f t="shared" si="53"/>
        <v>0</v>
      </c>
      <c r="N70" s="41">
        <f t="shared" si="53"/>
        <v>0</v>
      </c>
      <c r="O70" s="41">
        <f t="shared" si="53"/>
        <v>0</v>
      </c>
      <c r="P70" s="41">
        <f t="shared" si="53"/>
        <v>0</v>
      </c>
      <c r="Q70" s="432">
        <f>Q17*VLOOKUP($B70,Trend!$B$3:$D$6,2,FALSE)</f>
        <v>-0.15054276323207694</v>
      </c>
      <c r="R70" s="41" t="str">
        <f t="shared" si="35"/>
        <v>ResSHWX</v>
      </c>
    </row>
    <row r="71" spans="2:18" ht="25.5">
      <c r="B71">
        <v>2017</v>
      </c>
      <c r="C71" s="41" t="str">
        <f t="shared" ref="C71:D71" si="54">C18</f>
        <v>LEDReflectors and Outdoor1440 to 2600 lumensANY</v>
      </c>
      <c r="D71" s="41" t="str">
        <f t="shared" si="54"/>
        <v>LEDReflectors and Outdoor1440 to 2600 lumensANY</v>
      </c>
      <c r="E71" s="432">
        <f>E18*VLOOKUP($B71,Trend!$B$3:$D$6,2,FALSE)</f>
        <v>80.966958939438442</v>
      </c>
      <c r="F71" s="432">
        <f t="shared" si="33"/>
        <v>12</v>
      </c>
      <c r="G71" s="432">
        <f>G18*VLOOKUP($B71,Trend!$B$3:$D$6,3,FALSE)</f>
        <v>12.02981381264515</v>
      </c>
      <c r="H71" s="41">
        <f t="shared" ref="H71:P71" si="55">H18</f>
        <v>0</v>
      </c>
      <c r="I71" s="41" t="str">
        <f t="shared" si="55"/>
        <v>ResLIGHT</v>
      </c>
      <c r="J71" s="41">
        <f t="shared" si="55"/>
        <v>0</v>
      </c>
      <c r="K71" s="41">
        <f t="shared" si="55"/>
        <v>-6.8379432184399001</v>
      </c>
      <c r="L71" s="41">
        <f t="shared" si="55"/>
        <v>1.8152462117520278</v>
      </c>
      <c r="M71" s="41">
        <f t="shared" si="55"/>
        <v>0</v>
      </c>
      <c r="N71" s="41">
        <f t="shared" si="55"/>
        <v>0</v>
      </c>
      <c r="O71" s="41">
        <f t="shared" si="55"/>
        <v>0</v>
      </c>
      <c r="P71" s="41">
        <f t="shared" si="55"/>
        <v>0</v>
      </c>
      <c r="Q71" s="432">
        <f>Q18*VLOOKUP($B71,Trend!$B$3:$D$6,2,FALSE)</f>
        <v>-0.25787051138749234</v>
      </c>
      <c r="R71" s="41" t="str">
        <f t="shared" si="35"/>
        <v>ResSHWX</v>
      </c>
    </row>
    <row r="72" spans="2:18" ht="25.5">
      <c r="B72">
        <v>2017</v>
      </c>
      <c r="C72" s="41" t="str">
        <f t="shared" ref="C72:D72" si="56">C19</f>
        <v>LEDThree-Way250 to 664 lumensANY</v>
      </c>
      <c r="D72" s="41" t="str">
        <f t="shared" si="56"/>
        <v>LEDThree-Way250 to 664 lumensANY</v>
      </c>
      <c r="E72" s="432">
        <f>E19*VLOOKUP($B72,Trend!$B$3:$D$6,2,FALSE)</f>
        <v>47.136987482854579</v>
      </c>
      <c r="F72" s="432">
        <f t="shared" si="33"/>
        <v>12</v>
      </c>
      <c r="G72" s="432">
        <f>G19*VLOOKUP($B72,Trend!$B$3:$D$6,3,FALSE)</f>
        <v>8.7470279229324603</v>
      </c>
      <c r="H72" s="41">
        <f t="shared" ref="H72:P72" si="57">H19</f>
        <v>0</v>
      </c>
      <c r="I72" s="41" t="str">
        <f t="shared" si="57"/>
        <v>ResLIGHT</v>
      </c>
      <c r="J72" s="41">
        <f t="shared" si="57"/>
        <v>0</v>
      </c>
      <c r="K72" s="41">
        <f t="shared" si="57"/>
        <v>-2.5086033161955381</v>
      </c>
      <c r="L72" s="41">
        <f t="shared" si="57"/>
        <v>1.9664811264199897</v>
      </c>
      <c r="M72" s="41">
        <f t="shared" si="57"/>
        <v>0</v>
      </c>
      <c r="N72" s="41">
        <f t="shared" si="57"/>
        <v>0</v>
      </c>
      <c r="O72" s="41">
        <f t="shared" si="57"/>
        <v>0</v>
      </c>
      <c r="P72" s="41">
        <f t="shared" si="57"/>
        <v>0</v>
      </c>
      <c r="Q72" s="432">
        <f>Q19*VLOOKUP($B72,Trend!$B$3:$D$6,2,FALSE)</f>
        <v>-0.58944493078954363</v>
      </c>
      <c r="R72" s="41" t="str">
        <f t="shared" si="35"/>
        <v>ResSHWX</v>
      </c>
    </row>
    <row r="73" spans="2:18" ht="25.5">
      <c r="B73">
        <v>2017</v>
      </c>
      <c r="C73" s="41" t="str">
        <f t="shared" ref="C73:D73" si="58">C20</f>
        <v>LEDThree-Way665 to 1439 lumensANY</v>
      </c>
      <c r="D73" s="41" t="str">
        <f t="shared" si="58"/>
        <v>LEDThree-Way665 to 1439 lumensANY</v>
      </c>
      <c r="E73" s="432">
        <f>E20*VLOOKUP($B73,Trend!$B$3:$D$6,2,FALSE)</f>
        <v>50.774142858393084</v>
      </c>
      <c r="F73" s="432">
        <f t="shared" si="33"/>
        <v>12</v>
      </c>
      <c r="G73" s="432">
        <f>G20*VLOOKUP($B73,Trend!$B$3:$D$6,3,FALSE)</f>
        <v>5.5772508450117817</v>
      </c>
      <c r="H73" s="41">
        <f t="shared" ref="H73:P73" si="59">H20</f>
        <v>0</v>
      </c>
      <c r="I73" s="41" t="str">
        <f t="shared" si="59"/>
        <v>ResLIGHT</v>
      </c>
      <c r="J73" s="41">
        <f t="shared" si="59"/>
        <v>0</v>
      </c>
      <c r="K73" s="41">
        <f t="shared" si="59"/>
        <v>-6.020444707725451</v>
      </c>
      <c r="L73" s="41">
        <f t="shared" si="59"/>
        <v>3.7098631590053808</v>
      </c>
      <c r="M73" s="41">
        <f t="shared" si="59"/>
        <v>0</v>
      </c>
      <c r="N73" s="41">
        <f t="shared" si="59"/>
        <v>0</v>
      </c>
      <c r="O73" s="41">
        <f t="shared" si="59"/>
        <v>0</v>
      </c>
      <c r="P73" s="41">
        <f t="shared" si="59"/>
        <v>0</v>
      </c>
      <c r="Q73" s="432">
        <f>Q20*VLOOKUP($B73,Trend!$B$3:$D$6,2,FALSE)</f>
        <v>-0.63318162779211606</v>
      </c>
      <c r="R73" s="41" t="str">
        <f t="shared" si="35"/>
        <v>ResSHWX</v>
      </c>
    </row>
    <row r="74" spans="2:18" ht="25.5">
      <c r="B74">
        <v>2017</v>
      </c>
      <c r="C74" s="41" t="str">
        <f t="shared" ref="C74:D74" si="60">C21</f>
        <v>LEDThree-Way1440 to 2600 lumensANY</v>
      </c>
      <c r="D74" s="41" t="str">
        <f t="shared" si="60"/>
        <v>LEDThree-Way1440 to 2600 lumensANY</v>
      </c>
      <c r="E74" s="432">
        <f>E21*VLOOKUP($B74,Trend!$B$3:$D$6,2,FALSE)</f>
        <v>45.435208886823141</v>
      </c>
      <c r="F74" s="432">
        <f t="shared" si="33"/>
        <v>12</v>
      </c>
      <c r="G74" s="432">
        <f>G21*VLOOKUP($B74,Trend!$B$3:$D$6,3,FALSE)</f>
        <v>12.509870771200507</v>
      </c>
      <c r="H74" s="41">
        <f t="shared" ref="H74:P74" si="61">H21</f>
        <v>0</v>
      </c>
      <c r="I74" s="41" t="str">
        <f t="shared" si="61"/>
        <v>ResLIGHT</v>
      </c>
      <c r="J74" s="41">
        <f t="shared" si="61"/>
        <v>0</v>
      </c>
      <c r="K74" s="41">
        <f t="shared" si="61"/>
        <v>-5.8123669887989093</v>
      </c>
      <c r="L74" s="41">
        <f t="shared" si="61"/>
        <v>1.7652962324402386</v>
      </c>
      <c r="M74" s="41">
        <f t="shared" si="61"/>
        <v>0</v>
      </c>
      <c r="N74" s="41">
        <f t="shared" si="61"/>
        <v>0</v>
      </c>
      <c r="O74" s="41">
        <f t="shared" si="61"/>
        <v>0</v>
      </c>
      <c r="P74" s="41">
        <f t="shared" si="61"/>
        <v>0</v>
      </c>
      <c r="Q74" s="432">
        <f>Q21*VLOOKUP($B74,Trend!$B$3:$D$6,2,FALSE)</f>
        <v>-0.56570549735583064</v>
      </c>
      <c r="R74" s="41" t="str">
        <f t="shared" si="35"/>
        <v>ResSHWX</v>
      </c>
    </row>
    <row r="75" spans="2:18">
      <c r="C75" s="41"/>
      <c r="D75" s="41"/>
      <c r="E75" s="432"/>
      <c r="F75" s="432"/>
      <c r="G75" s="432"/>
      <c r="H75" s="41"/>
      <c r="I75" s="41"/>
      <c r="J75" s="41"/>
      <c r="K75" s="41"/>
      <c r="L75" s="41"/>
      <c r="M75" s="41"/>
      <c r="N75" s="41"/>
      <c r="O75" s="41"/>
      <c r="P75" s="41"/>
      <c r="Q75" s="432"/>
      <c r="R75" s="41"/>
    </row>
    <row r="76" spans="2:18">
      <c r="C76" s="41"/>
      <c r="D76" s="41"/>
      <c r="E76" s="432"/>
      <c r="F76" s="432"/>
      <c r="G76" s="432"/>
      <c r="H76" s="41"/>
      <c r="I76" s="41"/>
      <c r="J76" s="41"/>
      <c r="K76" s="41"/>
      <c r="L76" s="41"/>
      <c r="M76" s="41"/>
      <c r="N76" s="41"/>
      <c r="O76" s="41"/>
      <c r="P76" s="41"/>
      <c r="Q76" s="432"/>
      <c r="R76" s="41"/>
    </row>
    <row r="77" spans="2:18">
      <c r="C77" s="41"/>
      <c r="D77" s="41"/>
      <c r="E77" s="432"/>
      <c r="F77" s="432"/>
      <c r="G77" s="432"/>
      <c r="H77" s="41"/>
      <c r="I77" s="41"/>
      <c r="J77" s="41"/>
      <c r="K77" s="41"/>
      <c r="L77" s="41"/>
      <c r="M77" s="41"/>
      <c r="N77" s="41"/>
      <c r="O77" s="41"/>
      <c r="P77" s="41"/>
      <c r="Q77" s="432"/>
      <c r="R77" s="41"/>
    </row>
    <row r="78" spans="2:18">
      <c r="C78" s="41"/>
      <c r="D78" s="41"/>
      <c r="E78" s="432"/>
      <c r="F78" s="432"/>
      <c r="G78" s="432"/>
      <c r="H78" s="41"/>
      <c r="I78" s="41"/>
      <c r="J78" s="41"/>
      <c r="K78" s="41"/>
      <c r="L78" s="41"/>
      <c r="M78" s="41"/>
      <c r="N78" s="41"/>
      <c r="O78" s="41"/>
      <c r="P78" s="41"/>
      <c r="Q78" s="432"/>
      <c r="R78" s="41"/>
    </row>
    <row r="79" spans="2:18">
      <c r="C79" s="41"/>
      <c r="D79" s="41"/>
      <c r="E79" s="432"/>
      <c r="F79" s="432"/>
      <c r="G79" s="432"/>
      <c r="H79" s="41"/>
      <c r="I79" s="41"/>
      <c r="J79" s="41"/>
      <c r="K79" s="41"/>
      <c r="L79" s="41"/>
      <c r="M79" s="41"/>
      <c r="N79" s="41"/>
      <c r="O79" s="41"/>
      <c r="P79" s="41"/>
      <c r="Q79" s="432"/>
      <c r="R79" s="41"/>
    </row>
    <row r="80" spans="2:18">
      <c r="C80" s="41"/>
      <c r="D80" s="41"/>
      <c r="E80" s="432"/>
      <c r="F80" s="432"/>
      <c r="G80" s="432"/>
      <c r="H80" s="41"/>
      <c r="I80" s="41"/>
      <c r="J80" s="41"/>
      <c r="K80" s="41"/>
      <c r="L80" s="41"/>
      <c r="M80" s="41"/>
      <c r="N80" s="41"/>
      <c r="O80" s="41"/>
      <c r="P80" s="41"/>
      <c r="Q80" s="432"/>
      <c r="R80" s="41"/>
    </row>
    <row r="81" spans="3:18">
      <c r="C81" s="41"/>
      <c r="D81" s="41"/>
      <c r="E81" s="432"/>
      <c r="F81" s="432"/>
      <c r="G81" s="432"/>
      <c r="H81" s="41"/>
      <c r="I81" s="41"/>
      <c r="J81" s="41"/>
      <c r="K81" s="41"/>
      <c r="L81" s="41"/>
      <c r="M81" s="41"/>
      <c r="N81" s="41"/>
      <c r="O81" s="41"/>
      <c r="P81" s="41"/>
      <c r="Q81" s="432"/>
      <c r="R81" s="41"/>
    </row>
    <row r="82" spans="3:18">
      <c r="C82" s="41"/>
      <c r="D82" s="41"/>
      <c r="E82" s="432"/>
      <c r="F82" s="432"/>
      <c r="G82" s="432"/>
      <c r="H82" s="41"/>
      <c r="I82" s="41"/>
      <c r="J82" s="41"/>
      <c r="K82" s="41"/>
      <c r="L82" s="41"/>
      <c r="M82" s="41"/>
      <c r="N82" s="41"/>
      <c r="O82" s="41"/>
      <c r="P82" s="41"/>
      <c r="Q82" s="432"/>
      <c r="R82" s="41"/>
    </row>
    <row r="83" spans="3:18">
      <c r="C83" s="41"/>
      <c r="D83" s="41"/>
      <c r="E83" s="432"/>
      <c r="F83" s="432"/>
      <c r="G83" s="432"/>
      <c r="H83" s="41"/>
      <c r="I83" s="41"/>
      <c r="J83" s="41"/>
      <c r="K83" s="41"/>
      <c r="L83" s="41"/>
      <c r="M83" s="41"/>
      <c r="N83" s="41"/>
      <c r="O83" s="41"/>
      <c r="P83" s="41"/>
      <c r="Q83" s="432"/>
      <c r="R83" s="41"/>
    </row>
    <row r="84" spans="3:18">
      <c r="C84" s="41"/>
      <c r="D84" s="41"/>
      <c r="E84" s="432"/>
      <c r="F84" s="432"/>
      <c r="G84" s="432"/>
      <c r="H84" s="41"/>
      <c r="I84" s="41"/>
      <c r="J84" s="41"/>
      <c r="K84" s="41"/>
      <c r="L84" s="41"/>
      <c r="M84" s="41"/>
      <c r="N84" s="41"/>
      <c r="O84" s="41"/>
      <c r="P84" s="41"/>
      <c r="Q84" s="432"/>
      <c r="R84" s="41"/>
    </row>
    <row r="85" spans="3:18">
      <c r="C85" s="41"/>
      <c r="D85" s="41"/>
      <c r="E85" s="432"/>
      <c r="F85" s="432"/>
      <c r="G85" s="432"/>
      <c r="H85" s="41"/>
      <c r="I85" s="41"/>
      <c r="J85" s="41"/>
      <c r="K85" s="41"/>
      <c r="L85" s="41"/>
      <c r="M85" s="41"/>
      <c r="N85" s="41"/>
      <c r="O85" s="41"/>
      <c r="P85" s="41"/>
      <c r="Q85" s="432"/>
      <c r="R85" s="41"/>
    </row>
    <row r="86" spans="3:18">
      <c r="C86" s="41"/>
      <c r="D86" s="41"/>
    </row>
    <row r="87" spans="3:18">
      <c r="C87" s="41"/>
      <c r="D87" s="41"/>
    </row>
    <row r="88" spans="3:18">
      <c r="C88" s="41"/>
      <c r="D88" s="41"/>
    </row>
  </sheetData>
  <mergeCells count="4">
    <mergeCell ref="K5:P5"/>
    <mergeCell ref="Q5:R5"/>
    <mergeCell ref="K43:P43"/>
    <mergeCell ref="Q43:R43"/>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sheetPr codeName="Sheet8"/>
  <dimension ref="A1:E23"/>
  <sheetViews>
    <sheetView workbookViewId="0">
      <selection activeCell="G25" sqref="G25"/>
    </sheetView>
  </sheetViews>
  <sheetFormatPr defaultRowHeight="12.75"/>
  <sheetData>
    <row r="1" spans="1:5">
      <c r="A1" t="s">
        <v>786</v>
      </c>
      <c r="E1" t="s">
        <v>787</v>
      </c>
    </row>
    <row r="2" spans="1:5">
      <c r="C2" t="s">
        <v>429</v>
      </c>
      <c r="D2" t="s">
        <v>430</v>
      </c>
    </row>
    <row r="3" spans="1:5">
      <c r="B3">
        <v>2014</v>
      </c>
      <c r="C3" s="435">
        <v>1</v>
      </c>
      <c r="D3" s="435">
        <v>1</v>
      </c>
    </row>
    <row r="4" spans="1:5">
      <c r="B4">
        <v>2015</v>
      </c>
      <c r="C4" s="435">
        <f>C18/$C$17</f>
        <v>1.0657894736842106</v>
      </c>
      <c r="D4" s="435">
        <f>D3*(36/47)</f>
        <v>0.76595744680851063</v>
      </c>
    </row>
    <row r="5" spans="1:5">
      <c r="B5">
        <v>2016</v>
      </c>
      <c r="C5" s="435">
        <f t="shared" ref="C5:C6" si="0">C19/$C$17</f>
        <v>1.131578947368421</v>
      </c>
      <c r="D5" s="435">
        <f>D3*(28/36)*D4</f>
        <v>0.5957446808510638</v>
      </c>
    </row>
    <row r="6" spans="1:5">
      <c r="B6">
        <v>2017</v>
      </c>
      <c r="C6" s="435">
        <f t="shared" si="0"/>
        <v>1.1842105263157894</v>
      </c>
      <c r="D6" s="435">
        <f>D3*(22/28)*D5</f>
        <v>0.46808510638297868</v>
      </c>
    </row>
    <row r="16" spans="1:5">
      <c r="C16" t="s">
        <v>429</v>
      </c>
      <c r="D16" t="s">
        <v>430</v>
      </c>
    </row>
    <row r="17" spans="2:5">
      <c r="B17">
        <v>2014</v>
      </c>
      <c r="C17">
        <v>76</v>
      </c>
      <c r="D17" s="161">
        <v>11.4</v>
      </c>
      <c r="E17" t="s">
        <v>711</v>
      </c>
    </row>
    <row r="18" spans="2:5">
      <c r="B18">
        <v>2015</v>
      </c>
      <c r="C18">
        <v>81</v>
      </c>
      <c r="D18" s="161">
        <f>D17*(36/47)</f>
        <v>8.7319148936170219</v>
      </c>
      <c r="E18" t="s">
        <v>712</v>
      </c>
    </row>
    <row r="19" spans="2:5">
      <c r="B19">
        <v>2016</v>
      </c>
      <c r="C19">
        <v>86</v>
      </c>
      <c r="D19" s="161">
        <f>D18*(28/36)</f>
        <v>6.7914893617021281</v>
      </c>
      <c r="E19" t="s">
        <v>712</v>
      </c>
    </row>
    <row r="20" spans="2:5">
      <c r="B20">
        <v>2017</v>
      </c>
      <c r="C20">
        <v>90</v>
      </c>
      <c r="D20" s="161">
        <f>D19*(22/28)</f>
        <v>5.3361702127659578</v>
      </c>
      <c r="E20" t="s">
        <v>712</v>
      </c>
    </row>
    <row r="21" spans="2:5">
      <c r="B21">
        <v>2018</v>
      </c>
      <c r="C21">
        <v>90</v>
      </c>
      <c r="D21" s="161">
        <f>D20</f>
        <v>5.3361702127659578</v>
      </c>
    </row>
    <row r="22" spans="2:5">
      <c r="B22">
        <v>2019</v>
      </c>
      <c r="C22">
        <v>90</v>
      </c>
      <c r="D22" s="161">
        <f>D21</f>
        <v>5.3361702127659578</v>
      </c>
    </row>
    <row r="23" spans="2:5">
      <c r="B23">
        <v>2020</v>
      </c>
      <c r="C23">
        <v>90</v>
      </c>
      <c r="D23" s="161">
        <f>D22</f>
        <v>5.3361702127659578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8">
    <tabColor rgb="FFFFC000"/>
  </sheetPr>
  <dimension ref="A1:DC193"/>
  <sheetViews>
    <sheetView topLeftCell="C1" zoomScale="90" zoomScaleNormal="90" workbookViewId="0">
      <selection activeCell="E8" sqref="E8"/>
    </sheetView>
  </sheetViews>
  <sheetFormatPr defaultRowHeight="12.75"/>
  <cols>
    <col min="1" max="2" width="9.140625" style="1"/>
    <col min="3" max="3" width="77" style="1" customWidth="1"/>
    <col min="4" max="4" width="43.42578125" style="1" customWidth="1"/>
    <col min="5" max="5" width="17.28515625" style="1" bestFit="1" customWidth="1"/>
    <col min="6" max="6" width="12" style="1" bestFit="1" customWidth="1"/>
    <col min="7" max="7" width="12.5703125" style="1" customWidth="1"/>
    <col min="8" max="8" width="13.7109375" style="1" customWidth="1"/>
    <col min="9" max="9" width="17.28515625" style="1" bestFit="1" customWidth="1"/>
    <col min="10" max="10" width="15.5703125" style="1" bestFit="1" customWidth="1"/>
    <col min="11" max="11" width="15.28515625" style="1" bestFit="1" customWidth="1"/>
    <col min="12" max="12" width="14.28515625" style="1" bestFit="1" customWidth="1"/>
    <col min="13" max="13" width="14.28515625" style="1" customWidth="1"/>
    <col min="14" max="14" width="12.5703125" style="1" customWidth="1"/>
    <col min="15" max="15" width="10.28515625" style="1" bestFit="1" customWidth="1"/>
    <col min="16" max="17" width="10.85546875" style="1" bestFit="1" customWidth="1"/>
    <col min="18" max="18" width="13.42578125" style="1" customWidth="1"/>
    <col min="19" max="19" width="11.85546875" style="1" bestFit="1" customWidth="1"/>
    <col min="20" max="20" width="11" style="1" bestFit="1" customWidth="1"/>
    <col min="21" max="21" width="14.28515625" style="1" bestFit="1" customWidth="1"/>
    <col min="22" max="22" width="10.7109375" style="1" customWidth="1"/>
    <col min="23" max="23" width="13.85546875" style="1" bestFit="1" customWidth="1"/>
    <col min="24" max="24" width="11.7109375" style="1" bestFit="1" customWidth="1"/>
    <col min="25" max="25" width="15.28515625" style="1" bestFit="1" customWidth="1"/>
    <col min="26" max="28" width="12.28515625" style="1" bestFit="1" customWidth="1"/>
    <col min="29" max="29" width="12.5703125" style="1" bestFit="1" customWidth="1"/>
    <col min="30" max="32" width="14.28515625" style="1" bestFit="1" customWidth="1"/>
    <col min="33" max="33" width="13.7109375" style="1" bestFit="1" customWidth="1"/>
    <col min="34" max="34" width="14" style="1" bestFit="1" customWidth="1"/>
    <col min="35" max="35" width="12.85546875" style="1" bestFit="1" customWidth="1"/>
    <col min="36" max="36" width="15.28515625" style="1" bestFit="1" customWidth="1"/>
    <col min="37" max="37" width="12.28515625" style="1" bestFit="1" customWidth="1"/>
    <col min="38" max="38" width="10.85546875" style="1" bestFit="1" customWidth="1"/>
    <col min="39" max="39" width="12.28515625" style="1" bestFit="1" customWidth="1"/>
    <col min="40" max="40" width="12.5703125" style="1" bestFit="1" customWidth="1"/>
    <col min="41" max="45" width="12.85546875" style="1" customWidth="1"/>
    <col min="46" max="46" width="12.5703125" style="1" customWidth="1"/>
    <col min="47" max="47" width="12.28515625" style="1" customWidth="1"/>
    <col min="48" max="48" width="12.7109375" style="1" customWidth="1"/>
    <col min="49" max="49" width="11.85546875" style="1" customWidth="1"/>
    <col min="50" max="50" width="12.5703125" style="1" bestFit="1" customWidth="1"/>
    <col min="51" max="51" width="13.42578125" style="1" customWidth="1"/>
    <col min="52" max="52" width="15.7109375" style="1" bestFit="1" customWidth="1"/>
    <col min="53" max="53" width="11" style="1" bestFit="1" customWidth="1"/>
    <col min="54" max="54" width="14.28515625" style="1" bestFit="1" customWidth="1"/>
    <col min="55" max="55" width="14.7109375" style="1" bestFit="1" customWidth="1"/>
    <col min="56" max="56" width="15" style="1" bestFit="1" customWidth="1"/>
    <col min="57" max="57" width="12.5703125" style="1" bestFit="1" customWidth="1"/>
    <col min="58" max="58" width="13.5703125" style="1" customWidth="1"/>
    <col min="59" max="60" width="14.5703125" style="1" bestFit="1" customWidth="1"/>
    <col min="61" max="61" width="14.85546875" style="1" bestFit="1" customWidth="1"/>
    <col min="62" max="62" width="12.5703125" style="1" bestFit="1" customWidth="1"/>
    <col min="63" max="63" width="13.28515625" style="1" bestFit="1" customWidth="1"/>
    <col min="64" max="64" width="14" style="1" bestFit="1" customWidth="1"/>
    <col min="65" max="65" width="13.28515625" style="1" bestFit="1" customWidth="1"/>
    <col min="66" max="66" width="11.140625" style="1" bestFit="1" customWidth="1"/>
    <col min="67" max="67" width="16.85546875" style="1" bestFit="1" customWidth="1"/>
    <col min="68" max="68" width="14.7109375" style="1" customWidth="1"/>
    <col min="69" max="69" width="12" style="1" customWidth="1"/>
    <col min="70" max="70" width="14" style="1" customWidth="1"/>
    <col min="71" max="71" width="12.5703125" style="1" customWidth="1"/>
    <col min="72" max="72" width="11.28515625" style="1" customWidth="1"/>
    <col min="73" max="73" width="14.42578125" style="1" customWidth="1"/>
    <col min="74" max="74" width="15.7109375" style="1" customWidth="1"/>
    <col min="75" max="75" width="12.85546875" style="1" customWidth="1"/>
    <col min="76" max="76" width="13" style="1" customWidth="1"/>
    <col min="77" max="77" width="11.7109375" style="1" customWidth="1"/>
    <col min="78" max="78" width="14" style="1" customWidth="1"/>
    <col min="79" max="79" width="14.85546875" style="1" customWidth="1"/>
    <col min="80" max="80" width="11.85546875" style="1" customWidth="1"/>
    <col min="81" max="81" width="13.85546875" style="1" customWidth="1"/>
    <col min="82" max="82" width="13.7109375" style="1" customWidth="1"/>
    <col min="83" max="83" width="13" style="1" customWidth="1"/>
    <col min="84" max="84" width="12.42578125" style="1" customWidth="1"/>
    <col min="85" max="85" width="13" style="1" customWidth="1"/>
    <col min="86" max="86" width="12.7109375" style="1" hidden="1" customWidth="1"/>
    <col min="87" max="87" width="12.42578125" style="1" hidden="1" customWidth="1"/>
    <col min="88" max="88" width="10.28515625" style="1" hidden="1" customWidth="1"/>
    <col min="89" max="92" width="9.85546875" style="1" hidden="1" customWidth="1"/>
    <col min="93" max="93" width="9.85546875" style="1" customWidth="1"/>
    <col min="94" max="101" width="10.7109375" style="1" customWidth="1"/>
    <col min="102" max="102" width="16.5703125" style="1" customWidth="1"/>
    <col min="103" max="107" width="10.7109375" style="1" customWidth="1"/>
    <col min="108" max="16384" width="9.140625" style="1"/>
  </cols>
  <sheetData>
    <row r="1" spans="1:107">
      <c r="C1" s="3" t="s">
        <v>3</v>
      </c>
      <c r="D1" s="4"/>
      <c r="E1" s="4"/>
      <c r="F1" s="4"/>
      <c r="G1" s="4"/>
      <c r="H1" s="4"/>
      <c r="I1" s="4"/>
      <c r="J1" s="5"/>
      <c r="K1" s="6"/>
      <c r="L1" s="6"/>
      <c r="M1" s="6"/>
      <c r="N1" s="6"/>
      <c r="O1" s="6"/>
      <c r="P1" s="7"/>
      <c r="Q1" s="8"/>
      <c r="R1" s="7"/>
      <c r="S1" s="7"/>
      <c r="T1" s="7"/>
      <c r="U1" s="5"/>
      <c r="V1" s="5"/>
      <c r="W1" s="5"/>
      <c r="X1" s="7"/>
      <c r="Y1" s="5"/>
      <c r="Z1" s="5"/>
      <c r="AA1" s="5"/>
      <c r="AB1" s="5"/>
      <c r="AC1" s="5"/>
      <c r="AD1" s="5"/>
      <c r="AE1" s="5"/>
      <c r="AF1" s="5"/>
      <c r="AG1" s="5"/>
      <c r="AH1" s="5"/>
      <c r="AI1" s="5"/>
      <c r="AJ1" s="5"/>
      <c r="AK1" s="5"/>
      <c r="AL1" s="5"/>
      <c r="AM1" s="5"/>
      <c r="AN1" s="5"/>
      <c r="AO1" s="5"/>
      <c r="AP1" s="5"/>
      <c r="AQ1" s="5"/>
      <c r="AR1" s="9"/>
      <c r="AS1" s="5"/>
      <c r="AT1" s="5"/>
      <c r="AU1" s="5"/>
      <c r="AV1" s="5"/>
      <c r="AW1" s="5"/>
      <c r="AX1" s="9"/>
      <c r="AY1" s="5"/>
      <c r="AZ1" s="5"/>
      <c r="BA1" s="5"/>
      <c r="BB1" s="5"/>
      <c r="BC1" s="5"/>
      <c r="BD1" s="5"/>
      <c r="BE1" s="5"/>
      <c r="BF1" s="5"/>
      <c r="BG1" s="5"/>
      <c r="BH1" s="5"/>
      <c r="BI1" s="5"/>
      <c r="BJ1" s="5"/>
      <c r="BK1" s="5"/>
      <c r="BL1" s="5"/>
      <c r="BM1" s="5"/>
      <c r="BN1" s="5"/>
      <c r="BO1" s="10"/>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9"/>
      <c r="CS1" s="5"/>
      <c r="CT1" s="5"/>
      <c r="CU1" s="5"/>
      <c r="CV1" s="5"/>
      <c r="CW1" s="5"/>
      <c r="CX1" s="5"/>
      <c r="CY1" s="5"/>
      <c r="CZ1" s="5"/>
      <c r="DA1" s="5"/>
      <c r="DB1" s="5"/>
      <c r="DC1" s="5"/>
    </row>
    <row r="2" spans="1:107">
      <c r="C2" s="11" t="s">
        <v>4</v>
      </c>
      <c r="D2" s="5"/>
      <c r="E2" s="5"/>
      <c r="F2" s="5"/>
      <c r="G2" s="5"/>
      <c r="H2" s="5"/>
      <c r="I2" s="5"/>
      <c r="J2" s="5"/>
      <c r="K2" s="6"/>
      <c r="L2" s="6"/>
      <c r="M2" s="6"/>
      <c r="N2" s="6"/>
      <c r="O2" s="6"/>
      <c r="P2" s="7"/>
      <c r="Q2" s="7"/>
      <c r="R2" s="7"/>
      <c r="S2" s="7"/>
      <c r="T2" s="7"/>
      <c r="U2" s="5"/>
      <c r="V2" s="5"/>
      <c r="W2" s="5"/>
      <c r="X2" s="7"/>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9"/>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row>
    <row r="3" spans="1:107">
      <c r="C3" s="11" t="s">
        <v>5</v>
      </c>
      <c r="E3" s="11">
        <v>2012</v>
      </c>
      <c r="L3" s="12"/>
      <c r="M3" s="13"/>
      <c r="CQ3" s="13"/>
      <c r="CR3" s="13"/>
    </row>
    <row r="5" spans="1:107">
      <c r="C5" s="14">
        <v>1</v>
      </c>
      <c r="D5" s="14">
        <v>2</v>
      </c>
      <c r="E5" s="14">
        <v>3</v>
      </c>
      <c r="F5" s="14">
        <v>4</v>
      </c>
      <c r="G5" s="14">
        <v>5</v>
      </c>
      <c r="H5" s="14">
        <v>6</v>
      </c>
      <c r="I5" s="14">
        <v>7</v>
      </c>
      <c r="J5" s="14">
        <v>8</v>
      </c>
      <c r="K5" s="14">
        <v>9</v>
      </c>
      <c r="L5" s="14">
        <v>10</v>
      </c>
      <c r="M5" s="14">
        <v>11</v>
      </c>
      <c r="N5" s="14">
        <v>12</v>
      </c>
      <c r="O5" s="14">
        <v>13</v>
      </c>
      <c r="P5" s="14">
        <v>14</v>
      </c>
      <c r="Q5" s="14">
        <v>15</v>
      </c>
      <c r="R5" s="14">
        <v>16</v>
      </c>
      <c r="S5" s="14">
        <v>17</v>
      </c>
      <c r="T5" s="14">
        <v>18</v>
      </c>
      <c r="U5" s="14">
        <v>19</v>
      </c>
      <c r="V5" s="14">
        <v>20</v>
      </c>
      <c r="W5" s="14">
        <v>21</v>
      </c>
      <c r="X5" s="14">
        <v>22</v>
      </c>
      <c r="Y5" s="14">
        <v>23</v>
      </c>
      <c r="Z5" s="14">
        <v>24</v>
      </c>
      <c r="AA5" s="14">
        <v>25</v>
      </c>
      <c r="AB5" s="14">
        <v>26</v>
      </c>
      <c r="AC5" s="14">
        <v>27</v>
      </c>
      <c r="AD5" s="14">
        <v>28</v>
      </c>
      <c r="AE5" s="14">
        <v>29</v>
      </c>
      <c r="AF5" s="14">
        <v>30</v>
      </c>
      <c r="AG5" s="14">
        <v>31</v>
      </c>
      <c r="AH5" s="14">
        <v>32</v>
      </c>
      <c r="AI5" s="14">
        <v>33</v>
      </c>
      <c r="AJ5" s="14">
        <v>34</v>
      </c>
      <c r="AK5" s="14">
        <v>35</v>
      </c>
      <c r="AL5" s="14">
        <v>36</v>
      </c>
      <c r="AM5" s="14">
        <v>37</v>
      </c>
      <c r="AN5" s="14">
        <v>38</v>
      </c>
      <c r="AO5" s="14">
        <v>39</v>
      </c>
      <c r="AP5" s="14">
        <v>40</v>
      </c>
      <c r="AQ5" s="14">
        <v>41</v>
      </c>
      <c r="AR5" s="14">
        <v>42</v>
      </c>
      <c r="AS5" s="14">
        <v>43</v>
      </c>
      <c r="AT5" s="14">
        <v>44</v>
      </c>
      <c r="AU5" s="14">
        <v>45</v>
      </c>
      <c r="AV5" s="14">
        <v>46</v>
      </c>
      <c r="AW5" s="14">
        <v>47</v>
      </c>
      <c r="AX5" s="14">
        <v>48</v>
      </c>
      <c r="AY5" s="14">
        <v>49</v>
      </c>
      <c r="AZ5" s="14">
        <v>50</v>
      </c>
      <c r="BA5" s="14">
        <v>51</v>
      </c>
      <c r="BB5" s="14">
        <v>52</v>
      </c>
      <c r="BC5" s="14">
        <v>53</v>
      </c>
      <c r="BD5" s="14">
        <v>54</v>
      </c>
      <c r="BE5" s="14">
        <v>55</v>
      </c>
      <c r="BF5" s="14">
        <v>56</v>
      </c>
      <c r="BG5" s="14">
        <v>57</v>
      </c>
      <c r="BH5" s="14">
        <v>58</v>
      </c>
      <c r="BI5" s="14">
        <v>59</v>
      </c>
      <c r="BJ5" s="14">
        <v>60</v>
      </c>
      <c r="BK5" s="14">
        <v>61</v>
      </c>
      <c r="BL5" s="14">
        <v>62</v>
      </c>
      <c r="BM5" s="14">
        <v>63</v>
      </c>
      <c r="BN5" s="14">
        <v>64</v>
      </c>
      <c r="BO5" s="14">
        <v>65</v>
      </c>
      <c r="BP5" s="14">
        <v>66</v>
      </c>
      <c r="BQ5" s="14">
        <v>67</v>
      </c>
      <c r="BR5" s="14">
        <v>68</v>
      </c>
      <c r="BS5" s="14">
        <v>69</v>
      </c>
      <c r="BT5" s="14">
        <v>70</v>
      </c>
      <c r="BU5" s="14">
        <v>71</v>
      </c>
      <c r="BV5" s="14">
        <v>72</v>
      </c>
      <c r="BW5" s="14">
        <v>73</v>
      </c>
      <c r="BX5" s="14">
        <v>74</v>
      </c>
      <c r="BY5" s="14">
        <v>75</v>
      </c>
      <c r="BZ5" s="14">
        <v>76</v>
      </c>
      <c r="CA5" s="14">
        <v>77</v>
      </c>
      <c r="CB5" s="14">
        <v>78</v>
      </c>
      <c r="CC5" s="14">
        <v>79</v>
      </c>
      <c r="CD5" s="14">
        <v>80</v>
      </c>
      <c r="CE5" s="14">
        <v>81</v>
      </c>
      <c r="CF5" s="14">
        <v>82</v>
      </c>
      <c r="CG5" s="14">
        <v>83</v>
      </c>
      <c r="CH5" s="14">
        <v>84</v>
      </c>
      <c r="CI5" s="14">
        <v>85</v>
      </c>
      <c r="CJ5" s="14">
        <v>86</v>
      </c>
      <c r="CK5" s="14">
        <v>87</v>
      </c>
      <c r="CL5" s="14">
        <v>88</v>
      </c>
      <c r="CM5" s="14">
        <v>89</v>
      </c>
      <c r="CN5" s="14">
        <v>90</v>
      </c>
      <c r="CO5" s="14">
        <v>91</v>
      </c>
      <c r="CP5" s="14">
        <v>92</v>
      </c>
      <c r="CQ5" s="14">
        <v>93</v>
      </c>
      <c r="CR5" s="14">
        <v>94</v>
      </c>
      <c r="CS5" s="14">
        <v>95</v>
      </c>
      <c r="CT5" s="14">
        <v>96</v>
      </c>
      <c r="CU5" s="14">
        <v>97</v>
      </c>
      <c r="CV5" s="14">
        <v>98</v>
      </c>
      <c r="CW5" s="14">
        <v>99</v>
      </c>
      <c r="CX5" s="14">
        <v>100</v>
      </c>
      <c r="CY5" s="14">
        <v>101</v>
      </c>
      <c r="CZ5" s="14">
        <v>102</v>
      </c>
      <c r="DA5" s="14">
        <v>103</v>
      </c>
      <c r="DB5" s="14">
        <v>104</v>
      </c>
      <c r="DC5" s="14">
        <v>105</v>
      </c>
    </row>
    <row r="6" spans="1:107">
      <c r="C6" s="15" t="s">
        <v>6</v>
      </c>
      <c r="D6" s="16"/>
      <c r="E6" s="16"/>
      <c r="F6" s="16"/>
      <c r="G6" s="16"/>
      <c r="H6" s="16"/>
      <c r="I6" s="17"/>
      <c r="J6" s="18"/>
      <c r="K6" s="525" t="s">
        <v>7</v>
      </c>
      <c r="L6" s="526"/>
      <c r="M6" s="526"/>
      <c r="N6" s="526"/>
      <c r="O6" s="526"/>
      <c r="P6" s="527"/>
      <c r="Q6" s="528" t="s">
        <v>8</v>
      </c>
      <c r="R6" s="529"/>
      <c r="S6" s="19"/>
      <c r="T6" s="20"/>
      <c r="U6" s="20"/>
      <c r="V6" s="20"/>
      <c r="W6" s="20"/>
      <c r="X6" s="20"/>
      <c r="Y6" s="20"/>
      <c r="Z6" s="21"/>
      <c r="AA6" s="22"/>
      <c r="AB6" s="20"/>
      <c r="AC6" s="20"/>
      <c r="AD6" s="20"/>
      <c r="AE6" s="20"/>
      <c r="AF6" s="20"/>
      <c r="AG6" s="23"/>
      <c r="AH6" s="23"/>
      <c r="AI6" s="23"/>
      <c r="AJ6" s="23"/>
      <c r="AK6" s="23"/>
      <c r="AL6" s="23"/>
      <c r="AM6" s="23"/>
      <c r="AN6" s="23"/>
      <c r="AO6" s="23"/>
      <c r="AP6" s="23"/>
      <c r="AQ6" s="23"/>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row>
    <row r="7" spans="1:107" ht="25.5">
      <c r="A7" s="1" t="s">
        <v>28</v>
      </c>
      <c r="B7" s="1" t="s">
        <v>31</v>
      </c>
      <c r="C7" s="24" t="s">
        <v>9</v>
      </c>
      <c r="D7" s="24" t="s">
        <v>10</v>
      </c>
      <c r="E7" s="24" t="s">
        <v>11</v>
      </c>
      <c r="F7" s="24" t="s">
        <v>12</v>
      </c>
      <c r="G7" s="24" t="s">
        <v>13</v>
      </c>
      <c r="H7" s="25" t="s">
        <v>14</v>
      </c>
      <c r="I7" s="26" t="s">
        <v>15</v>
      </c>
      <c r="J7" s="27" t="s">
        <v>16</v>
      </c>
      <c r="K7" s="27" t="s">
        <v>17</v>
      </c>
      <c r="L7" s="27" t="s">
        <v>18</v>
      </c>
      <c r="M7" s="27" t="s">
        <v>19</v>
      </c>
      <c r="N7" s="27" t="s">
        <v>20</v>
      </c>
      <c r="O7" s="27" t="s">
        <v>21</v>
      </c>
      <c r="P7" s="27" t="s">
        <v>22</v>
      </c>
      <c r="Q7" s="28" t="s">
        <v>23</v>
      </c>
      <c r="R7" s="27" t="s">
        <v>15</v>
      </c>
      <c r="S7" s="29"/>
      <c r="T7" s="29"/>
      <c r="U7" s="29"/>
      <c r="V7" s="29"/>
      <c r="W7" s="29"/>
      <c r="X7" s="29"/>
      <c r="Y7" s="29"/>
      <c r="Z7" s="29"/>
      <c r="AA7" s="29"/>
      <c r="AB7" s="29"/>
      <c r="AC7" s="29"/>
      <c r="AD7" s="29"/>
      <c r="AE7" s="29"/>
      <c r="AF7" s="29"/>
      <c r="AG7" s="23"/>
      <c r="AH7" s="23"/>
      <c r="AI7" s="23"/>
      <c r="AJ7" s="23"/>
      <c r="AK7" s="23"/>
      <c r="AL7" s="23"/>
      <c r="AM7" s="23"/>
      <c r="AN7" s="23"/>
      <c r="AO7" s="23"/>
      <c r="AP7" s="23"/>
      <c r="AQ7" s="23"/>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row>
    <row r="8" spans="1:107">
      <c r="A8" s="1" t="s">
        <v>29</v>
      </c>
      <c r="B8" s="1" t="str">
        <f>A8&amp;C8&amp;D8</f>
        <v>Single FamilyRetailLEDDecorative and Mini-Base250 to 664 lumensANYRetailLEDDecorative and Mini-Base250 to 664 lumensANY</v>
      </c>
      <c r="C8" s="30" t="str">
        <f>'Measure Assembly'!AR10</f>
        <v>RetailLEDDecorative and Mini-Base250 to 664 lumensANY</v>
      </c>
      <c r="D8" s="30" t="str">
        <f>'Measure Assembly'!AS10</f>
        <v>RetailLEDDecorative and Mini-Base250 to 664 lumensANY</v>
      </c>
      <c r="E8" s="434">
        <f>'Measure Assembly'!AT10</f>
        <v>15.813087034024461</v>
      </c>
      <c r="F8" s="30">
        <f>'Measure Assembly'!AU10</f>
        <v>12</v>
      </c>
      <c r="G8" s="30">
        <f>'Measure Assembly'!AV10</f>
        <v>8.3186951230499186</v>
      </c>
      <c r="H8" s="30">
        <f>'Measure Assembly'!AW10</f>
        <v>0</v>
      </c>
      <c r="I8" s="30" t="str">
        <f>'Measure Assembly'!AX10</f>
        <v>ResLIGHT</v>
      </c>
      <c r="J8" s="30">
        <f>'Measure Assembly'!AY10</f>
        <v>0</v>
      </c>
      <c r="K8" s="30">
        <f>'Measure Assembly'!AZ10</f>
        <v>-1.6401583657682686</v>
      </c>
      <c r="L8" s="30">
        <f>'Measure Assembly'!BA10</f>
        <v>1.7835655628514451</v>
      </c>
      <c r="M8" s="30">
        <f>'Measure Assembly'!BB10</f>
        <v>0</v>
      </c>
      <c r="N8" s="30">
        <f>'Measure Assembly'!BC10</f>
        <v>0</v>
      </c>
      <c r="O8" s="30">
        <f>'Measure Assembly'!BD10</f>
        <v>0</v>
      </c>
      <c r="P8" s="30">
        <f>'Measure Assembly'!BE10</f>
        <v>0</v>
      </c>
      <c r="Q8" s="30">
        <f>'Measure Assembly'!BF10</f>
        <v>-0.18567444027133875</v>
      </c>
      <c r="R8" s="30" t="str">
        <f>'Measure Assembly'!BG10</f>
        <v>ResSHWX</v>
      </c>
      <c r="T8" s="36"/>
      <c r="U8" s="32"/>
    </row>
    <row r="9" spans="1:107">
      <c r="A9" s="1" t="s">
        <v>29</v>
      </c>
      <c r="B9" s="1" t="str">
        <f t="shared" ref="B9:B22" si="0">A9&amp;C9&amp;D9</f>
        <v>Single FamilyRetailLEDDecorative and Mini-Base665 to 1439 lumensANYRetailLEDDecorative and Mini-Base665 to 1439 lumensANY</v>
      </c>
      <c r="C9" s="30" t="str">
        <f>'Measure Assembly'!AR11</f>
        <v>RetailLEDDecorative and Mini-Base665 to 1439 lumensANY</v>
      </c>
      <c r="D9" s="30" t="str">
        <f>'Measure Assembly'!AS11</f>
        <v>RetailLEDDecorative and Mini-Base665 to 1439 lumensANY</v>
      </c>
      <c r="E9" s="434">
        <f>'Measure Assembly'!AT11</f>
        <v>11.913085286550384</v>
      </c>
      <c r="F9" s="30">
        <f>'Measure Assembly'!AU11</f>
        <v>12</v>
      </c>
      <c r="G9" s="30">
        <f>'Measure Assembly'!AV11</f>
        <v>15.470042303578058</v>
      </c>
      <c r="H9" s="30">
        <f>'Measure Assembly'!AW11</f>
        <v>0</v>
      </c>
      <c r="I9" s="30" t="str">
        <f>'Measure Assembly'!AX11</f>
        <v>ResLIGHT</v>
      </c>
      <c r="J9" s="30">
        <f>'Measure Assembly'!AY11</f>
        <v>0</v>
      </c>
      <c r="K9" s="30">
        <f>'Measure Assembly'!AZ11</f>
        <v>-2.357302490345714</v>
      </c>
      <c r="L9" s="30">
        <f>'Measure Assembly'!BA11</f>
        <v>1.7864498053021971</v>
      </c>
      <c r="M9" s="30">
        <f>'Measure Assembly'!BB11</f>
        <v>0</v>
      </c>
      <c r="N9" s="30">
        <f>'Measure Assembly'!BC11</f>
        <v>0</v>
      </c>
      <c r="O9" s="30">
        <f>'Measure Assembly'!BD11</f>
        <v>0</v>
      </c>
      <c r="P9" s="30">
        <f>'Measure Assembly'!BE11</f>
        <v>0</v>
      </c>
      <c r="Q9" s="30">
        <f>'Measure Assembly'!BF11</f>
        <v>-0.13266859273683673</v>
      </c>
      <c r="R9" s="30" t="str">
        <f>'Measure Assembly'!BG11</f>
        <v>ResSHWX</v>
      </c>
      <c r="T9" s="36"/>
      <c r="U9" s="32"/>
    </row>
    <row r="10" spans="1:107">
      <c r="A10" s="1" t="s">
        <v>29</v>
      </c>
      <c r="B10" s="1" t="str">
        <f t="shared" si="0"/>
        <v>Single FamilyRetailLEDDecorative and Mini-Base1440 to 2600 lumensANYRetailLEDDecorative and Mini-Base1440 to 2600 lumensANY</v>
      </c>
      <c r="C10" s="30" t="str">
        <f>'Measure Assembly'!AR12</f>
        <v>RetailLEDDecorative and Mini-Base1440 to 2600 lumensANY</v>
      </c>
      <c r="D10" s="30" t="str">
        <f>'Measure Assembly'!AS12</f>
        <v>RetailLEDDecorative and Mini-Base1440 to 2600 lumensANY</v>
      </c>
      <c r="E10" s="434">
        <f>'Measure Assembly'!AT12</f>
        <v>5.899725077629788</v>
      </c>
      <c r="F10" s="30">
        <f>'Measure Assembly'!AU12</f>
        <v>12</v>
      </c>
      <c r="G10" s="30">
        <f>'Measure Assembly'!AV12</f>
        <v>40.812016511901589</v>
      </c>
      <c r="H10" s="30">
        <f>'Measure Assembly'!AW12</f>
        <v>0</v>
      </c>
      <c r="I10" s="30" t="str">
        <f>'Measure Assembly'!AX12</f>
        <v>ResLIGHT</v>
      </c>
      <c r="J10" s="30">
        <f>'Measure Assembly'!AY12</f>
        <v>0</v>
      </c>
      <c r="K10" s="30">
        <f>'Measure Assembly'!AZ12</f>
        <v>-2.5719834880984087</v>
      </c>
      <c r="L10" s="30">
        <f>'Measure Assembly'!BA12</f>
        <v>4.4344805227500377</v>
      </c>
      <c r="M10" s="30">
        <f>'Measure Assembly'!BB12</f>
        <v>0</v>
      </c>
      <c r="N10" s="30">
        <f>'Measure Assembly'!BC12</f>
        <v>0</v>
      </c>
      <c r="O10" s="30">
        <f>'Measure Assembly'!BD12</f>
        <v>0</v>
      </c>
      <c r="P10" s="30">
        <f>'Measure Assembly'!BE12</f>
        <v>0</v>
      </c>
      <c r="Q10" s="30">
        <f>'Measure Assembly'!BF12</f>
        <v>-6.7238480832665995E-2</v>
      </c>
      <c r="R10" s="30" t="str">
        <f>'Measure Assembly'!BG12</f>
        <v>ResSHWX</v>
      </c>
      <c r="T10" s="36"/>
      <c r="U10" s="32"/>
    </row>
    <row r="11" spans="1:107">
      <c r="A11" s="1" t="s">
        <v>29</v>
      </c>
      <c r="B11" s="1" t="str">
        <f t="shared" si="0"/>
        <v>Single FamilyRetailLEDGeneral Purpose and Dimmable250 to 664 lumensANYRetailLEDGeneral Purpose and Dimmable250 to 664 lumensANY</v>
      </c>
      <c r="C11" s="30" t="str">
        <f>'Measure Assembly'!AR13</f>
        <v>RetailLEDGeneral Purpose and Dimmable250 to 664 lumensANY</v>
      </c>
      <c r="D11" s="30" t="str">
        <f>'Measure Assembly'!AS13</f>
        <v>RetailLEDGeneral Purpose and Dimmable250 to 664 lumensANY</v>
      </c>
      <c r="E11" s="434">
        <f>'Measure Assembly'!AT13</f>
        <v>1.5089638504471714</v>
      </c>
      <c r="F11" s="30">
        <f>'Measure Assembly'!AU13</f>
        <v>12</v>
      </c>
      <c r="G11" s="30">
        <f>'Measure Assembly'!AV13</f>
        <v>2.8201991569949612</v>
      </c>
      <c r="H11" s="30">
        <f>'Measure Assembly'!AW13</f>
        <v>0</v>
      </c>
      <c r="I11" s="30" t="str">
        <f>'Measure Assembly'!AX13</f>
        <v>ResLIGHT</v>
      </c>
      <c r="J11" s="30">
        <f>'Measure Assembly'!AY13</f>
        <v>0</v>
      </c>
      <c r="K11" s="30">
        <f>'Measure Assembly'!AZ13</f>
        <v>-2.1592275874141325</v>
      </c>
      <c r="L11" s="30">
        <f>'Measure Assembly'!BA13</f>
        <v>8.5397834253252132</v>
      </c>
      <c r="M11" s="30">
        <f>'Measure Assembly'!BB13</f>
        <v>0</v>
      </c>
      <c r="N11" s="30">
        <f>'Measure Assembly'!BC13</f>
        <v>0</v>
      </c>
      <c r="O11" s="30">
        <f>'Measure Assembly'!BD13</f>
        <v>0</v>
      </c>
      <c r="P11" s="30">
        <f>'Measure Assembly'!BE13</f>
        <v>0</v>
      </c>
      <c r="Q11" s="30">
        <f>'Measure Assembly'!BF13</f>
        <v>-1.6894102606505926E-2</v>
      </c>
      <c r="R11" s="30" t="str">
        <f>'Measure Assembly'!BG13</f>
        <v>ResSHWX</v>
      </c>
      <c r="T11" s="36"/>
      <c r="U11" s="32"/>
    </row>
    <row r="12" spans="1:107">
      <c r="A12" s="1" t="s">
        <v>29</v>
      </c>
      <c r="B12" s="1" t="str">
        <f t="shared" si="0"/>
        <v>Single FamilyRetailLEDGeneral Purpose and Dimmable665 to 1439 lumensANYRetailLEDGeneral Purpose and Dimmable665 to 1439 lumensANY</v>
      </c>
      <c r="C12" s="30" t="str">
        <f>'Measure Assembly'!AR14</f>
        <v>RetailLEDGeneral Purpose and Dimmable665 to 1439 lumensANY</v>
      </c>
      <c r="D12" s="30" t="str">
        <f>'Measure Assembly'!AS14</f>
        <v>RetailLEDGeneral Purpose and Dimmable665 to 1439 lumensANY</v>
      </c>
      <c r="E12" s="434">
        <f>'Measure Assembly'!AT14</f>
        <v>5.889594088343741</v>
      </c>
      <c r="F12" s="30">
        <f>'Measure Assembly'!AU14</f>
        <v>12</v>
      </c>
      <c r="G12" s="30">
        <f>'Measure Assembly'!AV14</f>
        <v>7.4613937623091537</v>
      </c>
      <c r="H12" s="30">
        <f>'Measure Assembly'!AW14</f>
        <v>0</v>
      </c>
      <c r="I12" s="30" t="str">
        <f>'Measure Assembly'!AX14</f>
        <v>ResLIGHT</v>
      </c>
      <c r="J12" s="30">
        <f>'Measure Assembly'!AY14</f>
        <v>0</v>
      </c>
      <c r="K12" s="30">
        <f>'Measure Assembly'!AZ14</f>
        <v>-1.4522786346527323</v>
      </c>
      <c r="L12" s="30">
        <f>'Measure Assembly'!BA14</f>
        <v>7.9445543113898527</v>
      </c>
      <c r="M12" s="30">
        <f>'Measure Assembly'!BB14</f>
        <v>0</v>
      </c>
      <c r="N12" s="30">
        <f>'Measure Assembly'!BC14</f>
        <v>0</v>
      </c>
      <c r="O12" s="30">
        <f>'Measure Assembly'!BD14</f>
        <v>0</v>
      </c>
      <c r="P12" s="30">
        <f>'Measure Assembly'!BE14</f>
        <v>0</v>
      </c>
      <c r="Q12" s="30">
        <f>'Measure Assembly'!BF14</f>
        <v>-6.1056909178256021E-2</v>
      </c>
      <c r="R12" s="30" t="str">
        <f>'Measure Assembly'!BG14</f>
        <v>ResSHWX</v>
      </c>
      <c r="T12" s="36"/>
      <c r="U12" s="32"/>
    </row>
    <row r="13" spans="1:107">
      <c r="A13" s="1" t="s">
        <v>29</v>
      </c>
      <c r="B13" s="1" t="str">
        <f t="shared" si="0"/>
        <v>Single FamilyRetailLEDGeneral Purpose and Dimmable1440 to 2600 lumensANYRetailLEDGeneral Purpose and Dimmable1440 to 2600 lumensANY</v>
      </c>
      <c r="C13" s="30" t="str">
        <f>'Measure Assembly'!AR15</f>
        <v>RetailLEDGeneral Purpose and Dimmable1440 to 2600 lumensANY</v>
      </c>
      <c r="D13" s="30" t="str">
        <f>'Measure Assembly'!AS15</f>
        <v>RetailLEDGeneral Purpose and Dimmable1440 to 2600 lumensANY</v>
      </c>
      <c r="E13" s="434">
        <f>'Measure Assembly'!AT15</f>
        <v>11.004439615512545</v>
      </c>
      <c r="F13" s="30">
        <f>'Measure Assembly'!AU15</f>
        <v>12</v>
      </c>
      <c r="G13" s="30">
        <f>'Measure Assembly'!AV15</f>
        <v>19.800888698047423</v>
      </c>
      <c r="H13" s="30">
        <f>'Measure Assembly'!AW15</f>
        <v>0</v>
      </c>
      <c r="I13" s="30" t="str">
        <f>'Measure Assembly'!AX15</f>
        <v>ResLIGHT</v>
      </c>
      <c r="J13" s="30">
        <f>'Measure Assembly'!AY15</f>
        <v>0</v>
      </c>
      <c r="K13" s="30">
        <f>'Measure Assembly'!AZ15</f>
        <v>-1.8911113019525783</v>
      </c>
      <c r="L13" s="30">
        <f>'Measure Assembly'!BA15</f>
        <v>7.4879032412351636</v>
      </c>
      <c r="M13" s="30">
        <f>'Measure Assembly'!BB15</f>
        <v>0</v>
      </c>
      <c r="N13" s="30">
        <f>'Measure Assembly'!BC15</f>
        <v>0</v>
      </c>
      <c r="O13" s="30">
        <f>'Measure Assembly'!BD15</f>
        <v>0</v>
      </c>
      <c r="P13" s="30">
        <f>'Measure Assembly'!BE15</f>
        <v>0</v>
      </c>
      <c r="Q13" s="30">
        <f>'Measure Assembly'!BF15</f>
        <v>-0.10325747098492929</v>
      </c>
      <c r="R13" s="30" t="str">
        <f>'Measure Assembly'!BG15</f>
        <v>ResSHWX</v>
      </c>
      <c r="T13" s="36"/>
      <c r="U13" s="32"/>
    </row>
    <row r="14" spans="1:107">
      <c r="A14" s="1" t="s">
        <v>29</v>
      </c>
      <c r="B14" s="1" t="str">
        <f t="shared" si="0"/>
        <v>Single FamilyRetailLEDGlobe250 to 664 lumensANYRetailLEDGlobe250 to 664 lumensANY</v>
      </c>
      <c r="C14" s="30" t="str">
        <f>'Measure Assembly'!AR16</f>
        <v>RetailLEDGlobe250 to 664 lumensANY</v>
      </c>
      <c r="D14" s="30" t="str">
        <f>'Measure Assembly'!AS16</f>
        <v>RetailLEDGlobe250 to 664 lumensANY</v>
      </c>
      <c r="E14" s="434">
        <f>'Measure Assembly'!AT16</f>
        <v>11.783591977694261</v>
      </c>
      <c r="F14" s="30">
        <f>'Measure Assembly'!AU16</f>
        <v>12</v>
      </c>
      <c r="G14" s="30">
        <f>'Measure Assembly'!AV16</f>
        <v>4.4151785617916461</v>
      </c>
      <c r="H14" s="30">
        <f>'Measure Assembly'!AW16</f>
        <v>0</v>
      </c>
      <c r="I14" s="30" t="str">
        <f>'Measure Assembly'!AX16</f>
        <v>ResLIGHT</v>
      </c>
      <c r="J14" s="30">
        <f>'Measure Assembly'!AY16</f>
        <v>0</v>
      </c>
      <c r="K14" s="30">
        <f>'Measure Assembly'!AZ16</f>
        <v>-2.1737529557872382</v>
      </c>
      <c r="L14" s="30">
        <f>'Measure Assembly'!BA16</f>
        <v>2.2408705642884907</v>
      </c>
      <c r="M14" s="30">
        <f>'Measure Assembly'!BB16</f>
        <v>0</v>
      </c>
      <c r="N14" s="30">
        <f>'Measure Assembly'!BC16</f>
        <v>0</v>
      </c>
      <c r="O14" s="30">
        <f>'Measure Assembly'!BD16</f>
        <v>0</v>
      </c>
      <c r="P14" s="30">
        <f>'Measure Assembly'!BE16</f>
        <v>0</v>
      </c>
      <c r="Q14" s="30">
        <f>'Measure Assembly'!BF16</f>
        <v>-0.14607548101368481</v>
      </c>
      <c r="R14" s="30" t="str">
        <f>'Measure Assembly'!BG16</f>
        <v>ResSHWX</v>
      </c>
      <c r="T14" s="36"/>
      <c r="U14" s="32"/>
    </row>
    <row r="15" spans="1:107">
      <c r="A15" s="1" t="s">
        <v>29</v>
      </c>
      <c r="B15" s="1" t="str">
        <f t="shared" si="0"/>
        <v>Single FamilyRetailLEDGlobe665 to 1439 lumensANYRetailLEDGlobe665 to 1439 lumensANY</v>
      </c>
      <c r="C15" s="30" t="str">
        <f>'Measure Assembly'!AR17</f>
        <v>RetailLEDGlobe665 to 1439 lumensANY</v>
      </c>
      <c r="D15" s="30" t="str">
        <f>'Measure Assembly'!AS17</f>
        <v>RetailLEDGlobe665 to 1439 lumensANY</v>
      </c>
      <c r="E15" s="434">
        <f>'Measure Assembly'!AT17</f>
        <v>8.1155301664356294</v>
      </c>
      <c r="F15" s="30">
        <f>'Measure Assembly'!AU17</f>
        <v>12</v>
      </c>
      <c r="G15" s="30">
        <f>'Measure Assembly'!AV17</f>
        <v>4.1681068697803356</v>
      </c>
      <c r="H15" s="30">
        <f>'Measure Assembly'!AW17</f>
        <v>0</v>
      </c>
      <c r="I15" s="30" t="str">
        <f>'Measure Assembly'!AX17</f>
        <v>ResLIGHT</v>
      </c>
      <c r="J15" s="30">
        <f>'Measure Assembly'!AY17</f>
        <v>0</v>
      </c>
      <c r="K15" s="30">
        <f>'Measure Assembly'!AZ17</f>
        <v>-4.74556552718155</v>
      </c>
      <c r="L15" s="30">
        <f>'Measure Assembly'!BA17</f>
        <v>2.7621105076077872</v>
      </c>
      <c r="M15" s="30">
        <f>'Measure Assembly'!BB17</f>
        <v>0</v>
      </c>
      <c r="N15" s="30">
        <f>'Measure Assembly'!BC17</f>
        <v>0</v>
      </c>
      <c r="O15" s="30">
        <f>'Measure Assembly'!BD17</f>
        <v>0</v>
      </c>
      <c r="P15" s="30">
        <f>'Measure Assembly'!BE17</f>
        <v>0</v>
      </c>
      <c r="Q15" s="30">
        <f>'Measure Assembly'!BF17</f>
        <v>-9.8554102721400638E-2</v>
      </c>
      <c r="R15" s="30" t="str">
        <f>'Measure Assembly'!BG17</f>
        <v>ResSHWX</v>
      </c>
      <c r="T15" s="36"/>
      <c r="U15" s="32"/>
    </row>
    <row r="16" spans="1:107">
      <c r="A16" s="1" t="s">
        <v>29</v>
      </c>
      <c r="B16" s="1" t="str">
        <f t="shared" si="0"/>
        <v>Single FamilyRetailLEDGlobe1440 to 2600 lumensANYRetailLEDGlobe1440 to 2600 lumensANY</v>
      </c>
      <c r="C16" s="30" t="str">
        <f>'Measure Assembly'!AR18</f>
        <v>RetailLEDGlobe1440 to 2600 lumensANY</v>
      </c>
      <c r="D16" s="30" t="str">
        <f>'Measure Assembly'!AS18</f>
        <v>RetailLEDGlobe1440 to 2600 lumensANY</v>
      </c>
      <c r="E16" s="434">
        <f>'Measure Assembly'!AT18</f>
        <v>8.780417914598031</v>
      </c>
      <c r="F16" s="30">
        <f>'Measure Assembly'!AU18</f>
        <v>12</v>
      </c>
      <c r="G16" s="30">
        <f>'Measure Assembly'!AV18</f>
        <v>16.229275491721381</v>
      </c>
      <c r="H16" s="30">
        <f>'Measure Assembly'!AW18</f>
        <v>0</v>
      </c>
      <c r="I16" s="30" t="str">
        <f>'Measure Assembly'!AX18</f>
        <v>ResLIGHT</v>
      </c>
      <c r="J16" s="30">
        <f>'Measure Assembly'!AY18</f>
        <v>0</v>
      </c>
      <c r="K16" s="30">
        <f>'Measure Assembly'!AZ18</f>
        <v>-5.4627245082786207</v>
      </c>
      <c r="L16" s="30">
        <f>'Measure Assembly'!BA18</f>
        <v>2.0492242794119604</v>
      </c>
      <c r="M16" s="30">
        <f>'Measure Assembly'!BB18</f>
        <v>0</v>
      </c>
      <c r="N16" s="30">
        <f>'Measure Assembly'!BC18</f>
        <v>0</v>
      </c>
      <c r="O16" s="30">
        <f>'Measure Assembly'!BD18</f>
        <v>0</v>
      </c>
      <c r="P16" s="30">
        <f>'Measure Assembly'!BE18</f>
        <v>0</v>
      </c>
      <c r="Q16" s="30">
        <f>'Measure Assembly'!BF18</f>
        <v>-8.9831609721237965E-2</v>
      </c>
      <c r="R16" s="30" t="str">
        <f>'Measure Assembly'!BG18</f>
        <v>ResSHWX</v>
      </c>
    </row>
    <row r="17" spans="1:18">
      <c r="A17" s="1" t="s">
        <v>29</v>
      </c>
      <c r="B17" s="1" t="str">
        <f t="shared" si="0"/>
        <v>Single FamilyRetailLEDReflectors and Outdoor250 to 664 lumensANYRetailLEDReflectors and Outdoor250 to 664 lumensANY</v>
      </c>
      <c r="C17" s="30" t="str">
        <f>'Measure Assembly'!AR19</f>
        <v>RetailLEDReflectors and Outdoor250 to 664 lumensANY</v>
      </c>
      <c r="D17" s="30" t="str">
        <f>'Measure Assembly'!AS19</f>
        <v>RetailLEDReflectors and Outdoor250 to 664 lumensANY</v>
      </c>
      <c r="E17" s="434">
        <f>'Measure Assembly'!AT19</f>
        <v>16.748983276961038</v>
      </c>
      <c r="F17" s="30">
        <f>'Measure Assembly'!AU19</f>
        <v>12</v>
      </c>
      <c r="G17" s="30">
        <f>'Measure Assembly'!AV19</f>
        <v>16.560431258856894</v>
      </c>
      <c r="H17" s="30">
        <f>'Measure Assembly'!AW19</f>
        <v>0</v>
      </c>
      <c r="I17" s="30" t="str">
        <f>'Measure Assembly'!AX19</f>
        <v>ResLIGHT</v>
      </c>
      <c r="J17" s="30">
        <f>'Measure Assembly'!AY19</f>
        <v>0</v>
      </c>
      <c r="K17" s="30">
        <f>'Measure Assembly'!AZ19</f>
        <v>-4.6350044381489033</v>
      </c>
      <c r="L17" s="30">
        <f>'Measure Assembly'!BA19</f>
        <v>2.1002897994909375</v>
      </c>
      <c r="M17" s="30">
        <f>'Measure Assembly'!BB19</f>
        <v>0</v>
      </c>
      <c r="N17" s="30">
        <f>'Measure Assembly'!BC19</f>
        <v>0</v>
      </c>
      <c r="O17" s="30">
        <f>'Measure Assembly'!BD19</f>
        <v>0</v>
      </c>
      <c r="P17" s="30">
        <f>'Measure Assembly'!BE19</f>
        <v>0</v>
      </c>
      <c r="Q17" s="30">
        <f>'Measure Assembly'!BF19</f>
        <v>-0.1956023035798862</v>
      </c>
      <c r="R17" s="30" t="str">
        <f>'Measure Assembly'!BG19</f>
        <v>ResSHWX</v>
      </c>
    </row>
    <row r="18" spans="1:18">
      <c r="A18" s="1" t="s">
        <v>29</v>
      </c>
      <c r="B18" s="1" t="str">
        <f t="shared" si="0"/>
        <v>Single FamilyRetailLEDReflectors and Outdoor665 to 1439 lumensANYRetailLEDReflectors and Outdoor665 to 1439 lumensANY</v>
      </c>
      <c r="C18" s="30" t="str">
        <f>'Measure Assembly'!AR20</f>
        <v>RetailLEDReflectors and Outdoor665 to 1439 lumensANY</v>
      </c>
      <c r="D18" s="30" t="str">
        <f>'Measure Assembly'!AS20</f>
        <v>RetailLEDReflectors and Outdoor665 to 1439 lumensANY</v>
      </c>
      <c r="E18" s="434">
        <f>'Measure Assembly'!AT20</f>
        <v>12.771455573754622</v>
      </c>
      <c r="F18" s="30">
        <f>'Measure Assembly'!AU20</f>
        <v>12</v>
      </c>
      <c r="G18" s="30">
        <f>'Measure Assembly'!AV20</f>
        <v>11.932893762945648</v>
      </c>
      <c r="H18" s="30">
        <f>'Measure Assembly'!AW20</f>
        <v>0</v>
      </c>
      <c r="I18" s="30" t="str">
        <f>'Measure Assembly'!AX20</f>
        <v>ResLIGHT</v>
      </c>
      <c r="J18" s="30">
        <f>'Measure Assembly'!AY20</f>
        <v>0</v>
      </c>
      <c r="K18" s="30">
        <f>'Measure Assembly'!AZ20</f>
        <v>-6.0025868409413388</v>
      </c>
      <c r="L18" s="30">
        <f>'Measure Assembly'!BA20</f>
        <v>2.7605785479478313</v>
      </c>
      <c r="M18" s="30">
        <f>'Measure Assembly'!BB20</f>
        <v>0</v>
      </c>
      <c r="N18" s="30">
        <f>'Measure Assembly'!BC20</f>
        <v>0</v>
      </c>
      <c r="O18" s="30">
        <f>'Measure Assembly'!BD20</f>
        <v>0</v>
      </c>
      <c r="P18" s="30">
        <f>'Measure Assembly'!BE20</f>
        <v>0</v>
      </c>
      <c r="Q18" s="30">
        <f>'Measure Assembly'!BF20</f>
        <v>-0.12712500006264277</v>
      </c>
      <c r="R18" s="30" t="str">
        <f>'Measure Assembly'!BG20</f>
        <v>ResSHWX</v>
      </c>
    </row>
    <row r="19" spans="1:18">
      <c r="A19" s="1" t="s">
        <v>29</v>
      </c>
      <c r="B19" s="1" t="str">
        <f t="shared" si="0"/>
        <v>Single FamilyRetailLEDReflectors and Outdoor1440 to 2600 lumensANYRetailLEDReflectors and Outdoor1440 to 2600 lumensANY</v>
      </c>
      <c r="C19" s="30" t="str">
        <f>'Measure Assembly'!AR21</f>
        <v>RetailLEDReflectors and Outdoor1440 to 2600 lumensANY</v>
      </c>
      <c r="D19" s="30" t="str">
        <f>'Measure Assembly'!AS21</f>
        <v>RetailLEDReflectors and Outdoor1440 to 2600 lumensANY</v>
      </c>
      <c r="E19" s="434">
        <f>'Measure Assembly'!AT21</f>
        <v>68.372098659970248</v>
      </c>
      <c r="F19" s="30">
        <f>'Measure Assembly'!AU21</f>
        <v>12</v>
      </c>
      <c r="G19" s="30">
        <f>'Measure Assembly'!AV21</f>
        <v>25.700056781560097</v>
      </c>
      <c r="H19" s="30">
        <f>'Measure Assembly'!AW21</f>
        <v>0</v>
      </c>
      <c r="I19" s="30" t="str">
        <f>'Measure Assembly'!AX21</f>
        <v>ResLIGHT</v>
      </c>
      <c r="J19" s="30">
        <f>'Measure Assembly'!AY21</f>
        <v>0</v>
      </c>
      <c r="K19" s="30">
        <f>'Measure Assembly'!AZ21</f>
        <v>-6.8379432184399001</v>
      </c>
      <c r="L19" s="30">
        <f>'Measure Assembly'!BA21</f>
        <v>1.8152462117520278</v>
      </c>
      <c r="M19" s="30">
        <f>'Measure Assembly'!BB21</f>
        <v>0</v>
      </c>
      <c r="N19" s="30">
        <f>'Measure Assembly'!BC21</f>
        <v>0</v>
      </c>
      <c r="O19" s="30">
        <f>'Measure Assembly'!BD21</f>
        <v>0</v>
      </c>
      <c r="P19" s="30">
        <f>'Measure Assembly'!BE21</f>
        <v>0</v>
      </c>
      <c r="Q19" s="30">
        <f>'Measure Assembly'!BF21</f>
        <v>-0.21775732072721576</v>
      </c>
      <c r="R19" s="30" t="str">
        <f>'Measure Assembly'!BG21</f>
        <v>ResSHWX</v>
      </c>
    </row>
    <row r="20" spans="1:18">
      <c r="A20" s="1" t="s">
        <v>29</v>
      </c>
      <c r="B20" s="1" t="str">
        <f t="shared" si="0"/>
        <v>Single FamilyRetailLEDThree-Way250 to 664 lumensANYRetailLEDThree-Way250 to 664 lumensANY</v>
      </c>
      <c r="C20" s="30" t="str">
        <f>'Measure Assembly'!AR22</f>
        <v>RetailLEDThree-Way250 to 664 lumensANY</v>
      </c>
      <c r="D20" s="30" t="str">
        <f>'Measure Assembly'!AS22</f>
        <v>RetailLEDThree-Way250 to 664 lumensANY</v>
      </c>
      <c r="E20" s="434">
        <f>'Measure Assembly'!AT22</f>
        <v>39.804567207743872</v>
      </c>
      <c r="F20" s="30">
        <f>'Measure Assembly'!AU22</f>
        <v>12</v>
      </c>
      <c r="G20" s="30">
        <f>'Measure Assembly'!AV22</f>
        <v>18.686832380810259</v>
      </c>
      <c r="H20" s="30">
        <f>'Measure Assembly'!AW22</f>
        <v>0</v>
      </c>
      <c r="I20" s="30" t="str">
        <f>'Measure Assembly'!AX22</f>
        <v>ResLIGHT</v>
      </c>
      <c r="J20" s="30">
        <f>'Measure Assembly'!AY22</f>
        <v>0</v>
      </c>
      <c r="K20" s="30">
        <f>'Measure Assembly'!AZ22</f>
        <v>-2.5086033161955381</v>
      </c>
      <c r="L20" s="30">
        <f>'Measure Assembly'!BA22</f>
        <v>1.9664811264199897</v>
      </c>
      <c r="M20" s="30">
        <f>'Measure Assembly'!BB22</f>
        <v>0</v>
      </c>
      <c r="N20" s="30">
        <f>'Measure Assembly'!BC22</f>
        <v>0</v>
      </c>
      <c r="O20" s="30">
        <f>'Measure Assembly'!BD22</f>
        <v>0</v>
      </c>
      <c r="P20" s="30">
        <f>'Measure Assembly'!BE22</f>
        <v>0</v>
      </c>
      <c r="Q20" s="30">
        <f>'Measure Assembly'!BF22</f>
        <v>-0.49775349711117017</v>
      </c>
      <c r="R20" s="30" t="str">
        <f>'Measure Assembly'!BG22</f>
        <v>ResSHWX</v>
      </c>
    </row>
    <row r="21" spans="1:18">
      <c r="A21" s="1" t="s">
        <v>29</v>
      </c>
      <c r="B21" s="1" t="str">
        <f t="shared" si="0"/>
        <v>Single FamilyRetailLEDThree-Way665 to 1439 lumensANYRetailLEDThree-Way665 to 1439 lumensANY</v>
      </c>
      <c r="C21" s="30" t="str">
        <f>'Measure Assembly'!AR23</f>
        <v>RetailLEDThree-Way665 to 1439 lumensANY</v>
      </c>
      <c r="D21" s="30" t="str">
        <f>'Measure Assembly'!AS23</f>
        <v>RetailLEDThree-Way665 to 1439 lumensANY</v>
      </c>
      <c r="E21" s="434">
        <f>'Measure Assembly'!AT23</f>
        <v>42.875942858198606</v>
      </c>
      <c r="F21" s="30">
        <f>'Measure Assembly'!AU23</f>
        <v>12</v>
      </c>
      <c r="G21" s="30">
        <f>'Measure Assembly'!AV23</f>
        <v>11.915035896161536</v>
      </c>
      <c r="H21" s="30">
        <f>'Measure Assembly'!AW23</f>
        <v>0</v>
      </c>
      <c r="I21" s="30" t="str">
        <f>'Measure Assembly'!AX23</f>
        <v>ResLIGHT</v>
      </c>
      <c r="J21" s="30">
        <f>'Measure Assembly'!AY23</f>
        <v>0</v>
      </c>
      <c r="K21" s="30">
        <f>'Measure Assembly'!AZ23</f>
        <v>-6.020444707725451</v>
      </c>
      <c r="L21" s="30">
        <f>'Measure Assembly'!BA23</f>
        <v>3.7098631590053808</v>
      </c>
      <c r="M21" s="30">
        <f>'Measure Assembly'!BB23</f>
        <v>0</v>
      </c>
      <c r="N21" s="30">
        <f>'Measure Assembly'!BC23</f>
        <v>0</v>
      </c>
      <c r="O21" s="30">
        <f>'Measure Assembly'!BD23</f>
        <v>0</v>
      </c>
      <c r="P21" s="30">
        <f>'Measure Assembly'!BE23</f>
        <v>0</v>
      </c>
      <c r="Q21" s="30">
        <f>'Measure Assembly'!BF23</f>
        <v>-0.5346867079133425</v>
      </c>
      <c r="R21" s="30" t="str">
        <f>'Measure Assembly'!BG23</f>
        <v>ResSHWX</v>
      </c>
    </row>
    <row r="22" spans="1:18">
      <c r="A22" s="1" t="s">
        <v>29</v>
      </c>
      <c r="B22" s="1" t="str">
        <f t="shared" si="0"/>
        <v>Single FamilyRetailLEDThree-Way1440 to 2600 lumensANYRetailLEDThree-Way1440 to 2600 lumensANY</v>
      </c>
      <c r="C22" s="30" t="str">
        <f>'Measure Assembly'!AR24</f>
        <v>RetailLEDThree-Way1440 to 2600 lumensANY</v>
      </c>
      <c r="D22" s="30" t="str">
        <f>'Measure Assembly'!AS24</f>
        <v>RetailLEDThree-Way1440 to 2600 lumensANY</v>
      </c>
      <c r="E22" s="434">
        <f>'Measure Assembly'!AT24</f>
        <v>38.367509726650653</v>
      </c>
      <c r="F22" s="30">
        <f>'Measure Assembly'!AU24</f>
        <v>12</v>
      </c>
      <c r="G22" s="30">
        <f>'Measure Assembly'!AV24</f>
        <v>26.725633011201086</v>
      </c>
      <c r="H22" s="30">
        <f>'Measure Assembly'!AW24</f>
        <v>0</v>
      </c>
      <c r="I22" s="30" t="str">
        <f>'Measure Assembly'!AX24</f>
        <v>ResLIGHT</v>
      </c>
      <c r="J22" s="30">
        <f>'Measure Assembly'!AY24</f>
        <v>0</v>
      </c>
      <c r="K22" s="30">
        <f>'Measure Assembly'!AZ24</f>
        <v>-5.8123669887989093</v>
      </c>
      <c r="L22" s="30">
        <f>'Measure Assembly'!BA24</f>
        <v>1.7652962324402386</v>
      </c>
      <c r="M22" s="30">
        <f>'Measure Assembly'!BB24</f>
        <v>0</v>
      </c>
      <c r="N22" s="30">
        <f>'Measure Assembly'!BC24</f>
        <v>0</v>
      </c>
      <c r="O22" s="30">
        <f>'Measure Assembly'!BD24</f>
        <v>0</v>
      </c>
      <c r="P22" s="30">
        <f>'Measure Assembly'!BE24</f>
        <v>0</v>
      </c>
      <c r="Q22" s="30">
        <f>'Measure Assembly'!BF24</f>
        <v>-0.47770686443381255</v>
      </c>
      <c r="R22" s="30" t="str">
        <f>'Measure Assembly'!BG24</f>
        <v>ResSHWX</v>
      </c>
    </row>
    <row r="23" spans="1:18" customFormat="1">
      <c r="A23" s="1"/>
      <c r="B23" s="1"/>
      <c r="C23" s="30"/>
      <c r="D23" s="30"/>
      <c r="E23" s="434"/>
      <c r="F23" s="30"/>
      <c r="G23" s="30"/>
      <c r="H23" s="30"/>
      <c r="I23" s="30"/>
      <c r="J23" s="30"/>
      <c r="K23" s="30"/>
      <c r="L23" s="30"/>
      <c r="M23" s="30"/>
      <c r="N23" s="30"/>
      <c r="O23" s="30"/>
      <c r="P23" s="30"/>
      <c r="Q23" s="30"/>
      <c r="R23" s="30"/>
    </row>
    <row r="24" spans="1:18" customFormat="1">
      <c r="A24" s="1"/>
      <c r="B24" s="1"/>
      <c r="C24" s="30"/>
      <c r="D24" s="30"/>
      <c r="E24" s="434"/>
      <c r="F24" s="30"/>
      <c r="G24" s="30"/>
      <c r="H24" s="30"/>
      <c r="I24" s="30"/>
      <c r="J24" s="30"/>
      <c r="K24" s="30"/>
      <c r="L24" s="30"/>
      <c r="M24" s="30"/>
      <c r="N24" s="30"/>
      <c r="O24" s="30"/>
      <c r="P24" s="30"/>
      <c r="Q24" s="30"/>
      <c r="R24" s="30"/>
    </row>
    <row r="25" spans="1:18" customFormat="1">
      <c r="A25" s="1"/>
      <c r="B25" s="1"/>
      <c r="C25" s="30"/>
      <c r="D25" s="30"/>
      <c r="E25" s="434"/>
      <c r="F25" s="30"/>
      <c r="G25" s="30"/>
      <c r="H25" s="30"/>
      <c r="I25" s="30"/>
      <c r="J25" s="30"/>
      <c r="K25" s="30"/>
      <c r="L25" s="30"/>
      <c r="M25" s="30"/>
      <c r="N25" s="30"/>
      <c r="O25" s="30"/>
      <c r="P25" s="30"/>
      <c r="Q25" s="30"/>
      <c r="R25" s="30"/>
    </row>
    <row r="26" spans="1:18" customFormat="1">
      <c r="A26" s="1"/>
      <c r="B26" s="1"/>
      <c r="C26" s="30"/>
      <c r="D26" s="30"/>
      <c r="E26" s="434"/>
      <c r="F26" s="30"/>
      <c r="G26" s="30"/>
      <c r="H26" s="30"/>
      <c r="I26" s="30"/>
      <c r="J26" s="30"/>
      <c r="K26" s="30"/>
      <c r="L26" s="30"/>
      <c r="M26" s="30"/>
      <c r="N26" s="30"/>
      <c r="O26" s="30"/>
      <c r="P26" s="30"/>
      <c r="Q26" s="30"/>
      <c r="R26" s="30"/>
    </row>
    <row r="27" spans="1:18" customFormat="1">
      <c r="A27" s="1"/>
      <c r="B27" s="1"/>
      <c r="C27" s="30"/>
      <c r="D27" s="30"/>
      <c r="E27" s="434"/>
      <c r="F27" s="30"/>
      <c r="G27" s="30"/>
      <c r="H27" s="30"/>
      <c r="I27" s="30"/>
      <c r="J27" s="30"/>
      <c r="K27" s="30"/>
      <c r="L27" s="30"/>
      <c r="M27" s="30"/>
      <c r="N27" s="30"/>
      <c r="O27" s="30"/>
      <c r="P27" s="30"/>
      <c r="Q27" s="30"/>
      <c r="R27" s="30"/>
    </row>
    <row r="28" spans="1:18" customFormat="1">
      <c r="A28" s="1"/>
      <c r="B28" s="1"/>
      <c r="C28" s="30"/>
      <c r="D28" s="30"/>
      <c r="E28" s="434"/>
      <c r="F28" s="30"/>
      <c r="G28" s="30"/>
      <c r="H28" s="30"/>
      <c r="I28" s="30"/>
      <c r="J28" s="30"/>
      <c r="K28" s="30"/>
      <c r="L28" s="30"/>
      <c r="M28" s="30"/>
      <c r="N28" s="30"/>
      <c r="O28" s="30"/>
      <c r="P28" s="30"/>
      <c r="Q28" s="30"/>
      <c r="R28" s="30"/>
    </row>
    <row r="29" spans="1:18" customFormat="1">
      <c r="A29" s="1"/>
      <c r="B29" s="1"/>
      <c r="C29" s="30"/>
      <c r="D29" s="30"/>
      <c r="E29" s="434"/>
      <c r="F29" s="30"/>
      <c r="G29" s="30"/>
      <c r="H29" s="30"/>
      <c r="I29" s="30"/>
      <c r="J29" s="30"/>
      <c r="K29" s="30"/>
      <c r="L29" s="30"/>
      <c r="M29" s="30"/>
      <c r="N29" s="30"/>
      <c r="O29" s="30"/>
      <c r="P29" s="30"/>
      <c r="Q29" s="30"/>
      <c r="R29" s="30"/>
    </row>
    <row r="30" spans="1:18" customFormat="1">
      <c r="A30" s="1"/>
      <c r="B30" s="1"/>
      <c r="C30" s="30"/>
      <c r="D30" s="30"/>
      <c r="E30" s="434"/>
      <c r="F30" s="30"/>
      <c r="G30" s="30"/>
      <c r="H30" s="30"/>
      <c r="I30" s="30"/>
      <c r="J30" s="30"/>
      <c r="K30" s="30"/>
      <c r="L30" s="30"/>
      <c r="M30" s="30"/>
      <c r="N30" s="30"/>
      <c r="O30" s="30"/>
      <c r="P30" s="30"/>
      <c r="Q30" s="30"/>
      <c r="R30" s="30"/>
    </row>
    <row r="31" spans="1:18" customFormat="1">
      <c r="A31" s="1"/>
      <c r="B31" s="1"/>
      <c r="C31" s="30"/>
      <c r="D31" s="30"/>
      <c r="E31" s="434"/>
      <c r="F31" s="30"/>
      <c r="G31" s="30"/>
      <c r="H31" s="30"/>
      <c r="I31" s="30"/>
      <c r="J31" s="30"/>
      <c r="K31" s="30"/>
      <c r="L31" s="30"/>
      <c r="M31" s="30"/>
      <c r="N31" s="30"/>
      <c r="O31" s="30"/>
      <c r="P31" s="30"/>
      <c r="Q31" s="30"/>
      <c r="R31" s="30"/>
    </row>
    <row r="32" spans="1:18" customFormat="1">
      <c r="A32" s="1"/>
      <c r="B32" s="1"/>
      <c r="C32" s="30"/>
      <c r="D32" s="30"/>
      <c r="E32" s="434"/>
      <c r="F32" s="30"/>
      <c r="G32" s="30"/>
      <c r="H32" s="30"/>
      <c r="I32" s="30"/>
      <c r="J32" s="30"/>
      <c r="K32" s="30"/>
      <c r="L32" s="30"/>
      <c r="M32" s="30"/>
      <c r="N32" s="30"/>
      <c r="O32" s="30"/>
      <c r="P32" s="30"/>
      <c r="Q32" s="30"/>
      <c r="R32" s="30"/>
    </row>
    <row r="33" spans="1:18" customFormat="1">
      <c r="A33" s="1"/>
      <c r="B33" s="1"/>
      <c r="C33" s="30"/>
      <c r="D33" s="30"/>
      <c r="E33" s="434"/>
      <c r="F33" s="30"/>
      <c r="G33" s="30"/>
      <c r="H33" s="30"/>
      <c r="I33" s="30"/>
      <c r="J33" s="30"/>
      <c r="K33" s="30"/>
      <c r="L33" s="30"/>
      <c r="M33" s="30"/>
      <c r="N33" s="30"/>
      <c r="O33" s="30"/>
      <c r="P33" s="30"/>
      <c r="Q33" s="30"/>
      <c r="R33" s="30"/>
    </row>
    <row r="34" spans="1:18" customFormat="1">
      <c r="A34" s="1"/>
      <c r="B34" s="1"/>
      <c r="C34" s="30"/>
      <c r="D34" s="30"/>
      <c r="E34" s="434"/>
      <c r="F34" s="30"/>
      <c r="G34" s="30"/>
      <c r="H34" s="30"/>
      <c r="I34" s="30"/>
      <c r="J34" s="30"/>
      <c r="K34" s="30"/>
      <c r="L34" s="30"/>
      <c r="M34" s="30"/>
      <c r="N34" s="30"/>
      <c r="O34" s="30"/>
      <c r="P34" s="30"/>
      <c r="Q34" s="30"/>
      <c r="R34" s="30"/>
    </row>
    <row r="35" spans="1:18" customFormat="1">
      <c r="A35" s="1"/>
      <c r="B35" s="1"/>
      <c r="C35" s="30"/>
      <c r="D35" s="30"/>
      <c r="E35" s="434"/>
      <c r="F35" s="30"/>
      <c r="G35" s="30"/>
      <c r="H35" s="30"/>
      <c r="I35" s="30"/>
      <c r="J35" s="30"/>
      <c r="K35" s="30"/>
      <c r="L35" s="30"/>
      <c r="M35" s="30"/>
      <c r="N35" s="30"/>
      <c r="O35" s="30"/>
      <c r="P35" s="30"/>
      <c r="Q35" s="30"/>
      <c r="R35" s="30"/>
    </row>
    <row r="36" spans="1:18" customFormat="1">
      <c r="A36" s="1"/>
      <c r="B36" s="1"/>
      <c r="C36" s="30"/>
      <c r="D36" s="30"/>
      <c r="E36" s="434"/>
      <c r="F36" s="30"/>
      <c r="G36" s="30"/>
      <c r="H36" s="30"/>
      <c r="I36" s="30"/>
      <c r="J36" s="30"/>
      <c r="K36" s="30"/>
      <c r="L36" s="30"/>
      <c r="M36" s="30"/>
      <c r="N36" s="30"/>
      <c r="O36" s="30"/>
      <c r="P36" s="30"/>
      <c r="Q36" s="30"/>
      <c r="R36" s="30"/>
    </row>
    <row r="37" spans="1:18" customFormat="1">
      <c r="A37" s="1"/>
      <c r="B37" s="1"/>
      <c r="C37" s="30"/>
      <c r="D37" s="30"/>
      <c r="E37" s="434"/>
      <c r="F37" s="30"/>
      <c r="G37" s="30"/>
      <c r="H37" s="30"/>
      <c r="I37" s="30"/>
      <c r="J37" s="30"/>
      <c r="K37" s="30"/>
      <c r="L37" s="30"/>
      <c r="M37" s="30"/>
      <c r="N37" s="30"/>
      <c r="O37" s="30"/>
      <c r="P37" s="30"/>
      <c r="Q37" s="30"/>
      <c r="R37" s="30"/>
    </row>
    <row r="38" spans="1:18" customFormat="1">
      <c r="B38" s="1"/>
      <c r="C38" s="30"/>
      <c r="D38" s="30"/>
      <c r="E38" s="30"/>
      <c r="F38" s="30"/>
      <c r="G38" s="30"/>
      <c r="H38" s="30"/>
      <c r="I38" s="30"/>
      <c r="J38" s="30"/>
      <c r="K38" s="30"/>
      <c r="L38" s="30"/>
      <c r="M38" s="30"/>
      <c r="N38" s="30"/>
      <c r="O38" s="30"/>
      <c r="P38" s="30"/>
      <c r="Q38" s="30"/>
      <c r="R38" s="30"/>
    </row>
    <row r="39" spans="1:18" customFormat="1">
      <c r="B39" s="1"/>
      <c r="C39" s="30"/>
      <c r="D39" s="30"/>
      <c r="E39" s="30"/>
      <c r="F39" s="30"/>
      <c r="G39" s="30"/>
      <c r="H39" s="30"/>
      <c r="I39" s="30"/>
      <c r="J39" s="30"/>
      <c r="K39" s="30"/>
      <c r="L39" s="30"/>
      <c r="M39" s="30"/>
      <c r="N39" s="30"/>
      <c r="O39" s="30"/>
      <c r="P39" s="30"/>
      <c r="Q39" s="30"/>
      <c r="R39" s="30"/>
    </row>
    <row r="40" spans="1:18" customFormat="1">
      <c r="B40" s="1"/>
      <c r="C40" s="30"/>
      <c r="D40" s="30"/>
      <c r="E40" s="30"/>
      <c r="F40" s="30"/>
      <c r="G40" s="30"/>
      <c r="H40" s="30"/>
      <c r="I40" s="30"/>
      <c r="J40" s="30"/>
      <c r="K40" s="30"/>
      <c r="L40" s="30"/>
      <c r="M40" s="30"/>
      <c r="N40" s="30"/>
      <c r="O40" s="30"/>
      <c r="P40" s="30"/>
      <c r="Q40" s="30"/>
      <c r="R40" s="30"/>
    </row>
    <row r="41" spans="1:18" customFormat="1">
      <c r="B41" s="1"/>
      <c r="C41" s="30"/>
      <c r="D41" s="30"/>
      <c r="E41" s="30"/>
      <c r="F41" s="30"/>
      <c r="G41" s="30"/>
      <c r="H41" s="30"/>
      <c r="I41" s="30"/>
      <c r="J41" s="30"/>
      <c r="K41" s="30"/>
      <c r="L41" s="30"/>
      <c r="M41" s="30"/>
      <c r="N41" s="30"/>
      <c r="O41" s="30"/>
      <c r="P41" s="30"/>
      <c r="Q41" s="30"/>
      <c r="R41" s="30"/>
    </row>
    <row r="42" spans="1:18" customFormat="1">
      <c r="B42" s="1"/>
      <c r="C42" s="30"/>
      <c r="D42" s="30"/>
      <c r="E42" s="30"/>
      <c r="F42" s="30"/>
      <c r="G42" s="30"/>
      <c r="H42" s="30"/>
      <c r="I42" s="30"/>
      <c r="J42" s="30"/>
      <c r="K42" s="30"/>
      <c r="L42" s="30"/>
      <c r="M42" s="30"/>
      <c r="N42" s="30"/>
      <c r="O42" s="30"/>
      <c r="P42" s="30"/>
      <c r="Q42" s="30"/>
      <c r="R42" s="30"/>
    </row>
    <row r="43" spans="1:18" customFormat="1">
      <c r="B43" s="1"/>
      <c r="C43" s="30"/>
      <c r="D43" s="30"/>
      <c r="E43" s="30"/>
      <c r="F43" s="30"/>
      <c r="G43" s="30"/>
      <c r="H43" s="30"/>
      <c r="I43" s="30"/>
      <c r="J43" s="30"/>
      <c r="K43" s="30"/>
      <c r="L43" s="30"/>
      <c r="M43" s="30"/>
      <c r="N43" s="30"/>
      <c r="O43" s="30"/>
      <c r="P43" s="30"/>
      <c r="Q43" s="30"/>
      <c r="R43" s="30"/>
    </row>
    <row r="44" spans="1:18" customFormat="1">
      <c r="C44" s="30"/>
      <c r="D44" s="30"/>
      <c r="E44" s="30"/>
      <c r="F44" s="30"/>
      <c r="G44" s="30"/>
      <c r="H44" s="30"/>
      <c r="I44" s="30"/>
      <c r="J44" s="30"/>
      <c r="K44" s="30"/>
      <c r="L44" s="30"/>
      <c r="M44" s="30"/>
      <c r="N44" s="30"/>
      <c r="O44" s="30"/>
      <c r="P44" s="30"/>
      <c r="Q44" s="30"/>
      <c r="R44" s="30"/>
    </row>
    <row r="45" spans="1:18" customFormat="1"/>
    <row r="46" spans="1:18" customFormat="1"/>
    <row r="47" spans="1:18" customFormat="1"/>
    <row r="48" spans="1:1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spans="5:103">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row>
    <row r="178" spans="5:103">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row>
    <row r="179" spans="5:103">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row>
    <row r="180" spans="5:103">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row>
    <row r="181" spans="5:103">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row>
    <row r="182" spans="5:103">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row>
    <row r="183" spans="5:103">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row>
    <row r="184" spans="5:103">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row>
    <row r="185" spans="5:103">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row>
    <row r="186" spans="5:103">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row>
    <row r="187" spans="5:103">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row>
    <row r="188" spans="5:103">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row>
    <row r="189" spans="5:103">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row>
    <row r="190" spans="5:103">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row>
    <row r="191" spans="5:103">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row>
    <row r="192" spans="5:103">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row>
    <row r="193" spans="5:103">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row>
  </sheetData>
  <dataConsolidate/>
  <mergeCells count="2">
    <mergeCell ref="K6:P6"/>
    <mergeCell ref="Q6:R6"/>
  </mergeCells>
  <pageMargins left="0.75" right="0.75" top="1" bottom="1" header="0.5" footer="0.5"/>
  <pageSetup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sheetPr codeName="Sheet11"/>
  <dimension ref="A1:BI234"/>
  <sheetViews>
    <sheetView topLeftCell="K4" workbookViewId="0">
      <selection activeCell="T21" sqref="T21"/>
    </sheetView>
  </sheetViews>
  <sheetFormatPr defaultRowHeight="12.75"/>
  <cols>
    <col min="1" max="1" width="9.140625" style="140"/>
    <col min="2" max="2" width="20.7109375" style="140" customWidth="1"/>
    <col min="3" max="5" width="6" style="140" customWidth="1"/>
    <col min="6" max="7" width="9.140625" style="1"/>
    <col min="8" max="8" width="20.5703125" style="1" customWidth="1"/>
    <col min="9" max="9" width="27.5703125" style="1" customWidth="1"/>
    <col min="10" max="10" width="21.140625" style="1" customWidth="1"/>
    <col min="11" max="11" width="9.140625" style="1"/>
    <col min="12" max="12" width="4.5703125" style="1" customWidth="1"/>
    <col min="13" max="13" width="32" style="1" customWidth="1"/>
    <col min="14" max="14" width="44.140625" style="1" customWidth="1"/>
    <col min="15" max="26" width="9.140625" style="1"/>
    <col min="27" max="27" width="10.28515625" style="1" bestFit="1" customWidth="1"/>
    <col min="28" max="32" width="9.140625" style="1"/>
    <col min="33" max="33" width="20.5703125" style="1" bestFit="1" customWidth="1"/>
    <col min="34" max="43" width="9.140625" style="1"/>
    <col min="44" max="44" width="9.140625" style="1" customWidth="1"/>
    <col min="45" max="60" width="9.140625" style="1"/>
    <col min="62" max="16384" width="9.140625" style="1"/>
  </cols>
  <sheetData>
    <row r="1" spans="1:61">
      <c r="B1" s="141" t="s">
        <v>397</v>
      </c>
      <c r="C1" s="141" t="s">
        <v>25</v>
      </c>
      <c r="D1" s="141" t="s">
        <v>398</v>
      </c>
      <c r="E1" s="141" t="s">
        <v>399</v>
      </c>
      <c r="AQ1" s="142"/>
      <c r="AR1" s="143"/>
    </row>
    <row r="2" spans="1:61" ht="15">
      <c r="B2" s="140" t="s">
        <v>400</v>
      </c>
      <c r="C2" s="140" t="s">
        <v>401</v>
      </c>
      <c r="D2" s="140" t="s">
        <v>402</v>
      </c>
      <c r="E2" s="144" t="s">
        <v>403</v>
      </c>
      <c r="AQ2" s="145"/>
      <c r="AR2" s="146"/>
    </row>
    <row r="3" spans="1:61" ht="15">
      <c r="C3" s="140" t="s">
        <v>404</v>
      </c>
      <c r="D3" s="140" t="s">
        <v>405</v>
      </c>
      <c r="E3" s="147" t="s">
        <v>406</v>
      </c>
      <c r="AQ3" s="148"/>
      <c r="AR3" s="149"/>
    </row>
    <row r="4" spans="1:61" ht="15">
      <c r="D4" s="140" t="s">
        <v>407</v>
      </c>
      <c r="E4" s="147" t="s">
        <v>408</v>
      </c>
      <c r="AQ4" s="150"/>
    </row>
    <row r="5" spans="1:61">
      <c r="D5" s="140" t="s">
        <v>409</v>
      </c>
      <c r="AQ5" s="150"/>
    </row>
    <row r="6" spans="1:61">
      <c r="D6" s="140" t="s">
        <v>410</v>
      </c>
    </row>
    <row r="7" spans="1:61" ht="16.5" customHeight="1">
      <c r="B7" s="140">
        <v>1</v>
      </c>
      <c r="C7" s="140">
        <v>2</v>
      </c>
      <c r="D7" s="140">
        <v>5</v>
      </c>
      <c r="E7" s="140">
        <v>3</v>
      </c>
    </row>
    <row r="8" spans="1:61">
      <c r="B8" s="140">
        <f>B7*C8</f>
        <v>30</v>
      </c>
      <c r="C8" s="140">
        <f>C7*D8</f>
        <v>30</v>
      </c>
      <c r="D8" s="140">
        <f>D7*E8</f>
        <v>15</v>
      </c>
      <c r="E8" s="140">
        <v>3</v>
      </c>
      <c r="T8" s="151" t="s">
        <v>411</v>
      </c>
      <c r="U8" s="152"/>
      <c r="V8" s="152"/>
      <c r="X8" s="153" t="s">
        <v>412</v>
      </c>
      <c r="Y8" s="153"/>
      <c r="Z8" s="153"/>
      <c r="AA8" s="153"/>
      <c r="AB8" s="153"/>
      <c r="AD8" s="154" t="s">
        <v>413</v>
      </c>
      <c r="AE8" s="154"/>
      <c r="AG8" s="155" t="s">
        <v>414</v>
      </c>
      <c r="AH8" s="155"/>
      <c r="AJ8" s="156" t="s">
        <v>415</v>
      </c>
      <c r="AK8" s="157"/>
      <c r="AL8" s="157"/>
      <c r="AM8" s="157"/>
      <c r="AN8" s="157"/>
      <c r="AP8" s="155" t="s">
        <v>416</v>
      </c>
      <c r="AR8" s="15" t="s">
        <v>6</v>
      </c>
      <c r="AS8" s="16"/>
      <c r="AT8" s="16"/>
      <c r="AU8" s="16"/>
      <c r="AV8" s="16"/>
      <c r="AW8" s="16"/>
      <c r="AX8" s="17"/>
      <c r="AY8" s="18"/>
      <c r="AZ8" s="525" t="s">
        <v>7</v>
      </c>
      <c r="BA8" s="526"/>
      <c r="BB8" s="526"/>
      <c r="BC8" s="526"/>
      <c r="BD8" s="526"/>
      <c r="BE8" s="527"/>
      <c r="BF8" s="528" t="s">
        <v>8</v>
      </c>
      <c r="BG8" s="529"/>
    </row>
    <row r="9" spans="1:61" ht="102">
      <c r="A9" s="140" t="s">
        <v>417</v>
      </c>
      <c r="G9" s="158" t="s">
        <v>397</v>
      </c>
      <c r="H9" s="158" t="s">
        <v>418</v>
      </c>
      <c r="I9" s="158" t="s">
        <v>398</v>
      </c>
      <c r="J9" s="158" t="s">
        <v>419</v>
      </c>
      <c r="K9" s="158" t="s">
        <v>420</v>
      </c>
      <c r="L9" s="159"/>
      <c r="M9" s="158" t="s">
        <v>421</v>
      </c>
      <c r="N9" s="158" t="s">
        <v>422</v>
      </c>
      <c r="O9" s="158" t="s">
        <v>423</v>
      </c>
      <c r="P9" s="158" t="s">
        <v>424</v>
      </c>
      <c r="Q9" s="158" t="s">
        <v>425</v>
      </c>
      <c r="R9" s="158" t="s">
        <v>426</v>
      </c>
      <c r="S9" s="158"/>
      <c r="T9" s="158" t="s">
        <v>427</v>
      </c>
      <c r="U9" s="158" t="s">
        <v>709</v>
      </c>
      <c r="V9" s="158" t="s">
        <v>428</v>
      </c>
      <c r="W9" s="158"/>
      <c r="X9" s="158" t="s">
        <v>429</v>
      </c>
      <c r="Y9" s="158" t="s">
        <v>427</v>
      </c>
      <c r="Z9" s="158" t="s">
        <v>430</v>
      </c>
      <c r="AA9" s="158" t="s">
        <v>431</v>
      </c>
      <c r="AB9" s="158" t="s">
        <v>428</v>
      </c>
      <c r="AD9" s="158" t="s">
        <v>432</v>
      </c>
      <c r="AE9" s="158" t="s">
        <v>433</v>
      </c>
      <c r="AG9" s="158" t="s">
        <v>434</v>
      </c>
      <c r="AH9" s="158" t="s">
        <v>435</v>
      </c>
      <c r="AJ9" s="158" t="s">
        <v>436</v>
      </c>
      <c r="AK9" s="158" t="s">
        <v>437</v>
      </c>
      <c r="AL9" s="158" t="s">
        <v>438</v>
      </c>
      <c r="AM9" s="158" t="s">
        <v>439</v>
      </c>
      <c r="AN9" s="158" t="s">
        <v>440</v>
      </c>
      <c r="AP9" s="158" t="s">
        <v>441</v>
      </c>
      <c r="AR9" s="24" t="s">
        <v>9</v>
      </c>
      <c r="AS9" s="24" t="s">
        <v>10</v>
      </c>
      <c r="AT9" s="24" t="s">
        <v>11</v>
      </c>
      <c r="AU9" s="24" t="s">
        <v>12</v>
      </c>
      <c r="AV9" s="24" t="s">
        <v>13</v>
      </c>
      <c r="AW9" s="25" t="s">
        <v>14</v>
      </c>
      <c r="AX9" s="24" t="s">
        <v>15</v>
      </c>
      <c r="AY9" s="27" t="s">
        <v>16</v>
      </c>
      <c r="AZ9" s="27" t="s">
        <v>17</v>
      </c>
      <c r="BA9" s="27" t="s">
        <v>18</v>
      </c>
      <c r="BB9" s="27" t="s">
        <v>19</v>
      </c>
      <c r="BC9" s="27" t="s">
        <v>20</v>
      </c>
      <c r="BD9" s="27" t="s">
        <v>21</v>
      </c>
      <c r="BE9" s="27" t="s">
        <v>22</v>
      </c>
      <c r="BF9" s="28" t="s">
        <v>23</v>
      </c>
      <c r="BG9" s="27" t="s">
        <v>15</v>
      </c>
    </row>
    <row r="10" spans="1:61">
      <c r="A10" s="140">
        <v>1</v>
      </c>
      <c r="B10" s="140">
        <f t="shared" ref="B10:D25" si="0">MOD(FLOOR(($A10-1)/C$8,1),B$7)+1</f>
        <v>1</v>
      </c>
      <c r="C10" s="140">
        <f t="shared" si="0"/>
        <v>1</v>
      </c>
      <c r="D10" s="140">
        <f>MOD(FLOOR(($A10-1)/E$8,1),D$7)+1</f>
        <v>1</v>
      </c>
      <c r="E10" s="140">
        <f>MOD($A10-1,E$8)+1</f>
        <v>1</v>
      </c>
      <c r="G10" s="2" t="str">
        <f>INDEX(B$2:B$6,B10)</f>
        <v>Retail</v>
      </c>
      <c r="H10" s="2" t="str">
        <f t="shared" ref="H10:J25" si="1">INDEX(C$2:C$6,C10)</f>
        <v>LED</v>
      </c>
      <c r="I10" s="2" t="str">
        <f t="shared" si="1"/>
        <v>Decorative and Mini-Base</v>
      </c>
      <c r="J10" s="2" t="str">
        <f t="shared" si="1"/>
        <v>250 to 664 lumens</v>
      </c>
      <c r="K10" s="2" t="s">
        <v>442</v>
      </c>
      <c r="M10" s="1" t="str">
        <f>I10&amp;J10</f>
        <v>Decorative and Mini-Base250 to 664 lumens</v>
      </c>
      <c r="N10" s="1" t="str">
        <f>CONCATENATE(H10,I10,J10)</f>
        <v>LEDDecorative and Mini-Base250 to 664 lumens</v>
      </c>
      <c r="O10" s="1" t="str">
        <f>CONCATENATE(G10,H10,I10,J10,K10)</f>
        <v>RetailLEDDecorative and Mini-Base250 to 664 lumensANY</v>
      </c>
      <c r="P10" s="37">
        <f>VLOOKUP($M10,'Summary Tables'!$E$49:$N$63,7,FALSE)</f>
        <v>1.7916917647822357</v>
      </c>
      <c r="Q10" s="37">
        <f>VLOOKUP($M10,'Summary Tables'!$E$49:$N$63,9,FALSE)</f>
        <v>0.95039973261931343</v>
      </c>
      <c r="R10" s="37">
        <f>VLOOKUP($M10,'Summary Tables'!$E$49:$N$63,10,FALSE)</f>
        <v>416.60324051305236</v>
      </c>
      <c r="S10" s="37"/>
      <c r="T10" s="37">
        <f>IF($I10="General Purpose and Dimmable",$R10/45,VLOOKUP($M10,'Summary Tables'!$E$49:$N$63,5,FALSE))</f>
        <v>37</v>
      </c>
      <c r="U10" s="160">
        <f>IF($I10="General Purpose and Dimmable",VLOOKUP($J10,'CFL and LED Cost'!$C$73:$E$75,3,FALSE),VLOOKUP($M10,'Summary Tables'!$E$49:$N$63,6,FALSE))</f>
        <v>1.6401583657682686</v>
      </c>
      <c r="V10" s="37">
        <f>IF($I10="General Purpose and Dimmable",Lifetime!$B$5/(P10*365.25),VLOOKUP($M10,'Summary Tables'!$E$49:$N$63,8,FALSE))</f>
        <v>1.7835655628514451</v>
      </c>
      <c r="X10" s="31">
        <f>VLOOKUP(N10,'CFL and LED Efficacy'!$D$57:$E$86,2,FALSE)</f>
        <v>62.516951451044228</v>
      </c>
      <c r="Y10" s="31">
        <f>R10/X10</f>
        <v>6.6638444588790611</v>
      </c>
      <c r="Z10" s="161">
        <f>VLOOKUP(N10,'CFL and LED Cost'!$D$73:$K$102,MATCH(G10,'CFL and LED Cost'!$D$72:$K$72,0),FALSE)</f>
        <v>9.9588534888181872</v>
      </c>
      <c r="AA10" s="162">
        <f>VLOOKUP(H10,Lifetime!$A$4:$B$8,2,FALSE)</f>
        <v>28708.42332613391</v>
      </c>
      <c r="AB10" s="37">
        <f>MIN(12,AA10/(P10*365.25))</f>
        <v>12</v>
      </c>
      <c r="AD10" s="163">
        <f>VLOOKUP(G10&amp;H10,StorageTakebackRemoval!$C$56:$H$67,5,FALSE)</f>
        <v>0.98</v>
      </c>
      <c r="AE10" s="163">
        <f>VLOOKUP(G10&amp;H10,StorageTakebackRemoval!$C$56:$H$67,6,FALSE)</f>
        <v>1</v>
      </c>
      <c r="AG10" s="163">
        <f>1-Q10*('Space Conditioning Interaction'!$B$23)</f>
        <v>0.81278657385032416</v>
      </c>
      <c r="AH10" s="1">
        <f>Q10*'Space Conditioning Interaction'!$I$9</f>
        <v>9.5435946083773787E-3</v>
      </c>
      <c r="AJ10" s="1">
        <f>T10*P10*365.25/1000</f>
        <v>24.213370432208329</v>
      </c>
      <c r="AK10" s="1">
        <f>Y10*P10*365.25/1000</f>
        <v>4.3609225509583132</v>
      </c>
      <c r="AL10" s="1">
        <f>AJ10-AK10</f>
        <v>19.852447881250015</v>
      </c>
      <c r="AM10" s="1">
        <f>AL10*AD10</f>
        <v>19.455398923625015</v>
      </c>
      <c r="AN10" s="1">
        <f>AM10*AG10</f>
        <v>15.813087034024461</v>
      </c>
      <c r="AP10" s="1">
        <f>-1*AM10*AH10</f>
        <v>-0.18567444027133875</v>
      </c>
      <c r="AR10" s="1" t="str">
        <f>O10</f>
        <v>RetailLEDDecorative and Mini-Base250 to 664 lumensANY</v>
      </c>
      <c r="AS10" s="1" t="str">
        <f>O10</f>
        <v>RetailLEDDecorative and Mini-Base250 to 664 lumensANY</v>
      </c>
      <c r="AT10" s="1">
        <f>IF(ISERROR($AN10),0,AN10)</f>
        <v>15.813087034024461</v>
      </c>
      <c r="AU10" s="37">
        <f>IF(ISERROR($AN10),1,AB10*AE10)</f>
        <v>12</v>
      </c>
      <c r="AV10" s="164">
        <f>MAX(0.05,IF(ISERROR($AN10),999,Z10-U10))</f>
        <v>8.3186951230499186</v>
      </c>
      <c r="AW10" s="1">
        <v>0</v>
      </c>
      <c r="AX10" s="2" t="s">
        <v>443</v>
      </c>
      <c r="AY10" s="1">
        <v>0</v>
      </c>
      <c r="AZ10" s="1">
        <f>IF(ISERROR($AN10),999,U10*-1)</f>
        <v>-1.6401583657682686</v>
      </c>
      <c r="BA10" s="1">
        <f>IF(ISERROR($AN10),999,V10)</f>
        <v>1.7835655628514451</v>
      </c>
      <c r="BF10" s="1">
        <f>IF(ISERROR($AN10),999,AP10)</f>
        <v>-0.18567444027133875</v>
      </c>
      <c r="BG10" s="2" t="s">
        <v>444</v>
      </c>
    </row>
    <row r="11" spans="1:61">
      <c r="A11" s="140">
        <f>A10+1</f>
        <v>2</v>
      </c>
      <c r="B11" s="140">
        <f t="shared" si="0"/>
        <v>1</v>
      </c>
      <c r="C11" s="140">
        <f t="shared" si="0"/>
        <v>1</v>
      </c>
      <c r="D11" s="140">
        <f t="shared" si="0"/>
        <v>1</v>
      </c>
      <c r="E11" s="140">
        <f t="shared" ref="E11:E39" si="2">MOD($A11-1,E$8)+1</f>
        <v>2</v>
      </c>
      <c r="G11" s="2" t="str">
        <f t="shared" ref="G11:J39" si="3">INDEX(B$2:B$6,B11)</f>
        <v>Retail</v>
      </c>
      <c r="H11" s="2" t="str">
        <f t="shared" si="1"/>
        <v>LED</v>
      </c>
      <c r="I11" s="2" t="str">
        <f t="shared" si="1"/>
        <v>Decorative and Mini-Base</v>
      </c>
      <c r="J11" s="2" t="str">
        <f t="shared" si="1"/>
        <v>665 to 1439 lumens</v>
      </c>
      <c r="K11" s="2" t="s">
        <v>442</v>
      </c>
      <c r="M11" s="1" t="str">
        <f t="shared" ref="M11:M39" si="4">I11&amp;J11</f>
        <v>Decorative and Mini-Base665 to 1439 lumens</v>
      </c>
      <c r="N11" s="1" t="str">
        <f t="shared" ref="N11:N39" si="5">CONCATENATE(H11,I11,J11)</f>
        <v>LEDDecorative and Mini-Base665 to 1439 lumens</v>
      </c>
      <c r="O11" s="1" t="str">
        <f t="shared" ref="O11:O39" si="6">CONCATENATE(G11,H11,I11,J11,K11)</f>
        <v>RetailLEDDecorative and Mini-Base665 to 1439 lumensANY</v>
      </c>
      <c r="P11" s="37">
        <f>VLOOKUP($M11,'Summary Tables'!$E$49:$N$63,7,FALSE)</f>
        <v>1.8789514442368003</v>
      </c>
      <c r="Q11" s="37">
        <f>VLOOKUP($M11,'Summary Tables'!$E$49:$N$63,9,FALSE)</f>
        <v>0.91018036838446348</v>
      </c>
      <c r="R11" s="37">
        <f>VLOOKUP($M11,'Summary Tables'!$E$49:$N$63,10,FALSE)</f>
        <v>857.43632997438363</v>
      </c>
      <c r="S11" s="37"/>
      <c r="T11" s="37">
        <f>IF($I11="General Purpose and Dimmable",$R11/45,VLOOKUP($M11,'Summary Tables'!$E$49:$N$63,5,FALSE))</f>
        <v>31.100271002710024</v>
      </c>
      <c r="U11" s="160">
        <f>IF($I11="General Purpose and Dimmable",VLOOKUP($J11,'CFL and LED Cost'!$C$73:$E$75,3,FALSE),VLOOKUP($M11,'Summary Tables'!$E$49:$N$63,6,FALSE))</f>
        <v>2.357302490345714</v>
      </c>
      <c r="V11" s="37">
        <f>IF($I11="General Purpose and Dimmable",Lifetime!$B$5/(P11*365.25),VLOOKUP($M11,'Summary Tables'!$E$49:$N$63,8,FALSE))</f>
        <v>1.7864498053021971</v>
      </c>
      <c r="X11" s="433">
        <f>X14/X13*X10</f>
        <v>90.088580562889106</v>
      </c>
      <c r="Y11" s="31">
        <f>R11/X11</f>
        <v>9.5177027389817042</v>
      </c>
      <c r="Z11" s="161">
        <f>VLOOKUP(N11,'CFL and LED Cost'!$D$73:$K$102,MATCH(G11,'CFL and LED Cost'!$D$72:$K$72,0),FALSE)</f>
        <v>17.827344793923771</v>
      </c>
      <c r="AA11" s="162">
        <f>VLOOKUP(H11,Lifetime!$A$4:$B$8,2,FALSE)</f>
        <v>28708.42332613391</v>
      </c>
      <c r="AB11" s="37">
        <f t="shared" ref="AB11:AB39" si="7">MIN(12,AA11/(P11*365.25))</f>
        <v>12</v>
      </c>
      <c r="AD11" s="163">
        <f>VLOOKUP(G11&amp;H11,StorageTakebackRemoval!$C$56:$H$67,5,FALSE)</f>
        <v>0.98</v>
      </c>
      <c r="AE11" s="163">
        <f>VLOOKUP(G11&amp;H11,StorageTakebackRemoval!$C$56:$H$67,6,FALSE)</f>
        <v>1</v>
      </c>
      <c r="AG11" s="163">
        <f>1-Q11*('Space Conditioning Interaction'!$B$23)</f>
        <v>0.82070914023743413</v>
      </c>
      <c r="AH11" s="1">
        <f>Q11*'Space Conditioning Interaction'!$I$9</f>
        <v>9.1397252737278212E-3</v>
      </c>
      <c r="AJ11" s="1">
        <f t="shared" ref="AJ11:AJ39" si="8">T11*P11*365.25/1000</f>
        <v>21.3437121523739</v>
      </c>
      <c r="AK11" s="1">
        <f t="shared" ref="AK11:AK39" si="9">Y11*P11*365.25/1000</f>
        <v>6.5318758024643779</v>
      </c>
      <c r="AL11" s="1">
        <f t="shared" ref="AL11:AL39" si="10">AJ11-AK11</f>
        <v>14.811836349909523</v>
      </c>
      <c r="AM11" s="1">
        <f t="shared" ref="AM11:AM39" si="11">AL11*AD11</f>
        <v>14.515599622911333</v>
      </c>
      <c r="AN11" s="1">
        <f t="shared" ref="AN11:AN39" si="12">AM11*AG11</f>
        <v>11.913085286550384</v>
      </c>
      <c r="AP11" s="1">
        <f t="shared" ref="AP11:AP39" si="13">-1*AM11*AH11</f>
        <v>-0.13266859273683673</v>
      </c>
      <c r="AR11" s="1" t="str">
        <f t="shared" ref="AR11:AR39" si="14">O11</f>
        <v>RetailLEDDecorative and Mini-Base665 to 1439 lumensANY</v>
      </c>
      <c r="AS11" s="1" t="str">
        <f t="shared" ref="AS11:AS39" si="15">O11</f>
        <v>RetailLEDDecorative and Mini-Base665 to 1439 lumensANY</v>
      </c>
      <c r="AT11" s="1">
        <f t="shared" ref="AT11:AT39" si="16">IF(ISERROR($AN11),0,AN11)</f>
        <v>11.913085286550384</v>
      </c>
      <c r="AU11" s="37">
        <f t="shared" ref="AU11:AU39" si="17">IF(ISERROR($AN11),1,AB11*AE11)</f>
        <v>12</v>
      </c>
      <c r="AV11" s="164">
        <f t="shared" ref="AV11:AV39" si="18">MAX(0.05,IF(ISERROR($AN11),999,Z11-U11))</f>
        <v>15.470042303578058</v>
      </c>
      <c r="AW11" s="1">
        <v>0</v>
      </c>
      <c r="AX11" s="2" t="s">
        <v>443</v>
      </c>
      <c r="AY11" s="1">
        <v>0</v>
      </c>
      <c r="AZ11" s="1">
        <f t="shared" ref="AZ11:AZ39" si="19">IF(ISERROR($AN11),999,U11*-1)</f>
        <v>-2.357302490345714</v>
      </c>
      <c r="BA11" s="1">
        <f t="shared" ref="BA11:BA39" si="20">IF(ISERROR($AN11),999,V11)</f>
        <v>1.7864498053021971</v>
      </c>
      <c r="BF11" s="1">
        <f t="shared" ref="BF11:BF39" si="21">IF(ISERROR($AN11),999,AP11)</f>
        <v>-0.13266859273683673</v>
      </c>
      <c r="BG11" s="2" t="s">
        <v>444</v>
      </c>
    </row>
    <row r="12" spans="1:61">
      <c r="A12" s="140">
        <f t="shared" ref="A12:A39" si="22">A11+1</f>
        <v>3</v>
      </c>
      <c r="B12" s="140">
        <f t="shared" si="0"/>
        <v>1</v>
      </c>
      <c r="C12" s="140">
        <f t="shared" si="0"/>
        <v>1</v>
      </c>
      <c r="D12" s="140">
        <f t="shared" si="0"/>
        <v>1</v>
      </c>
      <c r="E12" s="140">
        <f t="shared" si="2"/>
        <v>3</v>
      </c>
      <c r="G12" s="2" t="str">
        <f t="shared" si="3"/>
        <v>Retail</v>
      </c>
      <c r="H12" s="2" t="str">
        <f t="shared" si="1"/>
        <v>LED</v>
      </c>
      <c r="I12" s="2" t="str">
        <f t="shared" si="1"/>
        <v>Decorative and Mini-Base</v>
      </c>
      <c r="J12" s="2" t="str">
        <f t="shared" si="1"/>
        <v>1440 to 2600 lumens</v>
      </c>
      <c r="K12" s="2" t="s">
        <v>442</v>
      </c>
      <c r="M12" s="1" t="str">
        <f t="shared" si="4"/>
        <v>Decorative and Mini-Base1440 to 2600 lumens</v>
      </c>
      <c r="N12" s="1" t="str">
        <f t="shared" si="5"/>
        <v>LEDDecorative and Mini-Base1440 to 2600 lumens</v>
      </c>
      <c r="O12" s="1" t="str">
        <f t="shared" si="6"/>
        <v>RetailLEDDecorative and Mini-Base1440 to 2600 lumensANY</v>
      </c>
      <c r="P12" s="37">
        <f>VLOOKUP($M12,'Summary Tables'!$E$49:$N$63,7,FALSE)</f>
        <v>1.6305080727614385</v>
      </c>
      <c r="Q12" s="37">
        <f>VLOOKUP($M12,'Summary Tables'!$E$49:$N$63,9,FALSE)</f>
        <v>0.92758145848349127</v>
      </c>
      <c r="R12" s="37">
        <f>VLOOKUP($M12,'Summary Tables'!$E$49:$N$63,10,FALSE)</f>
        <v>2095.7287821060968</v>
      </c>
      <c r="S12" s="37"/>
      <c r="T12" s="37">
        <f>IF($I12="General Purpose and Dimmable",$R12/45,VLOOKUP($M12,'Summary Tables'!$E$49:$N$63,5,FALSE))</f>
        <v>37</v>
      </c>
      <c r="U12" s="160">
        <f>IF($I12="General Purpose and Dimmable",VLOOKUP($J12,'CFL and LED Cost'!$C$73:$E$75,3,FALSE),VLOOKUP($M12,'Summary Tables'!$E$49:$N$63,6,FALSE))</f>
        <v>2.5719834880984087</v>
      </c>
      <c r="V12" s="37">
        <f>IF($I12="General Purpose and Dimmable",Lifetime!$B$5/(P12*365.25),VLOOKUP($M12,'Summary Tables'!$E$49:$N$63,8,FALSE))</f>
        <v>4.4344805227500377</v>
      </c>
      <c r="X12" s="433">
        <f>X15/X13*X10</f>
        <v>85.083659420506379</v>
      </c>
      <c r="Y12" s="31">
        <f t="shared" ref="Y12:Y39" si="23">R12/X12</f>
        <v>24.631389815386761</v>
      </c>
      <c r="Z12" s="161">
        <f>VLOOKUP(N12,'CFL and LED Cost'!$D$73:$K$102,MATCH(G12,'CFL and LED Cost'!$D$72:$K$72,0),FALSE)</f>
        <v>43.384</v>
      </c>
      <c r="AA12" s="162">
        <f>VLOOKUP(H12,Lifetime!$A$4:$B$8,2,FALSE)</f>
        <v>28708.42332613391</v>
      </c>
      <c r="AB12" s="37">
        <f t="shared" si="7"/>
        <v>12</v>
      </c>
      <c r="AD12" s="163">
        <f>VLOOKUP(G12&amp;H12,StorageTakebackRemoval!$C$56:$H$67,5,FALSE)</f>
        <v>0.98</v>
      </c>
      <c r="AE12" s="163">
        <f>VLOOKUP(G12&amp;H12,StorageTakebackRemoval!$C$56:$H$67,6,FALSE)</f>
        <v>1</v>
      </c>
      <c r="AG12" s="163">
        <f>1-Q12*('Space Conditioning Interaction'!$B$23)</f>
        <v>0.81728140600691201</v>
      </c>
      <c r="AH12" s="1">
        <f>Q12*'Space Conditioning Interaction'!$I$9</f>
        <v>9.3144611705817514E-3</v>
      </c>
      <c r="AJ12" s="1">
        <f t="shared" si="8"/>
        <v>22.035093722316269</v>
      </c>
      <c r="AK12" s="1">
        <f t="shared" si="9"/>
        <v>14.669053597106858</v>
      </c>
      <c r="AL12" s="1">
        <f t="shared" si="10"/>
        <v>7.3660401252094108</v>
      </c>
      <c r="AM12" s="1">
        <f t="shared" si="11"/>
        <v>7.2187193227052227</v>
      </c>
      <c r="AN12" s="1">
        <f t="shared" si="12"/>
        <v>5.899725077629788</v>
      </c>
      <c r="AP12" s="1">
        <f t="shared" si="13"/>
        <v>-6.7238480832665995E-2</v>
      </c>
      <c r="AR12" s="1" t="str">
        <f t="shared" si="14"/>
        <v>RetailLEDDecorative and Mini-Base1440 to 2600 lumensANY</v>
      </c>
      <c r="AS12" s="1" t="str">
        <f t="shared" si="15"/>
        <v>RetailLEDDecorative and Mini-Base1440 to 2600 lumensANY</v>
      </c>
      <c r="AT12" s="1">
        <f t="shared" si="16"/>
        <v>5.899725077629788</v>
      </c>
      <c r="AU12" s="37">
        <f t="shared" si="17"/>
        <v>12</v>
      </c>
      <c r="AV12" s="164">
        <f t="shared" si="18"/>
        <v>40.812016511901589</v>
      </c>
      <c r="AW12" s="1">
        <v>0</v>
      </c>
      <c r="AX12" s="2" t="s">
        <v>443</v>
      </c>
      <c r="AY12" s="1">
        <v>0</v>
      </c>
      <c r="AZ12" s="1">
        <f t="shared" si="19"/>
        <v>-2.5719834880984087</v>
      </c>
      <c r="BA12" s="1">
        <f t="shared" si="20"/>
        <v>4.4344805227500377</v>
      </c>
      <c r="BF12" s="1">
        <f t="shared" si="21"/>
        <v>-6.7238480832665995E-2</v>
      </c>
      <c r="BG12" s="2" t="s">
        <v>444</v>
      </c>
    </row>
    <row r="13" spans="1:61" s="438" customFormat="1">
      <c r="A13" s="437">
        <f t="shared" si="22"/>
        <v>4</v>
      </c>
      <c r="B13" s="437">
        <f t="shared" si="0"/>
        <v>1</v>
      </c>
      <c r="C13" s="437">
        <f t="shared" si="0"/>
        <v>1</v>
      </c>
      <c r="D13" s="437">
        <f t="shared" si="0"/>
        <v>2</v>
      </c>
      <c r="E13" s="437">
        <f t="shared" si="2"/>
        <v>1</v>
      </c>
      <c r="G13" s="439" t="str">
        <f t="shared" si="3"/>
        <v>Retail</v>
      </c>
      <c r="H13" s="439" t="str">
        <f t="shared" si="1"/>
        <v>LED</v>
      </c>
      <c r="I13" s="439" t="str">
        <f t="shared" si="1"/>
        <v>General Purpose and Dimmable</v>
      </c>
      <c r="J13" s="439" t="str">
        <f t="shared" si="1"/>
        <v>250 to 664 lumens</v>
      </c>
      <c r="K13" s="439" t="s">
        <v>442</v>
      </c>
      <c r="M13" s="438" t="str">
        <f t="shared" si="4"/>
        <v>General Purpose and Dimmable250 to 664 lumens</v>
      </c>
      <c r="N13" s="438" t="str">
        <f t="shared" si="5"/>
        <v>LEDGeneral Purpose and Dimmable250 to 664 lumens</v>
      </c>
      <c r="O13" s="438" t="str">
        <f t="shared" si="6"/>
        <v>RetailLEDGeneral Purpose and Dimmable250 to 664 lumensANY</v>
      </c>
      <c r="P13" s="440">
        <f>VLOOKUP($M13,'Summary Tables'!$E$49:$N$63,7,FALSE)</f>
        <v>1.7465101483744099</v>
      </c>
      <c r="Q13" s="440">
        <f>VLOOKUP($M13,'Summary Tables'!$E$49:$N$63,9,FALSE)</f>
        <v>0.91416456188155615</v>
      </c>
      <c r="R13" s="440">
        <f>VLOOKUP($M13,'Summary Tables'!$E$49:$N$63,10,FALSE)</f>
        <v>473.98970089307483</v>
      </c>
      <c r="S13" s="440"/>
      <c r="T13" s="440">
        <f>IF($I13="General Purpose and Dimmable",$R13/45,VLOOKUP($M13,'Summary Tables'!$E$49:$N$63,5,FALSE))</f>
        <v>10.533104464290552</v>
      </c>
      <c r="U13" s="441">
        <f>IF($I13="General Purpose and Dimmable",VLOOKUP($J13,'CFL and LED Cost'!$C$73:$E$75,3,FALSE),VLOOKUP($M13,'Summary Tables'!$E$49:$N$63,6,FALSE))</f>
        <v>2.1592275874141325</v>
      </c>
      <c r="V13" s="440">
        <f>IF($I13="General Purpose and Dimmable",Lifetime!$B$5/(P13*365.25),VLOOKUP($M13,'Summary Tables'!$E$49:$N$63,8,FALSE))</f>
        <v>8.5397834253252132</v>
      </c>
      <c r="X13" s="442">
        <f>VLOOKUP(N13,'CFL and LED Efficacy'!$D$57:$E$86,2,FALSE)</f>
        <v>62.45548098813935</v>
      </c>
      <c r="Y13" s="442">
        <f t="shared" si="23"/>
        <v>7.5892410624951898</v>
      </c>
      <c r="Z13" s="443">
        <f>VLOOKUP(N13,'CFL and LED Cost'!$D$73:$K$102,MATCH(G13,'CFL and LED Cost'!$D$72:$K$72,0),FALSE)</f>
        <v>4.9794267444090936</v>
      </c>
      <c r="AA13" s="444">
        <f>VLOOKUP(H13,Lifetime!$A$4:$B$8,2,FALSE)</f>
        <v>28708.42332613391</v>
      </c>
      <c r="AB13" s="440">
        <f t="shared" si="7"/>
        <v>12</v>
      </c>
      <c r="AD13" s="445">
        <f>VLOOKUP(G13&amp;H13,StorageTakebackRemoval!$C$56:$H$67,5,FALSE)</f>
        <v>0.98</v>
      </c>
      <c r="AE13" s="445">
        <f>VLOOKUP(G13&amp;H13,StorageTakebackRemoval!$C$56:$H$67,6,FALSE)</f>
        <v>1</v>
      </c>
      <c r="AG13" s="445">
        <f>1-Q13*('Space Conditioning Interaction'!$B$23)</f>
        <v>0.81992431834677726</v>
      </c>
      <c r="AH13" s="438">
        <f>Q13*'Space Conditioning Interaction'!$I$9</f>
        <v>9.1797332054144101E-3</v>
      </c>
      <c r="AJ13" s="438">
        <f t="shared" si="8"/>
        <v>6.7192024953416993</v>
      </c>
      <c r="AK13" s="438">
        <f t="shared" si="9"/>
        <v>4.8412742565828148</v>
      </c>
      <c r="AL13" s="438">
        <f t="shared" si="10"/>
        <v>1.8779282387588845</v>
      </c>
      <c r="AM13" s="438">
        <f t="shared" si="11"/>
        <v>1.8403696739837068</v>
      </c>
      <c r="AN13" s="438">
        <f t="shared" si="12"/>
        <v>1.5089638504471714</v>
      </c>
      <c r="AP13" s="438">
        <f t="shared" si="13"/>
        <v>-1.6894102606505926E-2</v>
      </c>
      <c r="AR13" s="438" t="str">
        <f t="shared" si="14"/>
        <v>RetailLEDGeneral Purpose and Dimmable250 to 664 lumensANY</v>
      </c>
      <c r="AS13" s="438" t="str">
        <f t="shared" si="15"/>
        <v>RetailLEDGeneral Purpose and Dimmable250 to 664 lumensANY</v>
      </c>
      <c r="AT13" s="438">
        <f t="shared" si="16"/>
        <v>1.5089638504471714</v>
      </c>
      <c r="AU13" s="440">
        <f t="shared" si="17"/>
        <v>12</v>
      </c>
      <c r="AV13" s="443">
        <f t="shared" si="18"/>
        <v>2.8201991569949612</v>
      </c>
      <c r="AW13" s="438">
        <v>0</v>
      </c>
      <c r="AX13" s="439" t="s">
        <v>443</v>
      </c>
      <c r="AY13" s="438">
        <v>0</v>
      </c>
      <c r="AZ13" s="438">
        <f t="shared" si="19"/>
        <v>-2.1592275874141325</v>
      </c>
      <c r="BA13" s="438">
        <f t="shared" si="20"/>
        <v>8.5397834253252132</v>
      </c>
      <c r="BF13" s="438">
        <f t="shared" si="21"/>
        <v>-1.6894102606505926E-2</v>
      </c>
      <c r="BG13" s="439" t="s">
        <v>444</v>
      </c>
      <c r="BI13" s="446"/>
    </row>
    <row r="14" spans="1:61" s="438" customFormat="1">
      <c r="A14" s="437">
        <f t="shared" si="22"/>
        <v>5</v>
      </c>
      <c r="B14" s="437">
        <f t="shared" si="0"/>
        <v>1</v>
      </c>
      <c r="C14" s="437">
        <f t="shared" si="0"/>
        <v>1</v>
      </c>
      <c r="D14" s="437">
        <f t="shared" si="0"/>
        <v>2</v>
      </c>
      <c r="E14" s="437">
        <f t="shared" si="2"/>
        <v>2</v>
      </c>
      <c r="G14" s="439" t="str">
        <f t="shared" si="3"/>
        <v>Retail</v>
      </c>
      <c r="H14" s="439" t="str">
        <f t="shared" si="1"/>
        <v>LED</v>
      </c>
      <c r="I14" s="439" t="str">
        <f t="shared" si="1"/>
        <v>General Purpose and Dimmable</v>
      </c>
      <c r="J14" s="439" t="str">
        <f t="shared" si="1"/>
        <v>665 to 1439 lumens</v>
      </c>
      <c r="K14" s="439" t="s">
        <v>442</v>
      </c>
      <c r="M14" s="438" t="str">
        <f t="shared" si="4"/>
        <v>General Purpose and Dimmable665 to 1439 lumens</v>
      </c>
      <c r="N14" s="438" t="str">
        <f t="shared" si="5"/>
        <v>LEDGeneral Purpose and Dimmable665 to 1439 lumens</v>
      </c>
      <c r="O14" s="438" t="str">
        <f t="shared" si="6"/>
        <v>RetailLEDGeneral Purpose and Dimmable665 to 1439 lumensANY</v>
      </c>
      <c r="P14" s="440">
        <f>VLOOKUP($M14,'Summary Tables'!$E$49:$N$63,7,FALSE)</f>
        <v>1.8773637680174413</v>
      </c>
      <c r="Q14" s="440">
        <f>VLOOKUP($M14,'Summary Tables'!$E$49:$N$63,9,FALSE)</f>
        <v>0.85791980570535631</v>
      </c>
      <c r="R14" s="440">
        <f>VLOOKUP($M14,'Summary Tables'!$E$49:$N$63,10,FALSE)</f>
        <v>949.2054457712826</v>
      </c>
      <c r="S14" s="440"/>
      <c r="T14" s="440">
        <f>IF($I14="General Purpose and Dimmable",$R14/45,VLOOKUP($M14,'Summary Tables'!$E$49:$N$63,5,FALSE))</f>
        <v>21.093454350472946</v>
      </c>
      <c r="U14" s="441">
        <f>IF($I14="General Purpose and Dimmable",VLOOKUP($J14,'CFL and LED Cost'!$C$73:$E$75,3,FALSE),VLOOKUP($M14,'Summary Tables'!$E$49:$N$63,6,FALSE))</f>
        <v>1.4522786346527323</v>
      </c>
      <c r="V14" s="440">
        <f>IF($I14="General Purpose and Dimmable",Lifetime!$B$5/(P14*365.25),VLOOKUP($M14,'Summary Tables'!$E$49:$N$63,8,FALSE))</f>
        <v>7.9445543113898527</v>
      </c>
      <c r="X14" s="442">
        <v>90</v>
      </c>
      <c r="Y14" s="442">
        <f t="shared" si="23"/>
        <v>10.546727175236473</v>
      </c>
      <c r="Z14" s="443">
        <f>VLOOKUP(N14,'CFL and LED Cost'!$D$73:$K$102,MATCH(G14,'CFL and LED Cost'!$D$72:$K$72,0),FALSE)</f>
        <v>8.9136723969618856</v>
      </c>
      <c r="AA14" s="444">
        <f>VLOOKUP(H14,Lifetime!$A$4:$B$8,2,FALSE)</f>
        <v>28708.42332613391</v>
      </c>
      <c r="AB14" s="440">
        <f t="shared" si="7"/>
        <v>12</v>
      </c>
      <c r="AD14" s="445">
        <f>VLOOKUP(G14&amp;H14,StorageTakebackRemoval!$C$56:$H$67,5,FALSE)</f>
        <v>0.98</v>
      </c>
      <c r="AE14" s="445">
        <f>VLOOKUP(G14&amp;H14,StorageTakebackRemoval!$C$56:$H$67,6,FALSE)</f>
        <v>1</v>
      </c>
      <c r="AG14" s="445">
        <f>1-Q14*('Space Conditioning Interaction'!$B$23)</f>
        <v>0.83100362860466148</v>
      </c>
      <c r="AH14" s="438">
        <f>Q14*'Space Conditioning Interaction'!$I$9</f>
        <v>8.6149422723263754E-3</v>
      </c>
      <c r="AJ14" s="438">
        <f t="shared" si="8"/>
        <v>14.463931754801317</v>
      </c>
      <c r="AK14" s="438">
        <f t="shared" si="9"/>
        <v>7.2319658774006585</v>
      </c>
      <c r="AL14" s="438">
        <f t="shared" si="10"/>
        <v>7.2319658774006585</v>
      </c>
      <c r="AM14" s="438">
        <f t="shared" si="11"/>
        <v>7.0873265598526451</v>
      </c>
      <c r="AN14" s="438">
        <f t="shared" si="12"/>
        <v>5.889594088343741</v>
      </c>
      <c r="AP14" s="438">
        <f t="shared" si="13"/>
        <v>-6.1056909178256021E-2</v>
      </c>
      <c r="AR14" s="438" t="str">
        <f t="shared" si="14"/>
        <v>RetailLEDGeneral Purpose and Dimmable665 to 1439 lumensANY</v>
      </c>
      <c r="AS14" s="438" t="str">
        <f t="shared" si="15"/>
        <v>RetailLEDGeneral Purpose and Dimmable665 to 1439 lumensANY</v>
      </c>
      <c r="AT14" s="438">
        <f t="shared" si="16"/>
        <v>5.889594088343741</v>
      </c>
      <c r="AU14" s="440">
        <f t="shared" si="17"/>
        <v>12</v>
      </c>
      <c r="AV14" s="443">
        <f t="shared" si="18"/>
        <v>7.4613937623091537</v>
      </c>
      <c r="AW14" s="438">
        <v>0</v>
      </c>
      <c r="AX14" s="439" t="s">
        <v>443</v>
      </c>
      <c r="AY14" s="438">
        <v>0</v>
      </c>
      <c r="AZ14" s="438">
        <f t="shared" si="19"/>
        <v>-1.4522786346527323</v>
      </c>
      <c r="BA14" s="438">
        <f t="shared" si="20"/>
        <v>7.9445543113898527</v>
      </c>
      <c r="BF14" s="438">
        <f t="shared" si="21"/>
        <v>-6.1056909178256021E-2</v>
      </c>
      <c r="BG14" s="439" t="s">
        <v>444</v>
      </c>
      <c r="BI14" s="446"/>
    </row>
    <row r="15" spans="1:61" s="438" customFormat="1">
      <c r="A15" s="437">
        <f t="shared" si="22"/>
        <v>6</v>
      </c>
      <c r="B15" s="437">
        <f t="shared" si="0"/>
        <v>1</v>
      </c>
      <c r="C15" s="437">
        <f t="shared" si="0"/>
        <v>1</v>
      </c>
      <c r="D15" s="437">
        <f t="shared" si="0"/>
        <v>2</v>
      </c>
      <c r="E15" s="437">
        <f t="shared" si="2"/>
        <v>3</v>
      </c>
      <c r="G15" s="439" t="str">
        <f t="shared" si="3"/>
        <v>Retail</v>
      </c>
      <c r="H15" s="439" t="str">
        <f t="shared" si="1"/>
        <v>LED</v>
      </c>
      <c r="I15" s="439" t="str">
        <f t="shared" si="1"/>
        <v>General Purpose and Dimmable</v>
      </c>
      <c r="J15" s="439" t="str">
        <f t="shared" si="1"/>
        <v>1440 to 2600 lumens</v>
      </c>
      <c r="K15" s="439" t="s">
        <v>442</v>
      </c>
      <c r="M15" s="438" t="str">
        <f t="shared" si="4"/>
        <v>General Purpose and Dimmable1440 to 2600 lumens</v>
      </c>
      <c r="N15" s="438" t="str">
        <f t="shared" si="5"/>
        <v>LEDGeneral Purpose and Dimmable1440 to 2600 lumens</v>
      </c>
      <c r="O15" s="438" t="str">
        <f t="shared" si="6"/>
        <v>RetailLEDGeneral Purpose and Dimmable1440 to 2600 lumensANY</v>
      </c>
      <c r="P15" s="440">
        <f>VLOOKUP($M15,'Summary Tables'!$E$49:$N$63,7,FALSE)</f>
        <v>1.9918551210859123</v>
      </c>
      <c r="Q15" s="440">
        <f>VLOOKUP($M15,'Summary Tables'!$E$49:$N$63,9,FALSE)</f>
        <v>0.78917112934974476</v>
      </c>
      <c r="R15" s="440">
        <f>VLOOKUP($M15,'Summary Tables'!$E$49:$N$63,10,FALSE)</f>
        <v>1747.5999304005293</v>
      </c>
      <c r="S15" s="440"/>
      <c r="T15" s="440">
        <f>IF($I15="General Purpose and Dimmable",$R15/45,VLOOKUP($M15,'Summary Tables'!$E$49:$N$63,5,FALSE))</f>
        <v>38.835554008900651</v>
      </c>
      <c r="U15" s="441">
        <f>IF($I15="General Purpose and Dimmable",VLOOKUP($J15,'CFL and LED Cost'!$C$73:$E$75,3,FALSE),VLOOKUP($M15,'Summary Tables'!$E$49:$N$63,6,FALSE))</f>
        <v>1.8911113019525783</v>
      </c>
      <c r="V15" s="440">
        <f>IF($I15="General Purpose and Dimmable",Lifetime!$B$5/(P15*365.25),VLOOKUP($M15,'Summary Tables'!$E$49:$N$63,8,FALSE))</f>
        <v>7.4879032412351636</v>
      </c>
      <c r="X15" s="442">
        <f>VLOOKUP(N15,'CFL and LED Efficacy'!$D$57:$E$86,2,FALSE)</f>
        <v>85</v>
      </c>
      <c r="Y15" s="442">
        <f t="shared" si="23"/>
        <v>20.559999181182697</v>
      </c>
      <c r="Z15" s="443">
        <f>VLOOKUP(N15,'CFL and LED Cost'!$D$73:$K$102,MATCH(G15,'CFL and LED Cost'!$D$72:$K$72,0),FALSE)</f>
        <v>21.692</v>
      </c>
      <c r="AA15" s="444">
        <f>VLOOKUP(H15,Lifetime!$A$4:$B$8,2,FALSE)</f>
        <v>28708.42332613391</v>
      </c>
      <c r="AB15" s="440">
        <f t="shared" si="7"/>
        <v>12</v>
      </c>
      <c r="AD15" s="445">
        <f>VLOOKUP(G15&amp;H15,StorageTakebackRemoval!$C$56:$H$67,5,FALSE)</f>
        <v>0.98</v>
      </c>
      <c r="AE15" s="445">
        <f>VLOOKUP(G15&amp;H15,StorageTakebackRemoval!$C$56:$H$67,6,FALSE)</f>
        <v>1</v>
      </c>
      <c r="AG15" s="445">
        <f>1-Q15*('Space Conditioning Interaction'!$B$23)</f>
        <v>0.84454600956505743</v>
      </c>
      <c r="AH15" s="438">
        <f>Q15*'Space Conditioning Interaction'!$I$9</f>
        <v>7.9245911763804085E-3</v>
      </c>
      <c r="AJ15" s="438">
        <f t="shared" si="8"/>
        <v>28.253839652768821</v>
      </c>
      <c r="AK15" s="438">
        <f t="shared" si="9"/>
        <v>14.957915110289374</v>
      </c>
      <c r="AL15" s="438">
        <f t="shared" si="10"/>
        <v>13.295924542479447</v>
      </c>
      <c r="AM15" s="438">
        <f t="shared" si="11"/>
        <v>13.030006051629858</v>
      </c>
      <c r="AN15" s="438">
        <f t="shared" si="12"/>
        <v>11.004439615512545</v>
      </c>
      <c r="AP15" s="438">
        <f t="shared" si="13"/>
        <v>-0.10325747098492929</v>
      </c>
      <c r="AR15" s="438" t="str">
        <f t="shared" si="14"/>
        <v>RetailLEDGeneral Purpose and Dimmable1440 to 2600 lumensANY</v>
      </c>
      <c r="AS15" s="438" t="str">
        <f t="shared" si="15"/>
        <v>RetailLEDGeneral Purpose and Dimmable1440 to 2600 lumensANY</v>
      </c>
      <c r="AT15" s="438">
        <f t="shared" si="16"/>
        <v>11.004439615512545</v>
      </c>
      <c r="AU15" s="440">
        <f t="shared" si="17"/>
        <v>12</v>
      </c>
      <c r="AV15" s="443">
        <f t="shared" si="18"/>
        <v>19.800888698047423</v>
      </c>
      <c r="AW15" s="438">
        <v>0</v>
      </c>
      <c r="AX15" s="439" t="s">
        <v>443</v>
      </c>
      <c r="AY15" s="438">
        <v>0</v>
      </c>
      <c r="AZ15" s="438">
        <f>IF(ISERROR($AN15),999,U15*-1)</f>
        <v>-1.8911113019525783</v>
      </c>
      <c r="BA15" s="438">
        <f t="shared" si="20"/>
        <v>7.4879032412351636</v>
      </c>
      <c r="BF15" s="438">
        <f t="shared" si="21"/>
        <v>-0.10325747098492929</v>
      </c>
      <c r="BG15" s="439" t="s">
        <v>444</v>
      </c>
      <c r="BI15" s="446"/>
    </row>
    <row r="16" spans="1:61">
      <c r="A16" s="140">
        <f t="shared" si="22"/>
        <v>7</v>
      </c>
      <c r="B16" s="140">
        <f t="shared" si="0"/>
        <v>1</v>
      </c>
      <c r="C16" s="140">
        <f t="shared" si="0"/>
        <v>1</v>
      </c>
      <c r="D16" s="140">
        <f t="shared" si="0"/>
        <v>3</v>
      </c>
      <c r="E16" s="140">
        <f t="shared" si="2"/>
        <v>1</v>
      </c>
      <c r="G16" s="2" t="str">
        <f t="shared" si="3"/>
        <v>Retail</v>
      </c>
      <c r="H16" s="2" t="str">
        <f t="shared" si="1"/>
        <v>LED</v>
      </c>
      <c r="I16" s="2" t="str">
        <f t="shared" si="1"/>
        <v>Globe</v>
      </c>
      <c r="J16" s="2" t="str">
        <f t="shared" si="1"/>
        <v>250 to 664 lumens</v>
      </c>
      <c r="K16" s="2" t="s">
        <v>442</v>
      </c>
      <c r="M16" s="1" t="str">
        <f t="shared" si="4"/>
        <v>Globe250 to 664 lumens</v>
      </c>
      <c r="N16" s="1" t="str">
        <f t="shared" si="5"/>
        <v>LEDGlobe250 to 664 lumens</v>
      </c>
      <c r="O16" s="1" t="str">
        <f t="shared" si="6"/>
        <v>RetailLEDGlobe250 to 664 lumensANY</v>
      </c>
      <c r="P16" s="37">
        <f>VLOOKUP($M16,'Summary Tables'!$E$49:$N$63,7,FALSE)</f>
        <v>1.3853142296217029</v>
      </c>
      <c r="Q16" s="37">
        <f>VLOOKUP($M16,'Summary Tables'!$E$49:$N$63,9,FALSE)</f>
        <v>0.99302587722156699</v>
      </c>
      <c r="R16" s="37">
        <f>VLOOKUP($M16,'Summary Tables'!$E$49:$N$63,10,FALSE)</f>
        <v>474.28450426267824</v>
      </c>
      <c r="S16" s="37"/>
      <c r="T16" s="37">
        <f>IF($I16="General Purpose and Dimmable",$R16/45,VLOOKUP($M16,'Summary Tables'!$E$49:$N$63,5,FALSE))</f>
        <v>37</v>
      </c>
      <c r="U16" s="160">
        <f>IF($I16="General Purpose and Dimmable",VLOOKUP($J16,'CFL and LED Cost'!$C$73:$E$75,3,FALSE),VLOOKUP($M16,'Summary Tables'!$E$49:$N$63,6,FALSE))</f>
        <v>2.1737529557872382</v>
      </c>
      <c r="V16" s="37">
        <f>IF($I16="General Purpose and Dimmable",Lifetime!$B$5/(P16*365.25),VLOOKUP($M16,'Summary Tables'!$E$49:$N$63,8,FALSE))</f>
        <v>2.2408705642884907</v>
      </c>
      <c r="X16" s="31">
        <f>VLOOKUP(N16,'CFL and LED Efficacy'!$D$57:$E$86,2,FALSE)</f>
        <v>63.597884546214964</v>
      </c>
      <c r="Y16" s="31">
        <f t="shared" si="23"/>
        <v>7.45755157811936</v>
      </c>
      <c r="Z16" s="161">
        <f>VLOOKUP(N16,'CFL and LED Cost'!$D$73:$K$102,MATCH(G16,'CFL and LED Cost'!$D$72:$K$72,0),FALSE)</f>
        <v>6.5889315175788843</v>
      </c>
      <c r="AA16" s="162">
        <f>VLOOKUP(H16,Lifetime!$A$4:$B$8,2,FALSE)</f>
        <v>28708.42332613391</v>
      </c>
      <c r="AB16" s="37">
        <f t="shared" si="7"/>
        <v>12</v>
      </c>
      <c r="AD16" s="163">
        <f>VLOOKUP(G16&amp;H16,StorageTakebackRemoval!$C$56:$H$67,5,FALSE)</f>
        <v>0.98</v>
      </c>
      <c r="AE16" s="163">
        <f>VLOOKUP(G16&amp;H16,StorageTakebackRemoval!$C$56:$H$67,6,FALSE)</f>
        <v>1</v>
      </c>
      <c r="AG16" s="163">
        <f>1-Q16*('Space Conditioning Interaction'!$B$23)</f>
        <v>0.80438991052999065</v>
      </c>
      <c r="AH16" s="1">
        <f>Q16*'Space Conditioning Interaction'!$I$9</f>
        <v>9.9716320223619329E-3</v>
      </c>
      <c r="AJ16" s="1">
        <f t="shared" si="8"/>
        <v>18.721482827665099</v>
      </c>
      <c r="AK16" s="1">
        <f t="shared" si="9"/>
        <v>3.7734168596267121</v>
      </c>
      <c r="AL16" s="1">
        <f t="shared" si="10"/>
        <v>14.948065968038387</v>
      </c>
      <c r="AM16" s="1">
        <f t="shared" si="11"/>
        <v>14.64910464867762</v>
      </c>
      <c r="AN16" s="1">
        <f t="shared" si="12"/>
        <v>11.783591977694261</v>
      </c>
      <c r="AP16" s="1">
        <f t="shared" si="13"/>
        <v>-0.14607548101368481</v>
      </c>
      <c r="AR16" s="1" t="str">
        <f t="shared" si="14"/>
        <v>RetailLEDGlobe250 to 664 lumensANY</v>
      </c>
      <c r="AS16" s="1" t="str">
        <f t="shared" si="15"/>
        <v>RetailLEDGlobe250 to 664 lumensANY</v>
      </c>
      <c r="AT16" s="1">
        <f t="shared" si="16"/>
        <v>11.783591977694261</v>
      </c>
      <c r="AU16" s="37">
        <f t="shared" si="17"/>
        <v>12</v>
      </c>
      <c r="AV16" s="164">
        <f t="shared" si="18"/>
        <v>4.4151785617916461</v>
      </c>
      <c r="AW16" s="1">
        <v>0</v>
      </c>
      <c r="AX16" s="2" t="s">
        <v>443</v>
      </c>
      <c r="AY16" s="1">
        <v>0</v>
      </c>
      <c r="AZ16" s="1">
        <f t="shared" si="19"/>
        <v>-2.1737529557872382</v>
      </c>
      <c r="BA16" s="1">
        <f t="shared" si="20"/>
        <v>2.2408705642884907</v>
      </c>
      <c r="BF16" s="1">
        <f t="shared" si="21"/>
        <v>-0.14607548101368481</v>
      </c>
      <c r="BG16" s="2" t="s">
        <v>444</v>
      </c>
    </row>
    <row r="17" spans="1:61">
      <c r="A17" s="140">
        <f t="shared" si="22"/>
        <v>8</v>
      </c>
      <c r="B17" s="140">
        <f t="shared" si="0"/>
        <v>1</v>
      </c>
      <c r="C17" s="140">
        <f t="shared" si="0"/>
        <v>1</v>
      </c>
      <c r="D17" s="140">
        <f t="shared" si="0"/>
        <v>3</v>
      </c>
      <c r="E17" s="140">
        <f t="shared" si="2"/>
        <v>2</v>
      </c>
      <c r="G17" s="2" t="str">
        <f t="shared" si="3"/>
        <v>Retail</v>
      </c>
      <c r="H17" s="2" t="str">
        <f t="shared" si="1"/>
        <v>LED</v>
      </c>
      <c r="I17" s="2" t="str">
        <f t="shared" si="1"/>
        <v>Globe</v>
      </c>
      <c r="J17" s="2" t="str">
        <f t="shared" si="1"/>
        <v>665 to 1439 lumens</v>
      </c>
      <c r="K17" s="2" t="s">
        <v>442</v>
      </c>
      <c r="M17" s="1" t="str">
        <f t="shared" si="4"/>
        <v>Globe665 to 1439 lumens</v>
      </c>
      <c r="N17" s="1" t="str">
        <f t="shared" si="5"/>
        <v>LEDGlobe665 to 1439 lumens</v>
      </c>
      <c r="O17" s="1" t="str">
        <f t="shared" si="6"/>
        <v>RetailLEDGlobe665 to 1439 lumensANY</v>
      </c>
      <c r="P17" s="37">
        <f>VLOOKUP($M17,'Summary Tables'!$E$49:$N$63,7,FALSE)</f>
        <v>1.4133478593569577</v>
      </c>
      <c r="Q17" s="37">
        <f>VLOOKUP($M17,'Summary Tables'!$E$49:$N$63,9,FALSE)</f>
        <v>0.97668256411584331</v>
      </c>
      <c r="R17" s="37">
        <f>VLOOKUP($M17,'Summary Tables'!$E$49:$N$63,10,FALSE)</f>
        <v>854.01386924203234</v>
      </c>
      <c r="S17" s="37"/>
      <c r="T17" s="37">
        <f>IF($I17="General Purpose and Dimmable",$R17/45,VLOOKUP($M17,'Summary Tables'!$E$49:$N$63,5,FALSE))</f>
        <v>31.100271002710024</v>
      </c>
      <c r="U17" s="160">
        <f>IF($I17="General Purpose and Dimmable",VLOOKUP($J17,'CFL and LED Cost'!$C$73:$E$75,3,FALSE),VLOOKUP($M17,'Summary Tables'!$E$49:$N$63,6,FALSE))</f>
        <v>4.74556552718155</v>
      </c>
      <c r="V17" s="37">
        <f>IF($I17="General Purpose and Dimmable",Lifetime!$B$5/(P17*365.25),VLOOKUP($M17,'Summary Tables'!$E$49:$N$63,8,FALSE))</f>
        <v>2.7621105076077872</v>
      </c>
      <c r="X17" s="31">
        <f>VLOOKUP(N17,'CFL and LED Efficacy'!$D$57:$E$86,2,FALSE)</f>
        <v>76</v>
      </c>
      <c r="Y17" s="31">
        <f t="shared" si="23"/>
        <v>11.237024595289899</v>
      </c>
      <c r="Z17" s="161">
        <f>VLOOKUP(N17,'CFL and LED Cost'!$D$73:$K$102,MATCH(G17,'CFL and LED Cost'!$D$72:$K$72,0),FALSE)</f>
        <v>8.9136723969618856</v>
      </c>
      <c r="AA17" s="162">
        <f>VLOOKUP(H17,Lifetime!$A$4:$B$8,2,FALSE)</f>
        <v>28708.42332613391</v>
      </c>
      <c r="AB17" s="37">
        <f t="shared" si="7"/>
        <v>12</v>
      </c>
      <c r="AD17" s="163">
        <f>VLOOKUP(G17&amp;H17,StorageTakebackRemoval!$C$56:$H$67,5,FALSE)</f>
        <v>0.98</v>
      </c>
      <c r="AE17" s="163">
        <f>VLOOKUP(G17&amp;H17,StorageTakebackRemoval!$C$56:$H$67,6,FALSE)</f>
        <v>1</v>
      </c>
      <c r="AG17" s="163">
        <f>1-Q17*('Space Conditioning Interaction'!$B$23)</f>
        <v>0.80760927974501229</v>
      </c>
      <c r="AH17" s="1">
        <f>Q17*'Space Conditioning Interaction'!$I$9</f>
        <v>9.8075179664699526E-3</v>
      </c>
      <c r="AJ17" s="1">
        <f t="shared" si="8"/>
        <v>16.054746903553813</v>
      </c>
      <c r="AK17" s="1">
        <f t="shared" si="9"/>
        <v>5.8008364560768024</v>
      </c>
      <c r="AL17" s="1">
        <f t="shared" si="10"/>
        <v>10.253910447477011</v>
      </c>
      <c r="AM17" s="1">
        <f t="shared" si="11"/>
        <v>10.048832238527471</v>
      </c>
      <c r="AN17" s="1">
        <f t="shared" si="12"/>
        <v>8.1155301664356294</v>
      </c>
      <c r="AP17" s="1">
        <f t="shared" si="13"/>
        <v>-9.8554102721400638E-2</v>
      </c>
      <c r="AR17" s="1" t="str">
        <f t="shared" si="14"/>
        <v>RetailLEDGlobe665 to 1439 lumensANY</v>
      </c>
      <c r="AS17" s="1" t="str">
        <f t="shared" si="15"/>
        <v>RetailLEDGlobe665 to 1439 lumensANY</v>
      </c>
      <c r="AT17" s="1">
        <f t="shared" si="16"/>
        <v>8.1155301664356294</v>
      </c>
      <c r="AU17" s="37">
        <f t="shared" si="17"/>
        <v>12</v>
      </c>
      <c r="AV17" s="164">
        <f t="shared" si="18"/>
        <v>4.1681068697803356</v>
      </c>
      <c r="AW17" s="1">
        <v>0</v>
      </c>
      <c r="AX17" s="2" t="s">
        <v>443</v>
      </c>
      <c r="AY17" s="1">
        <v>0</v>
      </c>
      <c r="AZ17" s="1">
        <f t="shared" si="19"/>
        <v>-4.74556552718155</v>
      </c>
      <c r="BA17" s="1">
        <f t="shared" si="20"/>
        <v>2.7621105076077872</v>
      </c>
      <c r="BF17" s="1">
        <f t="shared" si="21"/>
        <v>-9.8554102721400638E-2</v>
      </c>
      <c r="BG17" s="2" t="s">
        <v>444</v>
      </c>
    </row>
    <row r="18" spans="1:61">
      <c r="A18" s="140">
        <f t="shared" si="22"/>
        <v>9</v>
      </c>
      <c r="B18" s="140">
        <f t="shared" si="0"/>
        <v>1</v>
      </c>
      <c r="C18" s="140">
        <f t="shared" si="0"/>
        <v>1</v>
      </c>
      <c r="D18" s="140">
        <f t="shared" si="0"/>
        <v>3</v>
      </c>
      <c r="E18" s="140">
        <f t="shared" si="2"/>
        <v>3</v>
      </c>
      <c r="G18" s="2" t="str">
        <f t="shared" si="3"/>
        <v>Retail</v>
      </c>
      <c r="H18" s="2" t="str">
        <f t="shared" si="1"/>
        <v>LED</v>
      </c>
      <c r="I18" s="2" t="str">
        <f t="shared" si="1"/>
        <v>Globe</v>
      </c>
      <c r="J18" s="2" t="str">
        <f t="shared" si="1"/>
        <v>1440 to 2600 lumens</v>
      </c>
      <c r="K18" s="2" t="s">
        <v>442</v>
      </c>
      <c r="M18" s="1" t="str">
        <f t="shared" si="4"/>
        <v>Globe1440 to 2600 lumens</v>
      </c>
      <c r="N18" s="1" t="str">
        <f t="shared" si="5"/>
        <v>LEDGlobe1440 to 2600 lumens</v>
      </c>
      <c r="O18" s="1" t="str">
        <f t="shared" si="6"/>
        <v>RetailLEDGlobe1440 to 2600 lumensANY</v>
      </c>
      <c r="P18" s="37">
        <f>VLOOKUP($M18,'Summary Tables'!$E$49:$N$63,7,FALSE)</f>
        <v>1.8779135295448872</v>
      </c>
      <c r="Q18" s="37">
        <f>VLOOKUP($M18,'Summary Tables'!$E$49:$N$63,9,FALSE)</f>
        <v>0.84854563840574837</v>
      </c>
      <c r="R18" s="37">
        <f>VLOOKUP($M18,'Summary Tables'!$E$49:$N$63,10,FALSE)</f>
        <v>1845.0029433386362</v>
      </c>
      <c r="S18" s="37"/>
      <c r="T18" s="37">
        <f>IF($I18="General Purpose and Dimmable",$R18/45,VLOOKUP($M18,'Summary Tables'!$E$49:$N$63,5,FALSE))</f>
        <v>37</v>
      </c>
      <c r="U18" s="160">
        <f>IF($I18="General Purpose and Dimmable",VLOOKUP($J18,'CFL and LED Cost'!$C$73:$E$75,3,FALSE),VLOOKUP($M18,'Summary Tables'!$E$49:$N$63,6,FALSE))</f>
        <v>5.4627245082786207</v>
      </c>
      <c r="V18" s="37">
        <f>IF($I18="General Purpose and Dimmable",Lifetime!$B$5/(P18*365.25),VLOOKUP($M18,'Summary Tables'!$E$49:$N$63,8,FALSE))</f>
        <v>2.0492242794119604</v>
      </c>
      <c r="X18" s="433">
        <f>X15/X13*X16</f>
        <v>86.554776312664501</v>
      </c>
      <c r="Y18" s="31">
        <f t="shared" si="23"/>
        <v>21.316015382835431</v>
      </c>
      <c r="Z18" s="161">
        <f>VLOOKUP(N18,'CFL and LED Cost'!$D$73:$K$102,MATCH(G18,'CFL and LED Cost'!$D$72:$K$72,0),FALSE)</f>
        <v>21.692</v>
      </c>
      <c r="AA18" s="162">
        <f>VLOOKUP(H18,Lifetime!$A$4:$B$8,2,FALSE)</f>
        <v>28708.42332613391</v>
      </c>
      <c r="AB18" s="37">
        <f t="shared" si="7"/>
        <v>12</v>
      </c>
      <c r="AD18" s="163">
        <f>VLOOKUP(G18&amp;H18,StorageTakebackRemoval!$C$56:$H$67,5,FALSE)</f>
        <v>0.98</v>
      </c>
      <c r="AE18" s="163">
        <f>VLOOKUP(G18&amp;H18,StorageTakebackRemoval!$C$56:$H$67,6,FALSE)</f>
        <v>1</v>
      </c>
      <c r="AG18" s="163">
        <f>1-Q18*('Space Conditioning Interaction'!$B$23)</f>
        <v>0.83285018844388103</v>
      </c>
      <c r="AH18" s="1">
        <f>Q18*'Space Conditioning Interaction'!$I$9</f>
        <v>8.5208100357231469E-3</v>
      </c>
      <c r="AJ18" s="1">
        <f t="shared" si="8"/>
        <v>25.378592916651993</v>
      </c>
      <c r="AK18" s="1">
        <f t="shared" si="9"/>
        <v>14.620823702866815</v>
      </c>
      <c r="AL18" s="1">
        <f t="shared" si="10"/>
        <v>10.757769213785178</v>
      </c>
      <c r="AM18" s="1">
        <f t="shared" si="11"/>
        <v>10.542613829509474</v>
      </c>
      <c r="AN18" s="1">
        <f t="shared" si="12"/>
        <v>8.780417914598031</v>
      </c>
      <c r="AP18" s="1">
        <f t="shared" si="13"/>
        <v>-8.9831609721237965E-2</v>
      </c>
      <c r="AR18" s="1" t="str">
        <f t="shared" si="14"/>
        <v>RetailLEDGlobe1440 to 2600 lumensANY</v>
      </c>
      <c r="AS18" s="1" t="str">
        <f t="shared" si="15"/>
        <v>RetailLEDGlobe1440 to 2600 lumensANY</v>
      </c>
      <c r="AT18" s="1">
        <f t="shared" si="16"/>
        <v>8.780417914598031</v>
      </c>
      <c r="AU18" s="37">
        <f t="shared" si="17"/>
        <v>12</v>
      </c>
      <c r="AV18" s="164">
        <f t="shared" si="18"/>
        <v>16.229275491721381</v>
      </c>
      <c r="AW18" s="1">
        <v>0</v>
      </c>
      <c r="AX18" s="2" t="s">
        <v>443</v>
      </c>
      <c r="AY18" s="1">
        <v>0</v>
      </c>
      <c r="AZ18" s="1">
        <f t="shared" si="19"/>
        <v>-5.4627245082786207</v>
      </c>
      <c r="BA18" s="1">
        <f t="shared" si="20"/>
        <v>2.0492242794119604</v>
      </c>
      <c r="BF18" s="1">
        <f t="shared" si="21"/>
        <v>-8.9831609721237965E-2</v>
      </c>
      <c r="BG18" s="2" t="s">
        <v>444</v>
      </c>
    </row>
    <row r="19" spans="1:61">
      <c r="A19" s="140">
        <f t="shared" si="22"/>
        <v>10</v>
      </c>
      <c r="B19" s="140">
        <f t="shared" si="0"/>
        <v>1</v>
      </c>
      <c r="C19" s="140">
        <f t="shared" si="0"/>
        <v>1</v>
      </c>
      <c r="D19" s="140">
        <f t="shared" si="0"/>
        <v>4</v>
      </c>
      <c r="E19" s="140">
        <f t="shared" si="2"/>
        <v>1</v>
      </c>
      <c r="G19" s="2" t="str">
        <f t="shared" si="3"/>
        <v>Retail</v>
      </c>
      <c r="H19" s="2" t="str">
        <f t="shared" si="1"/>
        <v>LED</v>
      </c>
      <c r="I19" s="2" t="str">
        <f t="shared" si="1"/>
        <v>Reflectors and Outdoor</v>
      </c>
      <c r="J19" s="2" t="str">
        <f t="shared" si="1"/>
        <v>250 to 664 lumens</v>
      </c>
      <c r="K19" s="2" t="s">
        <v>442</v>
      </c>
      <c r="M19" s="1" t="str">
        <f t="shared" si="4"/>
        <v>Reflectors and Outdoor250 to 664 lumens</v>
      </c>
      <c r="N19" s="1" t="str">
        <f t="shared" si="5"/>
        <v>LEDReflectors and Outdoor250 to 664 lumens</v>
      </c>
      <c r="O19" s="1" t="str">
        <f t="shared" si="6"/>
        <v>RetailLEDReflectors and Outdoor250 to 664 lumensANY</v>
      </c>
      <c r="P19" s="37">
        <f>VLOOKUP($M19,'Summary Tables'!$E$49:$N$63,7,FALSE)</f>
        <v>1.9506803142955835</v>
      </c>
      <c r="Q19" s="37">
        <f>VLOOKUP($M19,'Summary Tables'!$E$49:$N$63,9,FALSE)</f>
        <v>0.94622699649287401</v>
      </c>
      <c r="R19" s="37">
        <f>VLOOKUP($M19,'Summary Tables'!$E$49:$N$63,10,FALSE)</f>
        <v>479.73166573433264</v>
      </c>
      <c r="S19" s="37"/>
      <c r="T19" s="37">
        <f>IF($I19="General Purpose and Dimmable",$R19/45,VLOOKUP($M19,'Summary Tables'!$E$49:$N$63,5,FALSE))</f>
        <v>38</v>
      </c>
      <c r="U19" s="160">
        <f>IF($I19="General Purpose and Dimmable",VLOOKUP($J19,'CFL and LED Cost'!$C$73:$E$75,3,FALSE),VLOOKUP($M19,'Summary Tables'!$E$49:$N$63,6,FALSE))</f>
        <v>4.6350044381489033</v>
      </c>
      <c r="V19" s="37">
        <f>IF($I19="General Purpose and Dimmable",Lifetime!$B$5/(P19*365.25),VLOOKUP($M19,'Summary Tables'!$E$49:$N$63,8,FALSE))</f>
        <v>2.1002897994909375</v>
      </c>
      <c r="X19" s="31">
        <f>VLOOKUP(N19,'CFL and LED Efficacy'!$D$57:$E$86,2,FALSE)</f>
        <v>56.325863413141882</v>
      </c>
      <c r="Y19" s="31">
        <f t="shared" si="23"/>
        <v>8.5170761114760332</v>
      </c>
      <c r="Z19" s="161">
        <f>VLOOKUP(N19,'CFL and LED Cost'!$D$73:$K$102,MATCH(G19,'CFL and LED Cost'!$D$72:$K$72,0),FALSE)</f>
        <v>21.195435697005799</v>
      </c>
      <c r="AA19" s="162">
        <f>VLOOKUP(H19,Lifetime!$A$4:$B$8,2,FALSE)</f>
        <v>28708.42332613391</v>
      </c>
      <c r="AB19" s="37">
        <f t="shared" si="7"/>
        <v>12</v>
      </c>
      <c r="AD19" s="163">
        <f>VLOOKUP(G19&amp;H19,StorageTakebackRemoval!$C$56:$H$67,5,FALSE)</f>
        <v>0.98</v>
      </c>
      <c r="AE19" s="163">
        <f>VLOOKUP(G19&amp;H19,StorageTakebackRemoval!$C$56:$H$67,6,FALSE)</f>
        <v>1</v>
      </c>
      <c r="AG19" s="163">
        <f>1-Q19*('Space Conditioning Interaction'!$B$23)</f>
        <v>0.81360853559950974</v>
      </c>
      <c r="AH19" s="1">
        <f>Q19*'Space Conditioning Interaction'!$I$9</f>
        <v>9.5016933949913906E-3</v>
      </c>
      <c r="AJ19" s="1">
        <f t="shared" si="8"/>
        <v>27.074467422265553</v>
      </c>
      <c r="AK19" s="1">
        <f t="shared" si="9"/>
        <v>6.0682973608714219</v>
      </c>
      <c r="AL19" s="1">
        <f t="shared" si="10"/>
        <v>21.00617006139413</v>
      </c>
      <c r="AM19" s="1">
        <f t="shared" si="11"/>
        <v>20.586046660166247</v>
      </c>
      <c r="AN19" s="1">
        <f t="shared" si="12"/>
        <v>16.748983276961038</v>
      </c>
      <c r="AP19" s="1">
        <f t="shared" si="13"/>
        <v>-0.1956023035798862</v>
      </c>
      <c r="AR19" s="1" t="str">
        <f t="shared" si="14"/>
        <v>RetailLEDReflectors and Outdoor250 to 664 lumensANY</v>
      </c>
      <c r="AS19" s="1" t="str">
        <f t="shared" si="15"/>
        <v>RetailLEDReflectors and Outdoor250 to 664 lumensANY</v>
      </c>
      <c r="AT19" s="1">
        <f t="shared" si="16"/>
        <v>16.748983276961038</v>
      </c>
      <c r="AU19" s="37">
        <f t="shared" si="17"/>
        <v>12</v>
      </c>
      <c r="AV19" s="164">
        <f t="shared" si="18"/>
        <v>16.560431258856894</v>
      </c>
      <c r="AW19" s="1">
        <v>0</v>
      </c>
      <c r="AX19" s="2" t="s">
        <v>443</v>
      </c>
      <c r="AY19" s="1">
        <v>0</v>
      </c>
      <c r="AZ19" s="1">
        <f t="shared" si="19"/>
        <v>-4.6350044381489033</v>
      </c>
      <c r="BA19" s="1">
        <f t="shared" si="20"/>
        <v>2.1002897994909375</v>
      </c>
      <c r="BF19" s="1">
        <f t="shared" si="21"/>
        <v>-0.1956023035798862</v>
      </c>
      <c r="BG19" s="2" t="s">
        <v>444</v>
      </c>
    </row>
    <row r="20" spans="1:61">
      <c r="A20" s="140">
        <f t="shared" si="22"/>
        <v>11</v>
      </c>
      <c r="B20" s="140">
        <f t="shared" si="0"/>
        <v>1</v>
      </c>
      <c r="C20" s="140">
        <f t="shared" si="0"/>
        <v>1</v>
      </c>
      <c r="D20" s="140">
        <f t="shared" si="0"/>
        <v>4</v>
      </c>
      <c r="E20" s="140">
        <f t="shared" si="2"/>
        <v>2</v>
      </c>
      <c r="G20" s="2" t="str">
        <f t="shared" si="3"/>
        <v>Retail</v>
      </c>
      <c r="H20" s="2" t="str">
        <f t="shared" si="1"/>
        <v>LED</v>
      </c>
      <c r="I20" s="2" t="str">
        <f t="shared" si="1"/>
        <v>Reflectors and Outdoor</v>
      </c>
      <c r="J20" s="2" t="str">
        <f t="shared" si="1"/>
        <v>665 to 1439 lumens</v>
      </c>
      <c r="K20" s="2" t="s">
        <v>442</v>
      </c>
      <c r="M20" s="1" t="str">
        <f t="shared" si="4"/>
        <v>Reflectors and Outdoor665 to 1439 lumens</v>
      </c>
      <c r="N20" s="1" t="str">
        <f t="shared" si="5"/>
        <v>LEDReflectors and Outdoor665 to 1439 lumens</v>
      </c>
      <c r="O20" s="1" t="str">
        <f t="shared" si="6"/>
        <v>RetailLEDReflectors and Outdoor665 to 1439 lumensANY</v>
      </c>
      <c r="P20" s="37">
        <f>VLOOKUP($M20,'Summary Tables'!$E$49:$N$63,7,FALSE)</f>
        <v>2.2112998582903738</v>
      </c>
      <c r="Q20" s="37">
        <f>VLOOKUP($M20,'Summary Tables'!$E$49:$N$63,9,FALSE)</f>
        <v>0.82931998492682701</v>
      </c>
      <c r="R20" s="37">
        <f>VLOOKUP($M20,'Summary Tables'!$E$49:$N$63,10,FALSE)</f>
        <v>972.55453255182397</v>
      </c>
      <c r="S20" s="37"/>
      <c r="T20" s="37">
        <f>IF($I20="General Purpose and Dimmable",$R20/45,VLOOKUP($M20,'Summary Tables'!$E$49:$N$63,5,FALSE))</f>
        <v>33.801608579088473</v>
      </c>
      <c r="U20" s="160">
        <f>IF($I20="General Purpose and Dimmable",VLOOKUP($J20,'CFL and LED Cost'!$C$73:$E$75,3,FALSE),VLOOKUP($M20,'Summary Tables'!$E$49:$N$63,6,FALSE))</f>
        <v>6.0025868409413388</v>
      </c>
      <c r="V20" s="37">
        <f>IF($I20="General Purpose and Dimmable",Lifetime!$B$5/(P20*365.25),VLOOKUP($M20,'Summary Tables'!$E$49:$N$63,8,FALSE))</f>
        <v>2.7605785479478313</v>
      </c>
      <c r="X20" s="31">
        <f>VLOOKUP(N20,'CFL and LED Efficacy'!$D$57:$E$86,2,FALSE)</f>
        <v>67</v>
      </c>
      <c r="Y20" s="31">
        <f t="shared" si="23"/>
        <v>14.515739291818269</v>
      </c>
      <c r="Z20" s="161">
        <f>VLOOKUP(N20,'CFL and LED Cost'!$D$73:$K$102,MATCH(G20,'CFL and LED Cost'!$D$72:$K$72,0),FALSE)</f>
        <v>17.935480603886987</v>
      </c>
      <c r="AA20" s="162">
        <f>VLOOKUP(H20,Lifetime!$A$4:$B$8,2,FALSE)</f>
        <v>28708.42332613391</v>
      </c>
      <c r="AB20" s="37">
        <f t="shared" si="7"/>
        <v>12</v>
      </c>
      <c r="AD20" s="163">
        <f>VLOOKUP(G20&amp;H20,StorageTakebackRemoval!$C$56:$H$67,5,FALSE)</f>
        <v>0.98</v>
      </c>
      <c r="AE20" s="163">
        <f>VLOOKUP(G20&amp;H20,StorageTakebackRemoval!$C$56:$H$67,6,FALSE)</f>
        <v>1</v>
      </c>
      <c r="AG20" s="163">
        <f>1-Q20*('Space Conditioning Interaction'!$B$23)</f>
        <v>0.83663733224687387</v>
      </c>
      <c r="AH20" s="1">
        <f>Q20*'Space Conditioning Interaction'!$I$9</f>
        <v>8.3277524867923537E-3</v>
      </c>
      <c r="AJ20" s="1">
        <f t="shared" si="8"/>
        <v>27.300791048302866</v>
      </c>
      <c r="AK20" s="1">
        <f t="shared" si="9"/>
        <v>11.724032730286623</v>
      </c>
      <c r="AL20" s="1">
        <f t="shared" si="10"/>
        <v>15.576758318016243</v>
      </c>
      <c r="AM20" s="1">
        <f t="shared" si="11"/>
        <v>15.265223151655917</v>
      </c>
      <c r="AN20" s="1">
        <f t="shared" si="12"/>
        <v>12.771455573754622</v>
      </c>
      <c r="AP20" s="1">
        <f t="shared" si="13"/>
        <v>-0.12712500006264277</v>
      </c>
      <c r="AR20" s="1" t="str">
        <f t="shared" si="14"/>
        <v>RetailLEDReflectors and Outdoor665 to 1439 lumensANY</v>
      </c>
      <c r="AS20" s="1" t="str">
        <f t="shared" si="15"/>
        <v>RetailLEDReflectors and Outdoor665 to 1439 lumensANY</v>
      </c>
      <c r="AT20" s="1">
        <f t="shared" si="16"/>
        <v>12.771455573754622</v>
      </c>
      <c r="AU20" s="37">
        <f t="shared" si="17"/>
        <v>12</v>
      </c>
      <c r="AV20" s="164">
        <f t="shared" si="18"/>
        <v>11.932893762945648</v>
      </c>
      <c r="AW20" s="1">
        <v>0</v>
      </c>
      <c r="AX20" s="2" t="s">
        <v>443</v>
      </c>
      <c r="AY20" s="1">
        <v>0</v>
      </c>
      <c r="AZ20" s="1">
        <f t="shared" si="19"/>
        <v>-6.0025868409413388</v>
      </c>
      <c r="BA20" s="1">
        <f t="shared" si="20"/>
        <v>2.7605785479478313</v>
      </c>
      <c r="BF20" s="1">
        <f t="shared" si="21"/>
        <v>-0.12712500006264277</v>
      </c>
      <c r="BG20" s="2" t="s">
        <v>444</v>
      </c>
    </row>
    <row r="21" spans="1:61">
      <c r="A21" s="140">
        <f t="shared" si="22"/>
        <v>12</v>
      </c>
      <c r="B21" s="140">
        <f t="shared" si="0"/>
        <v>1</v>
      </c>
      <c r="C21" s="140">
        <f t="shared" si="0"/>
        <v>1</v>
      </c>
      <c r="D21" s="140">
        <f t="shared" si="0"/>
        <v>4</v>
      </c>
      <c r="E21" s="140">
        <f t="shared" si="2"/>
        <v>3</v>
      </c>
      <c r="G21" s="2" t="str">
        <f t="shared" si="3"/>
        <v>Retail</v>
      </c>
      <c r="H21" s="2" t="str">
        <f t="shared" si="1"/>
        <v>LED</v>
      </c>
      <c r="I21" s="2" t="str">
        <f t="shared" si="1"/>
        <v>Reflectors and Outdoor</v>
      </c>
      <c r="J21" s="2" t="str">
        <f t="shared" si="1"/>
        <v>1440 to 2600 lumens</v>
      </c>
      <c r="K21" s="2" t="s">
        <v>442</v>
      </c>
      <c r="M21" s="1" t="str">
        <f t="shared" si="4"/>
        <v>Reflectors and Outdoor1440 to 2600 lumens</v>
      </c>
      <c r="N21" s="1" t="str">
        <f t="shared" si="5"/>
        <v>LEDReflectors and Outdoor1440 to 2600 lumens</v>
      </c>
      <c r="O21" s="1" t="str">
        <f t="shared" si="6"/>
        <v>RetailLEDReflectors and Outdoor1440 to 2600 lumensANY</v>
      </c>
      <c r="P21" s="37">
        <f>VLOOKUP($M21,'Summary Tables'!$E$49:$N$63,7,FALSE)</f>
        <v>3.1412077290657425</v>
      </c>
      <c r="Q21" s="37">
        <f>VLOOKUP($M21,'Summary Tables'!$E$49:$N$63,9,FALSE)</f>
        <v>0.2985167573190915</v>
      </c>
      <c r="R21" s="37">
        <f>VLOOKUP($M21,'Summary Tables'!$E$49:$N$63,10,FALSE)</f>
        <v>1835.2728077183538</v>
      </c>
      <c r="S21" s="37"/>
      <c r="T21" s="37">
        <f>IF($I21="General Purpose and Dimmable",$R21/45,VLOOKUP($M21,'Summary Tables'!$E$49:$N$63,5,FALSE))</f>
        <v>92</v>
      </c>
      <c r="U21" s="160">
        <f>IF($I21="General Purpose and Dimmable",VLOOKUP($J21,'CFL and LED Cost'!$C$73:$E$75,3,FALSE),VLOOKUP($M21,'Summary Tables'!$E$49:$N$63,6,FALSE))</f>
        <v>6.8379432184399001</v>
      </c>
      <c r="V21" s="37">
        <f>IF($I21="General Purpose and Dimmable",Lifetime!$B$5/(P21*365.25),VLOOKUP($M21,'Summary Tables'!$E$49:$N$63,8,FALSE))</f>
        <v>1.8152462117520278</v>
      </c>
      <c r="X21" s="31">
        <f>VLOOKUP(N21,'CFL and LED Efficacy'!$D$57:$E$86,2,FALSE)</f>
        <v>67</v>
      </c>
      <c r="Y21" s="31">
        <f t="shared" si="23"/>
        <v>27.392131458482893</v>
      </c>
      <c r="Z21" s="161">
        <f>VLOOKUP(N21,'CFL and LED Cost'!$D$73:$K$102,MATCH(G21,'CFL and LED Cost'!$D$72:$K$72,0),FALSE)</f>
        <v>32.537999999999997</v>
      </c>
      <c r="AA21" s="162">
        <f>VLOOKUP(H21,Lifetime!$A$4:$B$8,2,FALSE)</f>
        <v>28708.42332613391</v>
      </c>
      <c r="AB21" s="37">
        <f t="shared" si="7"/>
        <v>12</v>
      </c>
      <c r="AD21" s="163">
        <f>VLOOKUP(G21&amp;H21,StorageTakebackRemoval!$C$56:$H$67,5,FALSE)</f>
        <v>0.98</v>
      </c>
      <c r="AE21" s="163">
        <f>VLOOKUP(G21&amp;H21,StorageTakebackRemoval!$C$56:$H$67,6,FALSE)</f>
        <v>1</v>
      </c>
      <c r="AG21" s="163">
        <f>1-Q21*('Space Conditioning Interaction'!$B$23)</f>
        <v>0.94119701112838594</v>
      </c>
      <c r="AH21" s="1">
        <f>Q21*'Space Conditioning Interaction'!$I$9</f>
        <v>2.9976049212567784E-3</v>
      </c>
      <c r="AJ21" s="1">
        <f t="shared" si="8"/>
        <v>105.55400331979615</v>
      </c>
      <c r="AK21" s="1">
        <f t="shared" si="9"/>
        <v>31.427707988097779</v>
      </c>
      <c r="AL21" s="1">
        <f t="shared" si="10"/>
        <v>74.126295331698373</v>
      </c>
      <c r="AM21" s="1">
        <f t="shared" si="11"/>
        <v>72.643769425064406</v>
      </c>
      <c r="AN21" s="1">
        <f t="shared" si="12"/>
        <v>68.372098659970248</v>
      </c>
      <c r="AP21" s="1">
        <f t="shared" si="13"/>
        <v>-0.21775732072721576</v>
      </c>
      <c r="AR21" s="1" t="str">
        <f t="shared" si="14"/>
        <v>RetailLEDReflectors and Outdoor1440 to 2600 lumensANY</v>
      </c>
      <c r="AS21" s="1" t="str">
        <f t="shared" si="15"/>
        <v>RetailLEDReflectors and Outdoor1440 to 2600 lumensANY</v>
      </c>
      <c r="AT21" s="1">
        <f t="shared" si="16"/>
        <v>68.372098659970248</v>
      </c>
      <c r="AU21" s="37">
        <f t="shared" si="17"/>
        <v>12</v>
      </c>
      <c r="AV21" s="164">
        <f t="shared" si="18"/>
        <v>25.700056781560097</v>
      </c>
      <c r="AW21" s="1">
        <v>0</v>
      </c>
      <c r="AX21" s="2" t="s">
        <v>443</v>
      </c>
      <c r="AY21" s="1">
        <v>0</v>
      </c>
      <c r="AZ21" s="1">
        <f t="shared" si="19"/>
        <v>-6.8379432184399001</v>
      </c>
      <c r="BA21" s="1">
        <f t="shared" si="20"/>
        <v>1.8152462117520278</v>
      </c>
      <c r="BF21" s="1">
        <f t="shared" si="21"/>
        <v>-0.21775732072721576</v>
      </c>
      <c r="BG21" s="2" t="s">
        <v>444</v>
      </c>
    </row>
    <row r="22" spans="1:61">
      <c r="A22" s="140">
        <f t="shared" si="22"/>
        <v>13</v>
      </c>
      <c r="B22" s="140">
        <f t="shared" si="0"/>
        <v>1</v>
      </c>
      <c r="C22" s="140">
        <f t="shared" si="0"/>
        <v>1</v>
      </c>
      <c r="D22" s="140">
        <f t="shared" si="0"/>
        <v>5</v>
      </c>
      <c r="E22" s="140">
        <f t="shared" si="2"/>
        <v>1</v>
      </c>
      <c r="G22" s="2" t="str">
        <f t="shared" si="3"/>
        <v>Retail</v>
      </c>
      <c r="H22" s="2" t="str">
        <f t="shared" si="1"/>
        <v>LED</v>
      </c>
      <c r="I22" s="2" t="str">
        <f t="shared" si="1"/>
        <v>Three-Way</v>
      </c>
      <c r="J22" s="2" t="str">
        <f t="shared" si="1"/>
        <v>250 to 664 lumens</v>
      </c>
      <c r="K22" s="2" t="s">
        <v>442</v>
      </c>
      <c r="M22" s="1" t="str">
        <f t="shared" si="4"/>
        <v>Three-Way250 to 664 lumens</v>
      </c>
      <c r="N22" s="1" t="str">
        <f t="shared" si="5"/>
        <v>LEDThree-Way250 to 664 lumens</v>
      </c>
      <c r="O22" s="1" t="str">
        <f t="shared" si="6"/>
        <v>RetailLEDThree-Way250 to 664 lumensANY</v>
      </c>
      <c r="P22" s="37">
        <f>VLOOKUP($M22,'Summary Tables'!$E$49:$N$63,7,FALSE)</f>
        <v>1.6416684714322591</v>
      </c>
      <c r="Q22" s="37">
        <f>VLOOKUP($M22,'Summary Tables'!$E$49:$N$63,9,FALSE)</f>
        <v>1</v>
      </c>
      <c r="R22" s="37">
        <f>VLOOKUP($M22,'Summary Tables'!$E$49:$N$63,10,FALSE)</f>
        <v>415.0645318455953</v>
      </c>
      <c r="S22" s="37"/>
      <c r="T22" s="37">
        <f>IF($I22="General Purpose and Dimmable",$R22/45,VLOOKUP($M22,'Summary Tables'!$E$49:$N$63,5,FALSE))</f>
        <v>91</v>
      </c>
      <c r="U22" s="160">
        <f>IF($I22="General Purpose and Dimmable",VLOOKUP($J22,'CFL and LED Cost'!$C$73:$E$75,3,FALSE),VLOOKUP($M22,'Summary Tables'!$E$49:$N$63,6,FALSE))</f>
        <v>2.5086033161955381</v>
      </c>
      <c r="V22" s="37">
        <f>IF($I22="General Purpose and Dimmable",Lifetime!$B$5/(P22*365.25),VLOOKUP($M22,'Summary Tables'!$E$49:$N$63,8,FALSE))</f>
        <v>1.9664811264199897</v>
      </c>
      <c r="X22" s="433">
        <f>X13</f>
        <v>62.45548098813935</v>
      </c>
      <c r="Y22" s="31">
        <f t="shared" si="23"/>
        <v>6.6457663167211605</v>
      </c>
      <c r="Z22" s="161">
        <f>VLOOKUP(N22,'CFL and LED Cost'!$D$73:$K$102,MATCH(G22,'CFL and LED Cost'!$D$72:$K$72,0),FALSE)</f>
        <v>21.195435697005799</v>
      </c>
      <c r="AA22" s="162">
        <f>VLOOKUP(H22,Lifetime!$A$4:$B$8,2,FALSE)</f>
        <v>28708.42332613391</v>
      </c>
      <c r="AB22" s="37">
        <f t="shared" si="7"/>
        <v>12</v>
      </c>
      <c r="AD22" s="163">
        <f>VLOOKUP(G22&amp;H22,StorageTakebackRemoval!$C$56:$H$67,5,FALSE)</f>
        <v>0.98</v>
      </c>
      <c r="AE22" s="163">
        <f>VLOOKUP(G22&amp;H22,StorageTakebackRemoval!$C$56:$H$67,6,FALSE)</f>
        <v>1</v>
      </c>
      <c r="AG22" s="163">
        <f>1-Q22*('Space Conditioning Interaction'!$B$23)</f>
        <v>0.8030161207708747</v>
      </c>
      <c r="AH22" s="1">
        <f>Q22*'Space Conditioning Interaction'!$I$9</f>
        <v>1.0041663818733528E-2</v>
      </c>
      <c r="AJ22" s="1">
        <f t="shared" si="8"/>
        <v>54.565366236347565</v>
      </c>
      <c r="AK22" s="1">
        <f t="shared" si="9"/>
        <v>3.9849304724513495</v>
      </c>
      <c r="AL22" s="1">
        <f t="shared" si="10"/>
        <v>50.580435763896219</v>
      </c>
      <c r="AM22" s="1">
        <f t="shared" si="11"/>
        <v>49.568827048618296</v>
      </c>
      <c r="AN22" s="1">
        <f t="shared" si="12"/>
        <v>39.804567207743872</v>
      </c>
      <c r="AP22" s="1">
        <f t="shared" si="13"/>
        <v>-0.49775349711117017</v>
      </c>
      <c r="AR22" s="1" t="str">
        <f t="shared" si="14"/>
        <v>RetailLEDThree-Way250 to 664 lumensANY</v>
      </c>
      <c r="AS22" s="1" t="str">
        <f t="shared" si="15"/>
        <v>RetailLEDThree-Way250 to 664 lumensANY</v>
      </c>
      <c r="AT22" s="1">
        <f t="shared" si="16"/>
        <v>39.804567207743872</v>
      </c>
      <c r="AU22" s="37">
        <f t="shared" si="17"/>
        <v>12</v>
      </c>
      <c r="AV22" s="164">
        <f t="shared" si="18"/>
        <v>18.686832380810259</v>
      </c>
      <c r="AW22" s="1">
        <v>0</v>
      </c>
      <c r="AX22" s="2" t="s">
        <v>443</v>
      </c>
      <c r="AY22" s="1">
        <v>0</v>
      </c>
      <c r="AZ22" s="1">
        <f t="shared" si="19"/>
        <v>-2.5086033161955381</v>
      </c>
      <c r="BA22" s="1">
        <f t="shared" si="20"/>
        <v>1.9664811264199897</v>
      </c>
      <c r="BF22" s="1">
        <f t="shared" si="21"/>
        <v>-0.49775349711117017</v>
      </c>
      <c r="BG22" s="2" t="s">
        <v>444</v>
      </c>
    </row>
    <row r="23" spans="1:61">
      <c r="A23" s="140">
        <f t="shared" si="22"/>
        <v>14</v>
      </c>
      <c r="B23" s="140">
        <f t="shared" si="0"/>
        <v>1</v>
      </c>
      <c r="C23" s="140">
        <f t="shared" si="0"/>
        <v>1</v>
      </c>
      <c r="D23" s="140">
        <f t="shared" si="0"/>
        <v>5</v>
      </c>
      <c r="E23" s="140">
        <f t="shared" si="2"/>
        <v>2</v>
      </c>
      <c r="G23" s="2" t="str">
        <f t="shared" si="3"/>
        <v>Retail</v>
      </c>
      <c r="H23" s="2" t="str">
        <f t="shared" si="1"/>
        <v>LED</v>
      </c>
      <c r="I23" s="2" t="str">
        <f t="shared" si="1"/>
        <v>Three-Way</v>
      </c>
      <c r="J23" s="2" t="str">
        <f t="shared" si="1"/>
        <v>665 to 1439 lumens</v>
      </c>
      <c r="K23" s="2" t="s">
        <v>442</v>
      </c>
      <c r="M23" s="1" t="str">
        <f t="shared" si="4"/>
        <v>Three-Way665 to 1439 lumens</v>
      </c>
      <c r="N23" s="1" t="str">
        <f t="shared" si="5"/>
        <v>LEDThree-Way665 to 1439 lumens</v>
      </c>
      <c r="O23" s="1" t="str">
        <f t="shared" si="6"/>
        <v>RetailLEDThree-Way665 to 1439 lumensANY</v>
      </c>
      <c r="P23" s="37">
        <f>VLOOKUP($M23,'Summary Tables'!$E$49:$N$63,7,FALSE)</f>
        <v>1.9012991277195712</v>
      </c>
      <c r="Q23" s="37">
        <f>VLOOKUP($M23,'Summary Tables'!$E$49:$N$63,9,FALSE)</f>
        <v>0.9977909622715454</v>
      </c>
      <c r="R23" s="37">
        <f>VLOOKUP($M23,'Summary Tables'!$E$49:$N$63,10,FALSE)</f>
        <v>1132.8409655317996</v>
      </c>
      <c r="S23" s="37"/>
      <c r="T23" s="37">
        <f>IF($I23="General Purpose and Dimmable",$R23/45,VLOOKUP($M23,'Summary Tables'!$E$49:$N$63,5,FALSE))</f>
        <v>91</v>
      </c>
      <c r="U23" s="160">
        <f>IF($I23="General Purpose and Dimmable",VLOOKUP($J23,'CFL and LED Cost'!$C$73:$E$75,3,FALSE),VLOOKUP($M23,'Summary Tables'!$E$49:$N$63,6,FALSE))</f>
        <v>6.020444707725451</v>
      </c>
      <c r="V23" s="37">
        <f>IF($I23="General Purpose and Dimmable",Lifetime!$B$5/(P23*365.25),VLOOKUP($M23,'Summary Tables'!$E$49:$N$63,8,FALSE))</f>
        <v>3.7098631590053808</v>
      </c>
      <c r="X23" s="433">
        <f t="shared" ref="X23:X24" si="24">X14</f>
        <v>90</v>
      </c>
      <c r="Y23" s="31">
        <f t="shared" si="23"/>
        <v>12.587121839242219</v>
      </c>
      <c r="Z23" s="161">
        <f>VLOOKUP(N23,'CFL and LED Cost'!$D$73:$K$102,MATCH(G23,'CFL and LED Cost'!$D$72:$K$72,0),FALSE)</f>
        <v>17.935480603886987</v>
      </c>
      <c r="AA23" s="162">
        <f>VLOOKUP(H23,Lifetime!$A$4:$B$8,2,FALSE)</f>
        <v>28708.42332613391</v>
      </c>
      <c r="AB23" s="37">
        <f t="shared" si="7"/>
        <v>12</v>
      </c>
      <c r="AD23" s="163">
        <f>VLOOKUP(G23&amp;H23,StorageTakebackRemoval!$C$56:$H$67,5,FALSE)</f>
        <v>0.98</v>
      </c>
      <c r="AE23" s="163">
        <f>VLOOKUP(G23&amp;H23,StorageTakebackRemoval!$C$56:$H$67,6,FALSE)</f>
        <v>1</v>
      </c>
      <c r="AG23" s="163">
        <f>1-Q23*('Space Conditioning Interaction'!$B$23)</f>
        <v>0.80345126559198921</v>
      </c>
      <c r="AH23" s="1">
        <f>Q23*'Space Conditioning Interaction'!$I$9</f>
        <v>1.0019481404501488E-2</v>
      </c>
      <c r="AJ23" s="1">
        <f t="shared" si="8"/>
        <v>63.194905082361174</v>
      </c>
      <c r="AK23" s="1">
        <f t="shared" si="9"/>
        <v>8.741120548253047</v>
      </c>
      <c r="AL23" s="1">
        <f t="shared" si="10"/>
        <v>54.453784534108124</v>
      </c>
      <c r="AM23" s="1">
        <f t="shared" si="11"/>
        <v>53.364708843425959</v>
      </c>
      <c r="AN23" s="1">
        <f t="shared" si="12"/>
        <v>42.875942858198606</v>
      </c>
      <c r="AP23" s="1">
        <f t="shared" si="13"/>
        <v>-0.5346867079133425</v>
      </c>
      <c r="AR23" s="1" t="str">
        <f t="shared" si="14"/>
        <v>RetailLEDThree-Way665 to 1439 lumensANY</v>
      </c>
      <c r="AS23" s="1" t="str">
        <f t="shared" si="15"/>
        <v>RetailLEDThree-Way665 to 1439 lumensANY</v>
      </c>
      <c r="AT23" s="1">
        <f t="shared" si="16"/>
        <v>42.875942858198606</v>
      </c>
      <c r="AU23" s="37">
        <f t="shared" si="17"/>
        <v>12</v>
      </c>
      <c r="AV23" s="164">
        <f t="shared" si="18"/>
        <v>11.915035896161536</v>
      </c>
      <c r="AW23" s="1">
        <v>0</v>
      </c>
      <c r="AX23" s="2" t="s">
        <v>443</v>
      </c>
      <c r="AY23" s="1">
        <v>0</v>
      </c>
      <c r="AZ23" s="1">
        <f t="shared" si="19"/>
        <v>-6.020444707725451</v>
      </c>
      <c r="BA23" s="1">
        <f t="shared" si="20"/>
        <v>3.7098631590053808</v>
      </c>
      <c r="BF23" s="1">
        <f t="shared" si="21"/>
        <v>-0.5346867079133425</v>
      </c>
      <c r="BG23" s="2" t="s">
        <v>444</v>
      </c>
    </row>
    <row r="24" spans="1:61">
      <c r="A24" s="140">
        <f t="shared" si="22"/>
        <v>15</v>
      </c>
      <c r="B24" s="140">
        <f t="shared" si="0"/>
        <v>1</v>
      </c>
      <c r="C24" s="140">
        <f t="shared" si="0"/>
        <v>1</v>
      </c>
      <c r="D24" s="140">
        <f t="shared" si="0"/>
        <v>5</v>
      </c>
      <c r="E24" s="140">
        <f t="shared" si="2"/>
        <v>3</v>
      </c>
      <c r="G24" s="2" t="str">
        <f t="shared" si="3"/>
        <v>Retail</v>
      </c>
      <c r="H24" s="2" t="str">
        <f t="shared" si="1"/>
        <v>LED</v>
      </c>
      <c r="I24" s="2" t="str">
        <f t="shared" si="1"/>
        <v>Three-Way</v>
      </c>
      <c r="J24" s="2" t="str">
        <f t="shared" si="1"/>
        <v>1440 to 2600 lumens</v>
      </c>
      <c r="K24" s="2" t="s">
        <v>442</v>
      </c>
      <c r="M24" s="1" t="str">
        <f t="shared" si="4"/>
        <v>Three-Way1440 to 2600 lumens</v>
      </c>
      <c r="N24" s="1" t="str">
        <f t="shared" si="5"/>
        <v>LEDThree-Way1440 to 2600 lumens</v>
      </c>
      <c r="O24" s="1" t="str">
        <f t="shared" si="6"/>
        <v>RetailLEDThree-Way1440 to 2600 lumensANY</v>
      </c>
      <c r="P24" s="37">
        <f>VLOOKUP($M24,'Summary Tables'!$E$49:$N$63,7,FALSE)</f>
        <v>1.9748391432257275</v>
      </c>
      <c r="Q24" s="37">
        <f>VLOOKUP($M24,'Summary Tables'!$E$49:$N$63,9,FALSE)</f>
        <v>0.99652187968377692</v>
      </c>
      <c r="R24" s="37">
        <f>VLOOKUP($M24,'Summary Tables'!$E$49:$N$63,10,FALSE)</f>
        <v>1994.6302871120699</v>
      </c>
      <c r="S24" s="37"/>
      <c r="T24" s="37">
        <f>IF($I24="General Purpose and Dimmable",$R24/45,VLOOKUP($M24,'Summary Tables'!$E$49:$N$63,5,FALSE))</f>
        <v>91</v>
      </c>
      <c r="U24" s="160">
        <f>IF($I24="General Purpose and Dimmable",VLOOKUP($J24,'CFL and LED Cost'!$C$73:$E$75,3,FALSE),VLOOKUP($M24,'Summary Tables'!$E$49:$N$63,6,FALSE))</f>
        <v>5.8123669887989093</v>
      </c>
      <c r="V24" s="37">
        <f>IF($I24="General Purpose and Dimmable",Lifetime!$B$5/(P24*365.25),VLOOKUP($M24,'Summary Tables'!$E$49:$N$63,8,FALSE))</f>
        <v>1.7652962324402386</v>
      </c>
      <c r="X24" s="433">
        <f t="shared" si="24"/>
        <v>85</v>
      </c>
      <c r="Y24" s="31">
        <f t="shared" si="23"/>
        <v>23.466238671906705</v>
      </c>
      <c r="Z24" s="161">
        <f>VLOOKUP(N24,'CFL and LED Cost'!$D$73:$K$102,MATCH(G24,'CFL and LED Cost'!$D$72:$K$72,0),FALSE)</f>
        <v>32.537999999999997</v>
      </c>
      <c r="AA24" s="162">
        <f>VLOOKUP(H24,Lifetime!$A$4:$B$8,2,FALSE)</f>
        <v>28708.42332613391</v>
      </c>
      <c r="AB24" s="37">
        <f t="shared" si="7"/>
        <v>12</v>
      </c>
      <c r="AD24" s="163">
        <f>VLOOKUP(G24&amp;H24,StorageTakebackRemoval!$C$56:$H$67,5,FALSE)</f>
        <v>0.98</v>
      </c>
      <c r="AE24" s="163">
        <f>VLOOKUP(G24&amp;H24,StorageTakebackRemoval!$C$56:$H$67,6,FALSE)</f>
        <v>1</v>
      </c>
      <c r="AG24" s="163">
        <f>1-Q24*('Space Conditioning Interaction'!$B$23)</f>
        <v>0.80370125440318996</v>
      </c>
      <c r="AH24" s="1">
        <f>Q24*'Space Conditioning Interaction'!$I$9</f>
        <v>1.000673770379691E-2</v>
      </c>
      <c r="AJ24" s="1">
        <f t="shared" si="8"/>
        <v>65.639209732750928</v>
      </c>
      <c r="AK24" s="1">
        <f t="shared" si="9"/>
        <v>16.926432547517301</v>
      </c>
      <c r="AL24" s="1">
        <f t="shared" si="10"/>
        <v>48.712777185233627</v>
      </c>
      <c r="AM24" s="1">
        <f t="shared" si="11"/>
        <v>47.738521641528955</v>
      </c>
      <c r="AN24" s="1">
        <f t="shared" si="12"/>
        <v>38.367509726650653</v>
      </c>
      <c r="AP24" s="1">
        <f t="shared" si="13"/>
        <v>-0.47770686443381255</v>
      </c>
      <c r="AR24" s="1" t="str">
        <f t="shared" si="14"/>
        <v>RetailLEDThree-Way1440 to 2600 lumensANY</v>
      </c>
      <c r="AS24" s="1" t="str">
        <f t="shared" si="15"/>
        <v>RetailLEDThree-Way1440 to 2600 lumensANY</v>
      </c>
      <c r="AT24" s="1">
        <f t="shared" si="16"/>
        <v>38.367509726650653</v>
      </c>
      <c r="AU24" s="37">
        <f t="shared" si="17"/>
        <v>12</v>
      </c>
      <c r="AV24" s="164">
        <f t="shared" si="18"/>
        <v>26.725633011201086</v>
      </c>
      <c r="AW24" s="1">
        <v>0</v>
      </c>
      <c r="AX24" s="2" t="s">
        <v>443</v>
      </c>
      <c r="AY24" s="1">
        <v>0</v>
      </c>
      <c r="AZ24" s="1">
        <f t="shared" si="19"/>
        <v>-5.8123669887989093</v>
      </c>
      <c r="BA24" s="1">
        <f t="shared" si="20"/>
        <v>1.7652962324402386</v>
      </c>
      <c r="BF24" s="1">
        <f t="shared" si="21"/>
        <v>-0.47770686443381255</v>
      </c>
      <c r="BG24" s="2" t="s">
        <v>444</v>
      </c>
    </row>
    <row r="25" spans="1:61" s="451" customFormat="1">
      <c r="A25" s="450">
        <f t="shared" si="22"/>
        <v>16</v>
      </c>
      <c r="B25" s="450">
        <f t="shared" si="0"/>
        <v>1</v>
      </c>
      <c r="C25" s="450">
        <f t="shared" si="0"/>
        <v>2</v>
      </c>
      <c r="D25" s="450">
        <f t="shared" si="0"/>
        <v>1</v>
      </c>
      <c r="E25" s="450">
        <f t="shared" si="2"/>
        <v>1</v>
      </c>
      <c r="G25" s="452" t="str">
        <f t="shared" si="3"/>
        <v>Retail</v>
      </c>
      <c r="H25" s="452" t="str">
        <f t="shared" si="1"/>
        <v>Compact Fluorescent</v>
      </c>
      <c r="I25" s="452" t="str">
        <f t="shared" si="1"/>
        <v>Decorative and Mini-Base</v>
      </c>
      <c r="J25" s="452" t="str">
        <f t="shared" si="1"/>
        <v>250 to 664 lumens</v>
      </c>
      <c r="K25" s="452" t="s">
        <v>442</v>
      </c>
      <c r="M25" s="451" t="str">
        <f t="shared" si="4"/>
        <v>Decorative and Mini-Base250 to 664 lumens</v>
      </c>
      <c r="N25" s="451" t="str">
        <f t="shared" si="5"/>
        <v>Compact FluorescentDecorative and Mini-Base250 to 664 lumens</v>
      </c>
      <c r="O25" s="451" t="str">
        <f t="shared" si="6"/>
        <v>RetailCompact FluorescentDecorative and Mini-Base250 to 664 lumensANY</v>
      </c>
      <c r="P25" s="453">
        <f>VLOOKUP($M25,'Summary Tables'!$E$49:$N$63,7,FALSE)</f>
        <v>1.7916917647822357</v>
      </c>
      <c r="Q25" s="453">
        <f>VLOOKUP($M25,'Summary Tables'!$E$49:$N$63,9,FALSE)</f>
        <v>0.95039973261931343</v>
      </c>
      <c r="R25" s="453">
        <f>VLOOKUP($M25,'Summary Tables'!$E$49:$N$63,10,FALSE)</f>
        <v>416.60324051305236</v>
      </c>
      <c r="S25" s="453"/>
      <c r="T25" s="453">
        <f>VLOOKUP($M25,'Summary Tables'!$E$49:$N$63,5,FALSE)</f>
        <v>37</v>
      </c>
      <c r="U25" s="454">
        <f>VLOOKUP($M25,'Summary Tables'!$E$49:$N$63,6,FALSE)</f>
        <v>1.6401583657682686</v>
      </c>
      <c r="V25" s="453">
        <f>VLOOKUP($M25,'Summary Tables'!$E$49:$N$63,8,FALSE)</f>
        <v>1.7835655628514451</v>
      </c>
      <c r="X25" s="455">
        <f>VLOOKUP(N25,'CFL and LED Efficacy'!$D$57:$E$86,2,FALSE)</f>
        <v>47.326460071899199</v>
      </c>
      <c r="Y25" s="455">
        <f t="shared" si="23"/>
        <v>8.8027551581111556</v>
      </c>
      <c r="Z25" s="456">
        <f>VLOOKUP(N25,'CFL and LED Cost'!$D$73:$K$102,MATCH(G25,'CFL and LED Cost'!$D$72:$K$72,0),FALSE)</f>
        <v>3.4098621432623033</v>
      </c>
      <c r="AA25" s="457">
        <f>VLOOKUP(H25,Lifetime!$A$4:$B$8,2,FALSE)</f>
        <v>5447.6374269005855</v>
      </c>
      <c r="AB25" s="453">
        <f t="shared" si="7"/>
        <v>8.3244332035331023</v>
      </c>
      <c r="AD25" s="458">
        <f>VLOOKUP(G25&amp;H25,StorageTakebackRemoval!$C$56:$H$67,5,FALSE)</f>
        <v>0.74480000000000002</v>
      </c>
      <c r="AE25" s="458">
        <f>VLOOKUP(G25&amp;H25,StorageTakebackRemoval!$C$56:$H$67,6,FALSE)</f>
        <v>1.0909090909090908</v>
      </c>
      <c r="AG25" s="458">
        <f>1-Q25*('Space Conditioning Interaction'!$B$23)</f>
        <v>0.81278657385032416</v>
      </c>
      <c r="AH25" s="451">
        <f>Q25*'Space Conditioning Interaction'!$I$9</f>
        <v>9.5435946083773787E-3</v>
      </c>
      <c r="AJ25" s="451">
        <f t="shared" si="8"/>
        <v>24.213370432208329</v>
      </c>
      <c r="AK25" s="451">
        <f t="shared" si="9"/>
        <v>5.7606586883075135</v>
      </c>
      <c r="AL25" s="451">
        <f t="shared" si="10"/>
        <v>18.452711743900814</v>
      </c>
      <c r="AM25" s="451">
        <f t="shared" si="11"/>
        <v>13.743579706857327</v>
      </c>
      <c r="AN25" s="451">
        <f t="shared" si="12"/>
        <v>11.170597062375409</v>
      </c>
      <c r="AP25" s="451">
        <f t="shared" si="13"/>
        <v>-0.13116315319016833</v>
      </c>
      <c r="AR25" s="451" t="str">
        <f t="shared" si="14"/>
        <v>RetailCompact FluorescentDecorative and Mini-Base250 to 664 lumensANY</v>
      </c>
      <c r="AS25" s="451" t="str">
        <f t="shared" si="15"/>
        <v>RetailCompact FluorescentDecorative and Mini-Base250 to 664 lumensANY</v>
      </c>
      <c r="AT25" s="451">
        <f t="shared" si="16"/>
        <v>11.170597062375409</v>
      </c>
      <c r="AU25" s="453">
        <f t="shared" si="17"/>
        <v>9.0811998583997475</v>
      </c>
      <c r="AV25" s="459">
        <f t="shared" si="18"/>
        <v>1.7697037774940347</v>
      </c>
      <c r="AW25" s="451">
        <v>0</v>
      </c>
      <c r="AX25" s="452" t="s">
        <v>443</v>
      </c>
      <c r="AY25" s="451">
        <v>0</v>
      </c>
      <c r="AZ25" s="451">
        <f t="shared" si="19"/>
        <v>-1.6401583657682686</v>
      </c>
      <c r="BA25" s="451">
        <f t="shared" si="20"/>
        <v>1.7835655628514451</v>
      </c>
      <c r="BF25" s="451">
        <f t="shared" si="21"/>
        <v>-0.13116315319016833</v>
      </c>
      <c r="BG25" s="452" t="s">
        <v>444</v>
      </c>
      <c r="BI25" s="460"/>
    </row>
    <row r="26" spans="1:61">
      <c r="A26" s="140">
        <f t="shared" si="22"/>
        <v>17</v>
      </c>
      <c r="B26" s="140">
        <f t="shared" ref="B26:D39" si="25">MOD(FLOOR(($A26-1)/C$8,1),B$7)+1</f>
        <v>1</v>
      </c>
      <c r="C26" s="140">
        <f t="shared" si="25"/>
        <v>2</v>
      </c>
      <c r="D26" s="140">
        <f t="shared" si="25"/>
        <v>1</v>
      </c>
      <c r="E26" s="140">
        <f t="shared" si="2"/>
        <v>2</v>
      </c>
      <c r="G26" s="2" t="str">
        <f t="shared" si="3"/>
        <v>Retail</v>
      </c>
      <c r="H26" s="2" t="str">
        <f t="shared" si="3"/>
        <v>Compact Fluorescent</v>
      </c>
      <c r="I26" s="2" t="str">
        <f t="shared" si="3"/>
        <v>Decorative and Mini-Base</v>
      </c>
      <c r="J26" s="2" t="str">
        <f t="shared" si="3"/>
        <v>665 to 1439 lumens</v>
      </c>
      <c r="K26" s="2" t="s">
        <v>442</v>
      </c>
      <c r="M26" s="1" t="str">
        <f t="shared" si="4"/>
        <v>Decorative and Mini-Base665 to 1439 lumens</v>
      </c>
      <c r="N26" s="1" t="str">
        <f t="shared" si="5"/>
        <v>Compact FluorescentDecorative and Mini-Base665 to 1439 lumens</v>
      </c>
      <c r="O26" s="1" t="str">
        <f t="shared" si="6"/>
        <v>RetailCompact FluorescentDecorative and Mini-Base665 to 1439 lumensANY</v>
      </c>
      <c r="P26" s="37">
        <f>VLOOKUP($M26,'Summary Tables'!$E$49:$N$63,7,FALSE)</f>
        <v>1.8789514442368003</v>
      </c>
      <c r="Q26" s="37">
        <f>VLOOKUP($M26,'Summary Tables'!$E$49:$N$63,9,FALSE)</f>
        <v>0.91018036838446348</v>
      </c>
      <c r="R26" s="37">
        <f>VLOOKUP($M26,'Summary Tables'!$E$49:$N$63,10,FALSE)</f>
        <v>857.43632997438363</v>
      </c>
      <c r="S26" s="37"/>
      <c r="T26" s="37">
        <f>VLOOKUP($M26,'Summary Tables'!$E$49:$N$63,5,FALSE)</f>
        <v>31.100271002710024</v>
      </c>
      <c r="U26" s="160">
        <f>VLOOKUP($M26,'Summary Tables'!$E$49:$N$63,6,FALSE)</f>
        <v>2.357302490345714</v>
      </c>
      <c r="V26" s="37">
        <f>VLOOKUP($M26,'Summary Tables'!$E$49:$N$63,8,FALSE)</f>
        <v>1.7864498053021971</v>
      </c>
      <c r="X26" s="31">
        <f>VLOOKUP(N26,'CFL and LED Efficacy'!$D$57:$E$86,2,FALSE)</f>
        <v>63.393650651669773</v>
      </c>
      <c r="Y26" s="31">
        <f t="shared" si="23"/>
        <v>13.525586887017351</v>
      </c>
      <c r="Z26" s="161">
        <f>VLOOKUP(N26,'CFL and LED Cost'!$D$73:$K$102,MATCH(G26,'CFL and LED Cost'!$D$72:$K$72,0),FALSE)</f>
        <v>2.3872848720341966</v>
      </c>
      <c r="AA26" s="162">
        <f>VLOOKUP(H26,Lifetime!$A$4:$B$8,2,FALSE)</f>
        <v>5447.6374269005855</v>
      </c>
      <c r="AB26" s="37">
        <f t="shared" si="7"/>
        <v>7.9378413226150304</v>
      </c>
      <c r="AD26" s="163">
        <f>VLOOKUP(G26&amp;H26,StorageTakebackRemoval!$C$56:$H$67,5,FALSE)</f>
        <v>0.74480000000000002</v>
      </c>
      <c r="AE26" s="163">
        <f>VLOOKUP(G26&amp;H26,StorageTakebackRemoval!$C$56:$H$67,6,FALSE)</f>
        <v>1.0909090909090908</v>
      </c>
      <c r="AG26" s="163">
        <f>1-Q26*('Space Conditioning Interaction'!$B$23)</f>
        <v>0.82070914023743413</v>
      </c>
      <c r="AH26" s="1">
        <f>Q26*'Space Conditioning Interaction'!$I$9</f>
        <v>9.1397252737278212E-3</v>
      </c>
      <c r="AJ26" s="1">
        <f t="shared" si="8"/>
        <v>21.3437121523739</v>
      </c>
      <c r="AK26" s="1">
        <f t="shared" si="9"/>
        <v>9.2824346509156044</v>
      </c>
      <c r="AL26" s="1">
        <f t="shared" si="10"/>
        <v>12.061277501458296</v>
      </c>
      <c r="AM26" s="1">
        <f t="shared" si="11"/>
        <v>8.9832394830861393</v>
      </c>
      <c r="AN26" s="1">
        <f t="shared" si="12"/>
        <v>7.3726267527105973</v>
      </c>
      <c r="AP26" s="1">
        <f t="shared" si="13"/>
        <v>-8.210434094351203E-2</v>
      </c>
      <c r="AR26" s="1" t="str">
        <f t="shared" si="14"/>
        <v>RetailCompact FluorescentDecorative and Mini-Base665 to 1439 lumensANY</v>
      </c>
      <c r="AS26" s="1" t="str">
        <f t="shared" si="15"/>
        <v>RetailCompact FluorescentDecorative and Mini-Base665 to 1439 lumensANY</v>
      </c>
      <c r="AT26" s="1">
        <f t="shared" si="16"/>
        <v>7.3726267527105973</v>
      </c>
      <c r="AU26" s="37">
        <f t="shared" si="17"/>
        <v>8.6594632610345776</v>
      </c>
      <c r="AV26" s="164">
        <f t="shared" si="18"/>
        <v>0.05</v>
      </c>
      <c r="AW26" s="1">
        <v>0</v>
      </c>
      <c r="AX26" s="2" t="s">
        <v>443</v>
      </c>
      <c r="AY26" s="1">
        <v>0</v>
      </c>
      <c r="AZ26" s="1">
        <f t="shared" si="19"/>
        <v>-2.357302490345714</v>
      </c>
      <c r="BA26" s="1">
        <f t="shared" si="20"/>
        <v>1.7864498053021971</v>
      </c>
      <c r="BF26" s="1">
        <f t="shared" si="21"/>
        <v>-8.210434094351203E-2</v>
      </c>
      <c r="BG26" s="2" t="s">
        <v>444</v>
      </c>
    </row>
    <row r="27" spans="1:61">
      <c r="A27" s="140">
        <f t="shared" si="22"/>
        <v>18</v>
      </c>
      <c r="B27" s="140">
        <f t="shared" si="25"/>
        <v>1</v>
      </c>
      <c r="C27" s="140">
        <f t="shared" si="25"/>
        <v>2</v>
      </c>
      <c r="D27" s="140">
        <f t="shared" si="25"/>
        <v>1</v>
      </c>
      <c r="E27" s="140">
        <f t="shared" si="2"/>
        <v>3</v>
      </c>
      <c r="G27" s="2" t="str">
        <f t="shared" si="3"/>
        <v>Retail</v>
      </c>
      <c r="H27" s="2" t="str">
        <f t="shared" si="3"/>
        <v>Compact Fluorescent</v>
      </c>
      <c r="I27" s="2" t="str">
        <f t="shared" si="3"/>
        <v>Decorative and Mini-Base</v>
      </c>
      <c r="J27" s="2" t="str">
        <f t="shared" si="3"/>
        <v>1440 to 2600 lumens</v>
      </c>
      <c r="K27" s="2" t="s">
        <v>442</v>
      </c>
      <c r="M27" s="1" t="str">
        <f t="shared" si="4"/>
        <v>Decorative and Mini-Base1440 to 2600 lumens</v>
      </c>
      <c r="N27" s="1" t="str">
        <f t="shared" si="5"/>
        <v>Compact FluorescentDecorative and Mini-Base1440 to 2600 lumens</v>
      </c>
      <c r="O27" s="1" t="str">
        <f t="shared" si="6"/>
        <v>RetailCompact FluorescentDecorative and Mini-Base1440 to 2600 lumensANY</v>
      </c>
      <c r="P27" s="37">
        <f>VLOOKUP($M27,'Summary Tables'!$E$49:$N$63,7,FALSE)</f>
        <v>1.6305080727614385</v>
      </c>
      <c r="Q27" s="37">
        <f>VLOOKUP($M27,'Summary Tables'!$E$49:$N$63,9,FALSE)</f>
        <v>0.92758145848349127</v>
      </c>
      <c r="R27" s="37">
        <f>VLOOKUP($M27,'Summary Tables'!$E$49:$N$63,10,FALSE)</f>
        <v>2095.7287821060968</v>
      </c>
      <c r="S27" s="37"/>
      <c r="T27" s="37">
        <f>VLOOKUP($M27,'Summary Tables'!$E$49:$N$63,5,FALSE)</f>
        <v>37</v>
      </c>
      <c r="U27" s="160">
        <f>VLOOKUP($M27,'Summary Tables'!$E$49:$N$63,6,FALSE)</f>
        <v>2.5719834880984087</v>
      </c>
      <c r="V27" s="37">
        <f>VLOOKUP($M27,'Summary Tables'!$E$49:$N$63,8,FALSE)</f>
        <v>4.4344805227500377</v>
      </c>
      <c r="X27" s="31" t="str">
        <f>VLOOKUP(N27,'CFL and LED Efficacy'!$D$57:$E$86,2,FALSE)</f>
        <v>[no products]</v>
      </c>
      <c r="Y27" s="31" t="e">
        <f t="shared" si="23"/>
        <v>#VALUE!</v>
      </c>
      <c r="Z27" s="161">
        <f>VLOOKUP(N27,'CFL and LED Cost'!$D$73:$K$102,MATCH(G27,'CFL and LED Cost'!$D$72:$K$72,0),FALSE)</f>
        <v>3.4098621432623033</v>
      </c>
      <c r="AA27" s="162">
        <f>VLOOKUP(H27,Lifetime!$A$4:$B$8,2,FALSE)</f>
        <v>5447.6374269005855</v>
      </c>
      <c r="AB27" s="37">
        <f t="shared" si="7"/>
        <v>9.1473441109618285</v>
      </c>
      <c r="AD27" s="163">
        <f>VLOOKUP(G27&amp;H27,StorageTakebackRemoval!$C$56:$H$67,5,FALSE)</f>
        <v>0.74480000000000002</v>
      </c>
      <c r="AE27" s="163">
        <f>VLOOKUP(G27&amp;H27,StorageTakebackRemoval!$C$56:$H$67,6,FALSE)</f>
        <v>1.0909090909090908</v>
      </c>
      <c r="AG27" s="163">
        <f>1-Q27*('Space Conditioning Interaction'!$B$23)</f>
        <v>0.81728140600691201</v>
      </c>
      <c r="AH27" s="1">
        <f>Q27*'Space Conditioning Interaction'!$I$9</f>
        <v>9.3144611705817514E-3</v>
      </c>
      <c r="AJ27" s="1">
        <f t="shared" si="8"/>
        <v>22.035093722316269</v>
      </c>
      <c r="AK27" s="1" t="e">
        <f t="shared" si="9"/>
        <v>#VALUE!</v>
      </c>
      <c r="AL27" s="1" t="e">
        <f t="shared" si="10"/>
        <v>#VALUE!</v>
      </c>
      <c r="AM27" s="1" t="e">
        <f t="shared" si="11"/>
        <v>#VALUE!</v>
      </c>
      <c r="AN27" s="1" t="e">
        <f t="shared" si="12"/>
        <v>#VALUE!</v>
      </c>
      <c r="AP27" s="1" t="e">
        <f t="shared" si="13"/>
        <v>#VALUE!</v>
      </c>
      <c r="AR27" s="1" t="str">
        <f t="shared" si="14"/>
        <v>RetailCompact FluorescentDecorative and Mini-Base1440 to 2600 lumensANY</v>
      </c>
      <c r="AS27" s="1" t="str">
        <f t="shared" si="15"/>
        <v>RetailCompact FluorescentDecorative and Mini-Base1440 to 2600 lumensANY</v>
      </c>
      <c r="AT27" s="1">
        <f t="shared" si="16"/>
        <v>0</v>
      </c>
      <c r="AU27" s="37">
        <f t="shared" si="17"/>
        <v>1</v>
      </c>
      <c r="AV27" s="164">
        <f t="shared" si="18"/>
        <v>999</v>
      </c>
      <c r="AW27" s="1">
        <v>0</v>
      </c>
      <c r="AX27" s="2" t="s">
        <v>443</v>
      </c>
      <c r="AY27" s="1">
        <v>0</v>
      </c>
      <c r="AZ27" s="1">
        <f t="shared" si="19"/>
        <v>999</v>
      </c>
      <c r="BA27" s="1">
        <f t="shared" si="20"/>
        <v>999</v>
      </c>
      <c r="BF27" s="1">
        <f t="shared" si="21"/>
        <v>999</v>
      </c>
      <c r="BG27" s="2" t="s">
        <v>444</v>
      </c>
    </row>
    <row r="28" spans="1:61">
      <c r="A28" s="140">
        <f t="shared" si="22"/>
        <v>19</v>
      </c>
      <c r="B28" s="140">
        <f t="shared" si="25"/>
        <v>1</v>
      </c>
      <c r="C28" s="140">
        <f t="shared" si="25"/>
        <v>2</v>
      </c>
      <c r="D28" s="140">
        <f t="shared" si="25"/>
        <v>2</v>
      </c>
      <c r="E28" s="140">
        <f t="shared" si="2"/>
        <v>1</v>
      </c>
      <c r="G28" s="2" t="str">
        <f t="shared" si="3"/>
        <v>Retail</v>
      </c>
      <c r="H28" s="2" t="str">
        <f t="shared" si="3"/>
        <v>Compact Fluorescent</v>
      </c>
      <c r="I28" s="2" t="str">
        <f t="shared" si="3"/>
        <v>General Purpose and Dimmable</v>
      </c>
      <c r="J28" s="2" t="str">
        <f t="shared" si="3"/>
        <v>250 to 664 lumens</v>
      </c>
      <c r="K28" s="2" t="s">
        <v>442</v>
      </c>
      <c r="M28" s="1" t="str">
        <f t="shared" si="4"/>
        <v>General Purpose and Dimmable250 to 664 lumens</v>
      </c>
      <c r="N28" s="1" t="str">
        <f t="shared" si="5"/>
        <v>Compact FluorescentGeneral Purpose and Dimmable250 to 664 lumens</v>
      </c>
      <c r="O28" s="1" t="str">
        <f t="shared" si="6"/>
        <v>RetailCompact FluorescentGeneral Purpose and Dimmable250 to 664 lumensANY</v>
      </c>
      <c r="P28" s="37">
        <f>VLOOKUP($M28,'Summary Tables'!$E$49:$N$63,7,FALSE)</f>
        <v>1.7465101483744099</v>
      </c>
      <c r="Q28" s="37">
        <f>VLOOKUP($M28,'Summary Tables'!$E$49:$N$63,9,FALSE)</f>
        <v>0.91416456188155615</v>
      </c>
      <c r="R28" s="37">
        <f>VLOOKUP($M28,'Summary Tables'!$E$49:$N$63,10,FALSE)</f>
        <v>473.98970089307483</v>
      </c>
      <c r="S28" s="37"/>
      <c r="T28" s="37">
        <f>VLOOKUP($M28,'Summary Tables'!$E$49:$N$63,5,FALSE)</f>
        <v>30</v>
      </c>
      <c r="U28" s="160">
        <f>VLOOKUP($M28,'Summary Tables'!$E$49:$N$63,6,FALSE)</f>
        <v>2.2922322650479003</v>
      </c>
      <c r="V28" s="37">
        <f>VLOOKUP($M28,'Summary Tables'!$E$49:$N$63,8,FALSE)</f>
        <v>2.2212671328668137</v>
      </c>
      <c r="X28" s="31">
        <f>VLOOKUP(N28,'CFL and LED Efficacy'!$D$57:$E$86,2,FALSE)</f>
        <v>57.676743088551326</v>
      </c>
      <c r="Y28" s="31">
        <f t="shared" si="23"/>
        <v>8.2180385977300521</v>
      </c>
      <c r="Z28" s="161">
        <f>VLOOKUP(N28,'CFL and LED Cost'!$D$73:$K$102,MATCH(G28,'CFL and LED Cost'!$D$72:$K$72,0),FALSE)</f>
        <v>2.1592275874141325</v>
      </c>
      <c r="AA28" s="162">
        <f>VLOOKUP(H28,Lifetime!$A$4:$B$8,2,FALSE)</f>
        <v>5447.6374269005855</v>
      </c>
      <c r="AB28" s="37">
        <f t="shared" si="7"/>
        <v>8.5397834253252132</v>
      </c>
      <c r="AD28" s="163">
        <f>VLOOKUP(G28&amp;H28,StorageTakebackRemoval!$C$56:$H$67,5,FALSE)</f>
        <v>0.74480000000000002</v>
      </c>
      <c r="AE28" s="163">
        <f>VLOOKUP(G28&amp;H28,StorageTakebackRemoval!$C$56:$H$67,6,FALSE)</f>
        <v>1.0909090909090908</v>
      </c>
      <c r="AG28" s="163">
        <f>1-Q28*('Space Conditioning Interaction'!$B$23)</f>
        <v>0.81992431834677726</v>
      </c>
      <c r="AH28" s="1">
        <f>Q28*'Space Conditioning Interaction'!$I$9</f>
        <v>9.1797332054144101E-3</v>
      </c>
      <c r="AJ28" s="1">
        <f t="shared" si="8"/>
        <v>19.137384950812596</v>
      </c>
      <c r="AK28" s="1">
        <f t="shared" si="9"/>
        <v>5.242392272846538</v>
      </c>
      <c r="AL28" s="1">
        <f t="shared" si="10"/>
        <v>13.894992677966059</v>
      </c>
      <c r="AM28" s="1">
        <f t="shared" si="11"/>
        <v>10.348990546549121</v>
      </c>
      <c r="AN28" s="1">
        <f t="shared" si="12"/>
        <v>8.4853890194565302</v>
      </c>
      <c r="AP28" s="1">
        <f t="shared" si="13"/>
        <v>-9.5000972162676792E-2</v>
      </c>
      <c r="AR28" s="1" t="str">
        <f t="shared" si="14"/>
        <v>RetailCompact FluorescentGeneral Purpose and Dimmable250 to 664 lumensANY</v>
      </c>
      <c r="AS28" s="1" t="str">
        <f t="shared" si="15"/>
        <v>RetailCompact FluorescentGeneral Purpose and Dimmable250 to 664 lumensANY</v>
      </c>
      <c r="AT28" s="1">
        <f t="shared" si="16"/>
        <v>8.4853890194565302</v>
      </c>
      <c r="AU28" s="37">
        <f t="shared" si="17"/>
        <v>9.3161273730820504</v>
      </c>
      <c r="AV28" s="164">
        <f t="shared" si="18"/>
        <v>0.05</v>
      </c>
      <c r="AW28" s="1">
        <v>0</v>
      </c>
      <c r="AX28" s="2" t="s">
        <v>443</v>
      </c>
      <c r="AY28" s="1">
        <v>0</v>
      </c>
      <c r="AZ28" s="1">
        <f t="shared" si="19"/>
        <v>-2.2922322650479003</v>
      </c>
      <c r="BA28" s="1">
        <f t="shared" si="20"/>
        <v>2.2212671328668137</v>
      </c>
      <c r="BF28" s="1">
        <f t="shared" si="21"/>
        <v>-9.5000972162676792E-2</v>
      </c>
      <c r="BG28" s="2" t="s">
        <v>444</v>
      </c>
    </row>
    <row r="29" spans="1:61">
      <c r="A29" s="140">
        <f t="shared" si="22"/>
        <v>20</v>
      </c>
      <c r="B29" s="140">
        <f t="shared" si="25"/>
        <v>1</v>
      </c>
      <c r="C29" s="140">
        <f t="shared" si="25"/>
        <v>2</v>
      </c>
      <c r="D29" s="140">
        <f t="shared" si="25"/>
        <v>2</v>
      </c>
      <c r="E29" s="140">
        <f t="shared" si="2"/>
        <v>2</v>
      </c>
      <c r="G29" s="2" t="str">
        <f t="shared" si="3"/>
        <v>Retail</v>
      </c>
      <c r="H29" s="2" t="str">
        <f t="shared" si="3"/>
        <v>Compact Fluorescent</v>
      </c>
      <c r="I29" s="2" t="str">
        <f t="shared" si="3"/>
        <v>General Purpose and Dimmable</v>
      </c>
      <c r="J29" s="2" t="str">
        <f t="shared" si="3"/>
        <v>665 to 1439 lumens</v>
      </c>
      <c r="K29" s="2" t="s">
        <v>442</v>
      </c>
      <c r="M29" s="1" t="str">
        <f t="shared" si="4"/>
        <v>General Purpose and Dimmable665 to 1439 lumens</v>
      </c>
      <c r="N29" s="1" t="str">
        <f t="shared" si="5"/>
        <v>Compact FluorescentGeneral Purpose and Dimmable665 to 1439 lumens</v>
      </c>
      <c r="O29" s="1" t="str">
        <f t="shared" si="6"/>
        <v>RetailCompact FluorescentGeneral Purpose and Dimmable665 to 1439 lumensANY</v>
      </c>
      <c r="P29" s="37">
        <f>VLOOKUP($M29,'Summary Tables'!$E$49:$N$63,7,FALSE)</f>
        <v>1.8773637680174413</v>
      </c>
      <c r="Q29" s="37">
        <f>VLOOKUP($M29,'Summary Tables'!$E$49:$N$63,9,FALSE)</f>
        <v>0.85791980570535631</v>
      </c>
      <c r="R29" s="37">
        <f>VLOOKUP($M29,'Summary Tables'!$E$49:$N$63,10,FALSE)</f>
        <v>949.2054457712826</v>
      </c>
      <c r="S29" s="37"/>
      <c r="T29" s="37">
        <f>VLOOKUP($M29,'Summary Tables'!$E$49:$N$63,5,FALSE)</f>
        <v>28.108457226419695</v>
      </c>
      <c r="U29" s="160">
        <f>VLOOKUP($M29,'Summary Tables'!$E$49:$N$63,6,FALSE)</f>
        <v>1.8938582807005411</v>
      </c>
      <c r="V29" s="37">
        <f>VLOOKUP($M29,'Summary Tables'!$E$49:$N$63,8,FALSE)</f>
        <v>4.3220699727314233</v>
      </c>
      <c r="X29" s="31">
        <f>VLOOKUP(N29,'CFL and LED Efficacy'!$D$57:$E$86,2,FALSE)</f>
        <v>64.593499437211094</v>
      </c>
      <c r="Y29" s="31">
        <f t="shared" si="23"/>
        <v>14.695061485157177</v>
      </c>
      <c r="Z29" s="161">
        <f>VLOOKUP(N29,'CFL and LED Cost'!$D$73:$K$102,MATCH(G29,'CFL and LED Cost'!$D$72:$K$72,0),FALSE)</f>
        <v>1.4522786346527323</v>
      </c>
      <c r="AA29" s="162">
        <f>VLOOKUP(H29,Lifetime!$A$4:$B$8,2,FALSE)</f>
        <v>5447.6374269005855</v>
      </c>
      <c r="AB29" s="37">
        <f t="shared" si="7"/>
        <v>7.9445543113898527</v>
      </c>
      <c r="AD29" s="163">
        <f>VLOOKUP(G29&amp;H29,StorageTakebackRemoval!$C$56:$H$67,5,FALSE)</f>
        <v>0.74480000000000002</v>
      </c>
      <c r="AE29" s="163">
        <f>VLOOKUP(G29&amp;H29,StorageTakebackRemoval!$C$56:$H$67,6,FALSE)</f>
        <v>1.0909090909090908</v>
      </c>
      <c r="AG29" s="163">
        <f>1-Q29*('Space Conditioning Interaction'!$B$23)</f>
        <v>0.83100362860466148</v>
      </c>
      <c r="AH29" s="1">
        <f>Q29*'Space Conditioning Interaction'!$I$9</f>
        <v>8.6149422723263754E-3</v>
      </c>
      <c r="AJ29" s="1">
        <f t="shared" si="8"/>
        <v>19.274169147481086</v>
      </c>
      <c r="AK29" s="1">
        <f t="shared" si="9"/>
        <v>10.076508234373525</v>
      </c>
      <c r="AL29" s="1">
        <f t="shared" si="10"/>
        <v>9.1976609131075602</v>
      </c>
      <c r="AM29" s="1">
        <f t="shared" si="11"/>
        <v>6.8504178480825111</v>
      </c>
      <c r="AN29" s="1">
        <f t="shared" si="12"/>
        <v>5.692722089214703</v>
      </c>
      <c r="AP29" s="1">
        <f t="shared" si="13"/>
        <v>-5.9015954302545109E-2</v>
      </c>
      <c r="AR29" s="1" t="str">
        <f t="shared" si="14"/>
        <v>RetailCompact FluorescentGeneral Purpose and Dimmable665 to 1439 lumensANY</v>
      </c>
      <c r="AS29" s="1" t="str">
        <f t="shared" si="15"/>
        <v>RetailCompact FluorescentGeneral Purpose and Dimmable665 to 1439 lumensANY</v>
      </c>
      <c r="AT29" s="1">
        <f t="shared" si="16"/>
        <v>5.692722089214703</v>
      </c>
      <c r="AU29" s="37">
        <f t="shared" si="17"/>
        <v>8.6667865215162028</v>
      </c>
      <c r="AV29" s="164">
        <f t="shared" si="18"/>
        <v>0.05</v>
      </c>
      <c r="AW29" s="1">
        <v>0</v>
      </c>
      <c r="AX29" s="2" t="s">
        <v>443</v>
      </c>
      <c r="AY29" s="1">
        <v>0</v>
      </c>
      <c r="AZ29" s="1">
        <f t="shared" si="19"/>
        <v>-1.8938582807005411</v>
      </c>
      <c r="BA29" s="1">
        <f t="shared" si="20"/>
        <v>4.3220699727314233</v>
      </c>
      <c r="BF29" s="1">
        <f t="shared" si="21"/>
        <v>-5.9015954302545109E-2</v>
      </c>
      <c r="BG29" s="2" t="s">
        <v>444</v>
      </c>
    </row>
    <row r="30" spans="1:61">
      <c r="A30" s="140">
        <f t="shared" si="22"/>
        <v>21</v>
      </c>
      <c r="B30" s="140">
        <f t="shared" si="25"/>
        <v>1</v>
      </c>
      <c r="C30" s="140">
        <f t="shared" si="25"/>
        <v>2</v>
      </c>
      <c r="D30" s="140">
        <f t="shared" si="25"/>
        <v>2</v>
      </c>
      <c r="E30" s="140">
        <f t="shared" si="2"/>
        <v>3</v>
      </c>
      <c r="G30" s="2" t="str">
        <f t="shared" si="3"/>
        <v>Retail</v>
      </c>
      <c r="H30" s="2" t="str">
        <f t="shared" si="3"/>
        <v>Compact Fluorescent</v>
      </c>
      <c r="I30" s="2" t="str">
        <f t="shared" si="3"/>
        <v>General Purpose and Dimmable</v>
      </c>
      <c r="J30" s="2" t="str">
        <f t="shared" si="3"/>
        <v>1440 to 2600 lumens</v>
      </c>
      <c r="K30" s="2" t="s">
        <v>442</v>
      </c>
      <c r="M30" s="1" t="str">
        <f t="shared" si="4"/>
        <v>General Purpose and Dimmable1440 to 2600 lumens</v>
      </c>
      <c r="N30" s="1" t="str">
        <f t="shared" si="5"/>
        <v>Compact FluorescentGeneral Purpose and Dimmable1440 to 2600 lumens</v>
      </c>
      <c r="O30" s="1" t="str">
        <f t="shared" si="6"/>
        <v>RetailCompact FluorescentGeneral Purpose and Dimmable1440 to 2600 lumensANY</v>
      </c>
      <c r="P30" s="37">
        <f>VLOOKUP($M30,'Summary Tables'!$E$49:$N$63,7,FALSE)</f>
        <v>1.9918551210859123</v>
      </c>
      <c r="Q30" s="37">
        <f>VLOOKUP($M30,'Summary Tables'!$E$49:$N$63,9,FALSE)</f>
        <v>0.78917112934974476</v>
      </c>
      <c r="R30" s="37">
        <f>VLOOKUP($M30,'Summary Tables'!$E$49:$N$63,10,FALSE)</f>
        <v>1747.5999304005293</v>
      </c>
      <c r="S30" s="37"/>
      <c r="T30" s="37">
        <f>VLOOKUP($M30,'Summary Tables'!$E$49:$N$63,5,FALSE)</f>
        <v>37</v>
      </c>
      <c r="U30" s="160">
        <f>VLOOKUP($M30,'Summary Tables'!$E$49:$N$63,6,FALSE)</f>
        <v>1.8248331017915318</v>
      </c>
      <c r="V30" s="37">
        <f>VLOOKUP($M30,'Summary Tables'!$E$49:$N$63,8,FALSE)</f>
        <v>3.8347243817323542</v>
      </c>
      <c r="X30" s="31">
        <f>VLOOKUP(N30,'CFL and LED Efficacy'!$D$57:$E$86,2,FALSE)</f>
        <v>69.3525583700429</v>
      </c>
      <c r="Y30" s="31">
        <f t="shared" si="23"/>
        <v>25.198781003519716</v>
      </c>
      <c r="Z30" s="161">
        <f>VLOOKUP(N30,'CFL and LED Cost'!$D$73:$K$102,MATCH(G30,'CFL and LED Cost'!$D$72:$K$72,0),FALSE)</f>
        <v>1.8911113019525783</v>
      </c>
      <c r="AA30" s="162">
        <f>VLOOKUP(H30,Lifetime!$A$4:$B$8,2,FALSE)</f>
        <v>5447.6374269005855</v>
      </c>
      <c r="AB30" s="37">
        <f t="shared" si="7"/>
        <v>7.4879032412351636</v>
      </c>
      <c r="AD30" s="163">
        <f>VLOOKUP(G30&amp;H30,StorageTakebackRemoval!$C$56:$H$67,5,FALSE)</f>
        <v>0.74480000000000002</v>
      </c>
      <c r="AE30" s="163">
        <f>VLOOKUP(G30&amp;H30,StorageTakebackRemoval!$C$56:$H$67,6,FALSE)</f>
        <v>1.0909090909090908</v>
      </c>
      <c r="AG30" s="163">
        <f>1-Q30*('Space Conditioning Interaction'!$B$23)</f>
        <v>0.84454600956505743</v>
      </c>
      <c r="AH30" s="1">
        <f>Q30*'Space Conditioning Interaction'!$I$9</f>
        <v>7.9245911763804085E-3</v>
      </c>
      <c r="AJ30" s="1">
        <f t="shared" si="8"/>
        <v>26.918428070135292</v>
      </c>
      <c r="AK30" s="1">
        <f t="shared" si="9"/>
        <v>18.332745240495598</v>
      </c>
      <c r="AL30" s="1">
        <f t="shared" si="10"/>
        <v>8.5856828296396941</v>
      </c>
      <c r="AM30" s="1">
        <f t="shared" si="11"/>
        <v>6.3946165715156447</v>
      </c>
      <c r="AN30" s="1">
        <f t="shared" si="12"/>
        <v>5.4005479081721264</v>
      </c>
      <c r="AP30" s="1">
        <f t="shared" si="13"/>
        <v>-5.0674722058968814E-2</v>
      </c>
      <c r="AR30" s="1" t="str">
        <f t="shared" si="14"/>
        <v>RetailCompact FluorescentGeneral Purpose and Dimmable1440 to 2600 lumensANY</v>
      </c>
      <c r="AS30" s="1" t="str">
        <f t="shared" si="15"/>
        <v>RetailCompact FluorescentGeneral Purpose and Dimmable1440 to 2600 lumensANY</v>
      </c>
      <c r="AT30" s="1">
        <f t="shared" si="16"/>
        <v>5.4005479081721264</v>
      </c>
      <c r="AU30" s="37">
        <f t="shared" si="17"/>
        <v>8.1686217177110869</v>
      </c>
      <c r="AV30" s="164">
        <f t="shared" si="18"/>
        <v>6.6278200161046463E-2</v>
      </c>
      <c r="AW30" s="1">
        <v>0</v>
      </c>
      <c r="AX30" s="2" t="s">
        <v>443</v>
      </c>
      <c r="AY30" s="1">
        <v>0</v>
      </c>
      <c r="AZ30" s="1">
        <f t="shared" si="19"/>
        <v>-1.8248331017915318</v>
      </c>
      <c r="BA30" s="1">
        <f t="shared" si="20"/>
        <v>3.8347243817323542</v>
      </c>
      <c r="BF30" s="1">
        <f t="shared" si="21"/>
        <v>-5.0674722058968814E-2</v>
      </c>
      <c r="BG30" s="2" t="s">
        <v>444</v>
      </c>
    </row>
    <row r="31" spans="1:61">
      <c r="A31" s="140">
        <f t="shared" si="22"/>
        <v>22</v>
      </c>
      <c r="B31" s="140">
        <f t="shared" si="25"/>
        <v>1</v>
      </c>
      <c r="C31" s="140">
        <f t="shared" si="25"/>
        <v>2</v>
      </c>
      <c r="D31" s="140">
        <f t="shared" si="25"/>
        <v>3</v>
      </c>
      <c r="E31" s="140">
        <f t="shared" si="2"/>
        <v>1</v>
      </c>
      <c r="G31" s="2" t="str">
        <f t="shared" si="3"/>
        <v>Retail</v>
      </c>
      <c r="H31" s="2" t="str">
        <f t="shared" si="3"/>
        <v>Compact Fluorescent</v>
      </c>
      <c r="I31" s="2" t="str">
        <f t="shared" si="3"/>
        <v>Globe</v>
      </c>
      <c r="J31" s="2" t="str">
        <f t="shared" si="3"/>
        <v>250 to 664 lumens</v>
      </c>
      <c r="K31" s="2" t="s">
        <v>442</v>
      </c>
      <c r="M31" s="1" t="str">
        <f t="shared" si="4"/>
        <v>Globe250 to 664 lumens</v>
      </c>
      <c r="N31" s="1" t="str">
        <f t="shared" si="5"/>
        <v>Compact FluorescentGlobe250 to 664 lumens</v>
      </c>
      <c r="O31" s="1" t="str">
        <f t="shared" si="6"/>
        <v>RetailCompact FluorescentGlobe250 to 664 lumensANY</v>
      </c>
      <c r="P31" s="37">
        <f>VLOOKUP($M31,'Summary Tables'!$E$49:$N$63,7,FALSE)</f>
        <v>1.3853142296217029</v>
      </c>
      <c r="Q31" s="37">
        <f>VLOOKUP($M31,'Summary Tables'!$E$49:$N$63,9,FALSE)</f>
        <v>0.99302587722156699</v>
      </c>
      <c r="R31" s="37">
        <f>VLOOKUP($M31,'Summary Tables'!$E$49:$N$63,10,FALSE)</f>
        <v>474.28450426267824</v>
      </c>
      <c r="S31" s="37"/>
      <c r="T31" s="37">
        <f>VLOOKUP($M31,'Summary Tables'!$E$49:$N$63,5,FALSE)</f>
        <v>37</v>
      </c>
      <c r="U31" s="160">
        <f>VLOOKUP($M31,'Summary Tables'!$E$49:$N$63,6,FALSE)</f>
        <v>2.1737529557872382</v>
      </c>
      <c r="V31" s="37">
        <f>VLOOKUP($M31,'Summary Tables'!$E$49:$N$63,8,FALSE)</f>
        <v>2.2408705642884907</v>
      </c>
      <c r="X31" s="31">
        <f>VLOOKUP(N31,'CFL and LED Efficacy'!$D$57:$E$86,2,FALSE)</f>
        <v>52.357492193442624</v>
      </c>
      <c r="Y31" s="31">
        <f t="shared" si="23"/>
        <v>9.0585794772286423</v>
      </c>
      <c r="Z31" s="161">
        <f>VLOOKUP(N31,'CFL and LED Cost'!$D$73:$K$102,MATCH(G31,'CFL and LED Cost'!$D$72:$K$72,0),FALSE)</f>
        <v>1.6906705607519905</v>
      </c>
      <c r="AA31" s="162">
        <f>VLOOKUP(H31,Lifetime!$A$4:$B$8,2,FALSE)</f>
        <v>5447.6374269005855</v>
      </c>
      <c r="AB31" s="37">
        <f t="shared" si="7"/>
        <v>10.766379279394938</v>
      </c>
      <c r="AD31" s="163">
        <f>VLOOKUP(G31&amp;H31,StorageTakebackRemoval!$C$56:$H$67,5,FALSE)</f>
        <v>0.74480000000000002</v>
      </c>
      <c r="AE31" s="163">
        <f>VLOOKUP(G31&amp;H31,StorageTakebackRemoval!$C$56:$H$67,6,FALSE)</f>
        <v>1.0909090909090908</v>
      </c>
      <c r="AG31" s="163">
        <f>1-Q31*('Space Conditioning Interaction'!$B$23)</f>
        <v>0.80438991052999065</v>
      </c>
      <c r="AH31" s="1">
        <f>Q31*'Space Conditioning Interaction'!$I$9</f>
        <v>9.9716320223619329E-3</v>
      </c>
      <c r="AJ31" s="1">
        <f t="shared" si="8"/>
        <v>18.721482827665099</v>
      </c>
      <c r="AK31" s="1">
        <f t="shared" si="9"/>
        <v>4.5835145979993372</v>
      </c>
      <c r="AL31" s="1">
        <f t="shared" si="10"/>
        <v>14.137968229665763</v>
      </c>
      <c r="AM31" s="1">
        <f t="shared" si="11"/>
        <v>10.529958737455061</v>
      </c>
      <c r="AN31" s="1">
        <f t="shared" si="12"/>
        <v>8.4701925667059701</v>
      </c>
      <c r="AP31" s="1">
        <f t="shared" si="13"/>
        <v>-0.10500087374055672</v>
      </c>
      <c r="AR31" s="1" t="str">
        <f t="shared" si="14"/>
        <v>RetailCompact FluorescentGlobe250 to 664 lumensANY</v>
      </c>
      <c r="AS31" s="1" t="str">
        <f t="shared" si="15"/>
        <v>RetailCompact FluorescentGlobe250 to 664 lumensANY</v>
      </c>
      <c r="AT31" s="1">
        <f t="shared" si="16"/>
        <v>8.4701925667059701</v>
      </c>
      <c r="AU31" s="37">
        <f t="shared" si="17"/>
        <v>11.745141032067204</v>
      </c>
      <c r="AV31" s="164">
        <f t="shared" si="18"/>
        <v>0.05</v>
      </c>
      <c r="AW31" s="1">
        <v>0</v>
      </c>
      <c r="AX31" s="2" t="s">
        <v>443</v>
      </c>
      <c r="AY31" s="1">
        <v>0</v>
      </c>
      <c r="AZ31" s="1">
        <f t="shared" si="19"/>
        <v>-2.1737529557872382</v>
      </c>
      <c r="BA31" s="1">
        <f t="shared" si="20"/>
        <v>2.2408705642884907</v>
      </c>
      <c r="BF31" s="1">
        <f t="shared" si="21"/>
        <v>-0.10500087374055672</v>
      </c>
      <c r="BG31" s="2" t="s">
        <v>444</v>
      </c>
    </row>
    <row r="32" spans="1:61">
      <c r="A32" s="140">
        <f t="shared" si="22"/>
        <v>23</v>
      </c>
      <c r="B32" s="140">
        <f t="shared" si="25"/>
        <v>1</v>
      </c>
      <c r="C32" s="140">
        <f t="shared" si="25"/>
        <v>2</v>
      </c>
      <c r="D32" s="140">
        <f t="shared" si="25"/>
        <v>3</v>
      </c>
      <c r="E32" s="140">
        <f t="shared" si="2"/>
        <v>2</v>
      </c>
      <c r="G32" s="2" t="str">
        <f t="shared" si="3"/>
        <v>Retail</v>
      </c>
      <c r="H32" s="2" t="str">
        <f t="shared" si="3"/>
        <v>Compact Fluorescent</v>
      </c>
      <c r="I32" s="2" t="str">
        <f t="shared" si="3"/>
        <v>Globe</v>
      </c>
      <c r="J32" s="2" t="str">
        <f t="shared" si="3"/>
        <v>665 to 1439 lumens</v>
      </c>
      <c r="K32" s="2" t="s">
        <v>442</v>
      </c>
      <c r="M32" s="1" t="str">
        <f t="shared" si="4"/>
        <v>Globe665 to 1439 lumens</v>
      </c>
      <c r="N32" s="1" t="str">
        <f t="shared" si="5"/>
        <v>Compact FluorescentGlobe665 to 1439 lumens</v>
      </c>
      <c r="O32" s="1" t="str">
        <f t="shared" si="6"/>
        <v>RetailCompact FluorescentGlobe665 to 1439 lumensANY</v>
      </c>
      <c r="P32" s="37">
        <f>VLOOKUP($M32,'Summary Tables'!$E$49:$N$63,7,FALSE)</f>
        <v>1.4133478593569577</v>
      </c>
      <c r="Q32" s="37">
        <f>VLOOKUP($M32,'Summary Tables'!$E$49:$N$63,9,FALSE)</f>
        <v>0.97668256411584331</v>
      </c>
      <c r="R32" s="37">
        <f>VLOOKUP($M32,'Summary Tables'!$E$49:$N$63,10,FALSE)</f>
        <v>854.01386924203234</v>
      </c>
      <c r="S32" s="37"/>
      <c r="T32" s="37">
        <f>VLOOKUP($M32,'Summary Tables'!$E$49:$N$63,5,FALSE)</f>
        <v>31.100271002710024</v>
      </c>
      <c r="U32" s="160">
        <f>VLOOKUP($M32,'Summary Tables'!$E$49:$N$63,6,FALSE)</f>
        <v>4.74556552718155</v>
      </c>
      <c r="V32" s="37">
        <f>VLOOKUP($M32,'Summary Tables'!$E$49:$N$63,8,FALSE)</f>
        <v>2.7621105076077872</v>
      </c>
      <c r="X32" s="31">
        <f>VLOOKUP(N32,'CFL and LED Efficacy'!$D$57:$E$86,2,FALSE)</f>
        <v>56.288681586763076</v>
      </c>
      <c r="Y32" s="31">
        <f t="shared" si="23"/>
        <v>15.172035392686537</v>
      </c>
      <c r="Z32" s="161">
        <f>VLOOKUP(N32,'CFL and LED Cost'!$D$73:$K$102,MATCH(G32,'CFL and LED Cost'!$D$72:$K$72,0),FALSE)</f>
        <v>5.0118009549379394</v>
      </c>
      <c r="AA32" s="162">
        <f>VLOOKUP(H32,Lifetime!$A$4:$B$8,2,FALSE)</f>
        <v>5447.6374269005855</v>
      </c>
      <c r="AB32" s="37">
        <f t="shared" si="7"/>
        <v>10.552829099013161</v>
      </c>
      <c r="AD32" s="163">
        <f>VLOOKUP(G32&amp;H32,StorageTakebackRemoval!$C$56:$H$67,5,FALSE)</f>
        <v>0.74480000000000002</v>
      </c>
      <c r="AE32" s="163">
        <f>VLOOKUP(G32&amp;H32,StorageTakebackRemoval!$C$56:$H$67,6,FALSE)</f>
        <v>1.0909090909090908</v>
      </c>
      <c r="AG32" s="163">
        <f>1-Q32*('Space Conditioning Interaction'!$B$23)</f>
        <v>0.80760927974501229</v>
      </c>
      <c r="AH32" s="1">
        <f>Q32*'Space Conditioning Interaction'!$I$9</f>
        <v>9.8075179664699526E-3</v>
      </c>
      <c r="AJ32" s="1">
        <f t="shared" si="8"/>
        <v>16.054746903553813</v>
      </c>
      <c r="AK32" s="1">
        <f t="shared" si="9"/>
        <v>7.832188607620739</v>
      </c>
      <c r="AL32" s="1">
        <f t="shared" si="10"/>
        <v>8.222558295933073</v>
      </c>
      <c r="AM32" s="1">
        <f t="shared" si="11"/>
        <v>6.124161418810953</v>
      </c>
      <c r="AN32" s="1">
        <f t="shared" si="12"/>
        <v>4.9459295924881062</v>
      </c>
      <c r="AP32" s="1">
        <f t="shared" si="13"/>
        <v>-6.006282314455054E-2</v>
      </c>
      <c r="AR32" s="1" t="str">
        <f t="shared" si="14"/>
        <v>RetailCompact FluorescentGlobe665 to 1439 lumensANY</v>
      </c>
      <c r="AS32" s="1" t="str">
        <f t="shared" si="15"/>
        <v>RetailCompact FluorescentGlobe665 to 1439 lumensANY</v>
      </c>
      <c r="AT32" s="1">
        <f t="shared" si="16"/>
        <v>4.9459295924881062</v>
      </c>
      <c r="AU32" s="37">
        <f t="shared" si="17"/>
        <v>11.512177198923448</v>
      </c>
      <c r="AV32" s="164">
        <f t="shared" si="18"/>
        <v>0.26623542775638942</v>
      </c>
      <c r="AW32" s="1">
        <v>0</v>
      </c>
      <c r="AX32" s="2" t="s">
        <v>443</v>
      </c>
      <c r="AY32" s="1">
        <v>0</v>
      </c>
      <c r="AZ32" s="1">
        <f t="shared" si="19"/>
        <v>-4.74556552718155</v>
      </c>
      <c r="BA32" s="1">
        <f t="shared" si="20"/>
        <v>2.7621105076077872</v>
      </c>
      <c r="BF32" s="1">
        <f t="shared" si="21"/>
        <v>-6.006282314455054E-2</v>
      </c>
      <c r="BG32" s="2" t="s">
        <v>444</v>
      </c>
    </row>
    <row r="33" spans="1:59">
      <c r="A33" s="140">
        <f t="shared" si="22"/>
        <v>24</v>
      </c>
      <c r="B33" s="140">
        <f t="shared" si="25"/>
        <v>1</v>
      </c>
      <c r="C33" s="140">
        <f t="shared" si="25"/>
        <v>2</v>
      </c>
      <c r="D33" s="140">
        <f t="shared" si="25"/>
        <v>3</v>
      </c>
      <c r="E33" s="140">
        <f t="shared" si="2"/>
        <v>3</v>
      </c>
      <c r="G33" s="2" t="str">
        <f t="shared" si="3"/>
        <v>Retail</v>
      </c>
      <c r="H33" s="2" t="str">
        <f t="shared" si="3"/>
        <v>Compact Fluorescent</v>
      </c>
      <c r="I33" s="2" t="str">
        <f t="shared" si="3"/>
        <v>Globe</v>
      </c>
      <c r="J33" s="2" t="str">
        <f t="shared" si="3"/>
        <v>1440 to 2600 lumens</v>
      </c>
      <c r="K33" s="2" t="s">
        <v>442</v>
      </c>
      <c r="M33" s="1" t="str">
        <f t="shared" si="4"/>
        <v>Globe1440 to 2600 lumens</v>
      </c>
      <c r="N33" s="1" t="str">
        <f t="shared" si="5"/>
        <v>Compact FluorescentGlobe1440 to 2600 lumens</v>
      </c>
      <c r="O33" s="1" t="str">
        <f t="shared" si="6"/>
        <v>RetailCompact FluorescentGlobe1440 to 2600 lumensANY</v>
      </c>
      <c r="P33" s="37">
        <f>VLOOKUP($M33,'Summary Tables'!$E$49:$N$63,7,FALSE)</f>
        <v>1.8779135295448872</v>
      </c>
      <c r="Q33" s="37">
        <f>VLOOKUP($M33,'Summary Tables'!$E$49:$N$63,9,FALSE)</f>
        <v>0.84854563840574837</v>
      </c>
      <c r="R33" s="37">
        <f>VLOOKUP($M33,'Summary Tables'!$E$49:$N$63,10,FALSE)</f>
        <v>1845.0029433386362</v>
      </c>
      <c r="S33" s="37"/>
      <c r="T33" s="37">
        <f>VLOOKUP($M33,'Summary Tables'!$E$49:$N$63,5,FALSE)</f>
        <v>37</v>
      </c>
      <c r="U33" s="160">
        <f>VLOOKUP($M33,'Summary Tables'!$E$49:$N$63,6,FALSE)</f>
        <v>5.4627245082786207</v>
      </c>
      <c r="V33" s="37">
        <f>VLOOKUP($M33,'Summary Tables'!$E$49:$N$63,8,FALSE)</f>
        <v>2.0492242794119604</v>
      </c>
      <c r="X33" s="31" t="str">
        <f>VLOOKUP(N33,'CFL and LED Efficacy'!$D$57:$E$86,2,FALSE)</f>
        <v>[no products]</v>
      </c>
      <c r="Y33" s="31" t="e">
        <f t="shared" si="23"/>
        <v>#VALUE!</v>
      </c>
      <c r="Z33" s="161">
        <f>VLOOKUP(N33,'CFL and LED Cost'!$D$73:$K$102,MATCH(G33,'CFL and LED Cost'!$D$72:$K$72,0),FALSE)</f>
        <v>5.0118009549379394</v>
      </c>
      <c r="AA33" s="162">
        <f>VLOOKUP(H33,Lifetime!$A$4:$B$8,2,FALSE)</f>
        <v>5447.6374269005855</v>
      </c>
      <c r="AB33" s="37">
        <f t="shared" si="7"/>
        <v>7.9422285332087013</v>
      </c>
      <c r="AD33" s="163">
        <f>VLOOKUP(G33&amp;H33,StorageTakebackRemoval!$C$56:$H$67,5,FALSE)</f>
        <v>0.74480000000000002</v>
      </c>
      <c r="AE33" s="163">
        <f>VLOOKUP(G33&amp;H33,StorageTakebackRemoval!$C$56:$H$67,6,FALSE)</f>
        <v>1.0909090909090908</v>
      </c>
      <c r="AG33" s="163">
        <f>1-Q33*('Space Conditioning Interaction'!$B$23)</f>
        <v>0.83285018844388103</v>
      </c>
      <c r="AH33" s="1">
        <f>Q33*'Space Conditioning Interaction'!$I$9</f>
        <v>8.5208100357231469E-3</v>
      </c>
      <c r="AJ33" s="1">
        <f t="shared" si="8"/>
        <v>25.378592916651993</v>
      </c>
      <c r="AK33" s="1" t="e">
        <f t="shared" si="9"/>
        <v>#VALUE!</v>
      </c>
      <c r="AL33" s="1" t="e">
        <f t="shared" si="10"/>
        <v>#VALUE!</v>
      </c>
      <c r="AM33" s="1" t="e">
        <f t="shared" si="11"/>
        <v>#VALUE!</v>
      </c>
      <c r="AN33" s="1" t="e">
        <f t="shared" si="12"/>
        <v>#VALUE!</v>
      </c>
      <c r="AP33" s="1" t="e">
        <f t="shared" si="13"/>
        <v>#VALUE!</v>
      </c>
      <c r="AR33" s="1" t="str">
        <f t="shared" si="14"/>
        <v>RetailCompact FluorescentGlobe1440 to 2600 lumensANY</v>
      </c>
      <c r="AS33" s="1" t="str">
        <f t="shared" si="15"/>
        <v>RetailCompact FluorescentGlobe1440 to 2600 lumensANY</v>
      </c>
      <c r="AT33" s="1">
        <f t="shared" si="16"/>
        <v>0</v>
      </c>
      <c r="AU33" s="37">
        <f t="shared" si="17"/>
        <v>1</v>
      </c>
      <c r="AV33" s="164">
        <f t="shared" si="18"/>
        <v>999</v>
      </c>
      <c r="AW33" s="1">
        <v>0</v>
      </c>
      <c r="AX33" s="2" t="s">
        <v>443</v>
      </c>
      <c r="AY33" s="1">
        <v>0</v>
      </c>
      <c r="AZ33" s="1">
        <f t="shared" si="19"/>
        <v>999</v>
      </c>
      <c r="BA33" s="1">
        <f t="shared" si="20"/>
        <v>999</v>
      </c>
      <c r="BF33" s="1">
        <f t="shared" si="21"/>
        <v>999</v>
      </c>
      <c r="BG33" s="2" t="s">
        <v>444</v>
      </c>
    </row>
    <row r="34" spans="1:59">
      <c r="A34" s="140">
        <f t="shared" si="22"/>
        <v>25</v>
      </c>
      <c r="B34" s="140">
        <f t="shared" si="25"/>
        <v>1</v>
      </c>
      <c r="C34" s="140">
        <f t="shared" si="25"/>
        <v>2</v>
      </c>
      <c r="D34" s="140">
        <f t="shared" si="25"/>
        <v>4</v>
      </c>
      <c r="E34" s="140">
        <f t="shared" si="2"/>
        <v>1</v>
      </c>
      <c r="G34" s="2" t="str">
        <f t="shared" si="3"/>
        <v>Retail</v>
      </c>
      <c r="H34" s="2" t="str">
        <f t="shared" si="3"/>
        <v>Compact Fluorescent</v>
      </c>
      <c r="I34" s="2" t="str">
        <f t="shared" si="3"/>
        <v>Reflectors and Outdoor</v>
      </c>
      <c r="J34" s="2" t="str">
        <f t="shared" si="3"/>
        <v>250 to 664 lumens</v>
      </c>
      <c r="K34" s="2" t="s">
        <v>442</v>
      </c>
      <c r="M34" s="1" t="str">
        <f t="shared" si="4"/>
        <v>Reflectors and Outdoor250 to 664 lumens</v>
      </c>
      <c r="N34" s="1" t="str">
        <f t="shared" si="5"/>
        <v>Compact FluorescentReflectors and Outdoor250 to 664 lumens</v>
      </c>
      <c r="O34" s="1" t="str">
        <f t="shared" si="6"/>
        <v>RetailCompact FluorescentReflectors and Outdoor250 to 664 lumensANY</v>
      </c>
      <c r="P34" s="37">
        <f>VLOOKUP($M34,'Summary Tables'!$E$49:$N$63,7,FALSE)</f>
        <v>1.9506803142955835</v>
      </c>
      <c r="Q34" s="37">
        <f>VLOOKUP($M34,'Summary Tables'!$E$49:$N$63,9,FALSE)</f>
        <v>0.94622699649287401</v>
      </c>
      <c r="R34" s="37">
        <f>VLOOKUP($M34,'Summary Tables'!$E$49:$N$63,10,FALSE)</f>
        <v>479.73166573433264</v>
      </c>
      <c r="S34" s="37"/>
      <c r="T34" s="37">
        <f>VLOOKUP($M34,'Summary Tables'!$E$49:$N$63,5,FALSE)</f>
        <v>38</v>
      </c>
      <c r="U34" s="160">
        <f>VLOOKUP($M34,'Summary Tables'!$E$49:$N$63,6,FALSE)</f>
        <v>4.6350044381489033</v>
      </c>
      <c r="V34" s="37">
        <f>VLOOKUP($M34,'Summary Tables'!$E$49:$N$63,8,FALSE)</f>
        <v>2.1002897994909375</v>
      </c>
      <c r="X34" s="31">
        <f>VLOOKUP(N34,'CFL and LED Efficacy'!$D$57:$E$86,2,FALSE)</f>
        <v>43.652276732987744</v>
      </c>
      <c r="Y34" s="31">
        <f t="shared" si="23"/>
        <v>10.989842950661094</v>
      </c>
      <c r="Z34" s="161">
        <f>VLOOKUP(N34,'CFL and LED Cost'!$D$73:$K$102,MATCH(G34,'CFL and LED Cost'!$D$72:$K$72,0),FALSE)</f>
        <v>4.6039209937539276</v>
      </c>
      <c r="AA34" s="162">
        <f>VLOOKUP(H34,Lifetime!$A$4:$B$8,2,FALSE)</f>
        <v>5447.6374269005855</v>
      </c>
      <c r="AB34" s="37">
        <f t="shared" si="7"/>
        <v>7.6459573144541624</v>
      </c>
      <c r="AD34" s="163">
        <f>VLOOKUP(G34&amp;H34,StorageTakebackRemoval!$C$56:$H$67,5,FALSE)</f>
        <v>0.74480000000000002</v>
      </c>
      <c r="AE34" s="163">
        <f>VLOOKUP(G34&amp;H34,StorageTakebackRemoval!$C$56:$H$67,6,FALSE)</f>
        <v>1.0909090909090908</v>
      </c>
      <c r="AG34" s="163">
        <f>1-Q34*('Space Conditioning Interaction'!$B$23)</f>
        <v>0.81360853559950974</v>
      </c>
      <c r="AH34" s="1">
        <f>Q34*'Space Conditioning Interaction'!$I$9</f>
        <v>9.5016933949913906E-3</v>
      </c>
      <c r="AJ34" s="1">
        <f t="shared" si="8"/>
        <v>27.074467422265553</v>
      </c>
      <c r="AK34" s="1">
        <f t="shared" si="9"/>
        <v>7.8301090774602242</v>
      </c>
      <c r="AL34" s="1">
        <f t="shared" si="10"/>
        <v>19.244358344805327</v>
      </c>
      <c r="AM34" s="1">
        <f t="shared" si="11"/>
        <v>14.333198095211008</v>
      </c>
      <c r="AN34" s="1">
        <f t="shared" si="12"/>
        <v>11.66161231270231</v>
      </c>
      <c r="AP34" s="1">
        <f t="shared" si="13"/>
        <v>-0.13618965367036961</v>
      </c>
      <c r="AR34" s="1" t="str">
        <f t="shared" si="14"/>
        <v>RetailCompact FluorescentReflectors and Outdoor250 to 664 lumensANY</v>
      </c>
      <c r="AS34" s="1" t="str">
        <f t="shared" si="15"/>
        <v>RetailCompact FluorescentReflectors and Outdoor250 to 664 lumensANY</v>
      </c>
      <c r="AT34" s="1">
        <f t="shared" si="16"/>
        <v>11.66161231270231</v>
      </c>
      <c r="AU34" s="37">
        <f t="shared" si="17"/>
        <v>8.3410443430409043</v>
      </c>
      <c r="AV34" s="164">
        <f t="shared" si="18"/>
        <v>0.05</v>
      </c>
      <c r="AW34" s="1">
        <v>0</v>
      </c>
      <c r="AX34" s="2" t="s">
        <v>443</v>
      </c>
      <c r="AY34" s="1">
        <v>0</v>
      </c>
      <c r="AZ34" s="1">
        <f t="shared" si="19"/>
        <v>-4.6350044381489033</v>
      </c>
      <c r="BA34" s="1">
        <f t="shared" si="20"/>
        <v>2.1002897994909375</v>
      </c>
      <c r="BF34" s="1">
        <f t="shared" si="21"/>
        <v>-0.13618965367036961</v>
      </c>
      <c r="BG34" s="2" t="s">
        <v>444</v>
      </c>
    </row>
    <row r="35" spans="1:59">
      <c r="A35" s="140">
        <f t="shared" si="22"/>
        <v>26</v>
      </c>
      <c r="B35" s="140">
        <f t="shared" si="25"/>
        <v>1</v>
      </c>
      <c r="C35" s="140">
        <f t="shared" si="25"/>
        <v>2</v>
      </c>
      <c r="D35" s="140">
        <f t="shared" si="25"/>
        <v>4</v>
      </c>
      <c r="E35" s="140">
        <f t="shared" si="2"/>
        <v>2</v>
      </c>
      <c r="G35" s="2" t="str">
        <f t="shared" si="3"/>
        <v>Retail</v>
      </c>
      <c r="H35" s="2" t="str">
        <f t="shared" si="3"/>
        <v>Compact Fluorescent</v>
      </c>
      <c r="I35" s="2" t="str">
        <f t="shared" si="3"/>
        <v>Reflectors and Outdoor</v>
      </c>
      <c r="J35" s="2" t="str">
        <f t="shared" si="3"/>
        <v>665 to 1439 lumens</v>
      </c>
      <c r="K35" s="2" t="s">
        <v>442</v>
      </c>
      <c r="M35" s="1" t="str">
        <f t="shared" si="4"/>
        <v>Reflectors and Outdoor665 to 1439 lumens</v>
      </c>
      <c r="N35" s="1" t="str">
        <f t="shared" si="5"/>
        <v>Compact FluorescentReflectors and Outdoor665 to 1439 lumens</v>
      </c>
      <c r="O35" s="1" t="str">
        <f t="shared" si="6"/>
        <v>RetailCompact FluorescentReflectors and Outdoor665 to 1439 lumensANY</v>
      </c>
      <c r="P35" s="37">
        <f>VLOOKUP($M35,'Summary Tables'!$E$49:$N$63,7,FALSE)</f>
        <v>2.2112998582903738</v>
      </c>
      <c r="Q35" s="37">
        <f>VLOOKUP($M35,'Summary Tables'!$E$49:$N$63,9,FALSE)</f>
        <v>0.82931998492682701</v>
      </c>
      <c r="R35" s="37">
        <f>VLOOKUP($M35,'Summary Tables'!$E$49:$N$63,10,FALSE)</f>
        <v>972.55453255182397</v>
      </c>
      <c r="S35" s="37"/>
      <c r="T35" s="37">
        <f>VLOOKUP($M35,'Summary Tables'!$E$49:$N$63,5,FALSE)</f>
        <v>33.801608579088473</v>
      </c>
      <c r="U35" s="160">
        <f>VLOOKUP($M35,'Summary Tables'!$E$49:$N$63,6,FALSE)</f>
        <v>6.0025868409413388</v>
      </c>
      <c r="V35" s="37">
        <f>VLOOKUP($M35,'Summary Tables'!$E$49:$N$63,8,FALSE)</f>
        <v>2.7605785479478313</v>
      </c>
      <c r="X35" s="31">
        <f>VLOOKUP(N35,'CFL and LED Efficacy'!$D$57:$E$86,2,FALSE)</f>
        <v>50.291577048115769</v>
      </c>
      <c r="Y35" s="31">
        <f t="shared" si="23"/>
        <v>19.338318454824869</v>
      </c>
      <c r="Z35" s="161">
        <f>VLOOKUP(N35,'CFL and LED Cost'!$D$73:$K$102,MATCH(G35,'CFL and LED Cost'!$D$72:$K$72,0),FALSE)</f>
        <v>3.1114505128260177</v>
      </c>
      <c r="AA35" s="162">
        <f>VLOOKUP(H35,Lifetime!$A$4:$B$8,2,FALSE)</f>
        <v>5447.6374269005855</v>
      </c>
      <c r="AB35" s="37">
        <f t="shared" si="7"/>
        <v>6.7448195057459026</v>
      </c>
      <c r="AD35" s="163">
        <f>VLOOKUP(G35&amp;H35,StorageTakebackRemoval!$C$56:$H$67,5,FALSE)</f>
        <v>0.74480000000000002</v>
      </c>
      <c r="AE35" s="163">
        <f>VLOOKUP(G35&amp;H35,StorageTakebackRemoval!$C$56:$H$67,6,FALSE)</f>
        <v>1.0909090909090908</v>
      </c>
      <c r="AG35" s="163">
        <f>1-Q35*('Space Conditioning Interaction'!$B$23)</f>
        <v>0.83663733224687387</v>
      </c>
      <c r="AH35" s="1">
        <f>Q35*'Space Conditioning Interaction'!$I$9</f>
        <v>8.3277524867923537E-3</v>
      </c>
      <c r="AJ35" s="1">
        <f t="shared" si="8"/>
        <v>27.300791048302866</v>
      </c>
      <c r="AK35" s="1">
        <f t="shared" si="9"/>
        <v>15.619120318650532</v>
      </c>
      <c r="AL35" s="1">
        <f t="shared" si="10"/>
        <v>11.681670729652334</v>
      </c>
      <c r="AM35" s="1">
        <f t="shared" si="11"/>
        <v>8.7005083594450578</v>
      </c>
      <c r="AN35" s="1">
        <f t="shared" si="12"/>
        <v>7.279170103037738</v>
      </c>
      <c r="AP35" s="1">
        <f t="shared" si="13"/>
        <v>-7.2455680126726249E-2</v>
      </c>
      <c r="AR35" s="1" t="str">
        <f t="shared" si="14"/>
        <v>RetailCompact FluorescentReflectors and Outdoor665 to 1439 lumensANY</v>
      </c>
      <c r="AS35" s="1" t="str">
        <f t="shared" si="15"/>
        <v>RetailCompact FluorescentReflectors and Outdoor665 to 1439 lumensANY</v>
      </c>
      <c r="AT35" s="1">
        <f t="shared" si="16"/>
        <v>7.279170103037738</v>
      </c>
      <c r="AU35" s="37">
        <f t="shared" si="17"/>
        <v>7.3579849153591663</v>
      </c>
      <c r="AV35" s="164">
        <f t="shared" si="18"/>
        <v>0.05</v>
      </c>
      <c r="AW35" s="1">
        <v>0</v>
      </c>
      <c r="AX35" s="2" t="s">
        <v>443</v>
      </c>
      <c r="AY35" s="1">
        <v>0</v>
      </c>
      <c r="AZ35" s="1">
        <f t="shared" si="19"/>
        <v>-6.0025868409413388</v>
      </c>
      <c r="BA35" s="1">
        <f t="shared" si="20"/>
        <v>2.7605785479478313</v>
      </c>
      <c r="BF35" s="1">
        <f t="shared" si="21"/>
        <v>-7.2455680126726249E-2</v>
      </c>
      <c r="BG35" s="2" t="s">
        <v>444</v>
      </c>
    </row>
    <row r="36" spans="1:59">
      <c r="A36" s="140">
        <f t="shared" si="22"/>
        <v>27</v>
      </c>
      <c r="B36" s="140">
        <f t="shared" si="25"/>
        <v>1</v>
      </c>
      <c r="C36" s="140">
        <f t="shared" si="25"/>
        <v>2</v>
      </c>
      <c r="D36" s="140">
        <f t="shared" si="25"/>
        <v>4</v>
      </c>
      <c r="E36" s="140">
        <f t="shared" si="2"/>
        <v>3</v>
      </c>
      <c r="G36" s="2" t="str">
        <f t="shared" si="3"/>
        <v>Retail</v>
      </c>
      <c r="H36" s="2" t="str">
        <f t="shared" si="3"/>
        <v>Compact Fluorescent</v>
      </c>
      <c r="I36" s="2" t="str">
        <f t="shared" si="3"/>
        <v>Reflectors and Outdoor</v>
      </c>
      <c r="J36" s="2" t="str">
        <f t="shared" si="3"/>
        <v>1440 to 2600 lumens</v>
      </c>
      <c r="K36" s="2" t="s">
        <v>442</v>
      </c>
      <c r="M36" s="1" t="str">
        <f t="shared" si="4"/>
        <v>Reflectors and Outdoor1440 to 2600 lumens</v>
      </c>
      <c r="N36" s="1" t="str">
        <f t="shared" si="5"/>
        <v>Compact FluorescentReflectors and Outdoor1440 to 2600 lumens</v>
      </c>
      <c r="O36" s="1" t="str">
        <f t="shared" si="6"/>
        <v>RetailCompact FluorescentReflectors and Outdoor1440 to 2600 lumensANY</v>
      </c>
      <c r="P36" s="37">
        <f>VLOOKUP($M36,'Summary Tables'!$E$49:$N$63,7,FALSE)</f>
        <v>3.1412077290657425</v>
      </c>
      <c r="Q36" s="37">
        <f>VLOOKUP($M36,'Summary Tables'!$E$49:$N$63,9,FALSE)</f>
        <v>0.2985167573190915</v>
      </c>
      <c r="R36" s="37">
        <f>VLOOKUP($M36,'Summary Tables'!$E$49:$N$63,10,FALSE)</f>
        <v>1835.2728077183538</v>
      </c>
      <c r="S36" s="37"/>
      <c r="T36" s="37">
        <f>VLOOKUP($M36,'Summary Tables'!$E$49:$N$63,5,FALSE)</f>
        <v>92</v>
      </c>
      <c r="U36" s="160">
        <f>VLOOKUP($M36,'Summary Tables'!$E$49:$N$63,6,FALSE)</f>
        <v>6.8379432184399001</v>
      </c>
      <c r="V36" s="37">
        <f>VLOOKUP($M36,'Summary Tables'!$E$49:$N$63,8,FALSE)</f>
        <v>1.8152462117520278</v>
      </c>
      <c r="X36" s="31">
        <f>VLOOKUP(N36,'CFL and LED Efficacy'!$D$57:$E$86,2,FALSE)</f>
        <v>67.307692307692307</v>
      </c>
      <c r="Y36" s="31">
        <f t="shared" si="23"/>
        <v>27.266910286101258</v>
      </c>
      <c r="Z36" s="161">
        <f>VLOOKUP(N36,'CFL and LED Cost'!$D$73:$K$102,MATCH(G36,'CFL and LED Cost'!$D$72:$K$72,0),FALSE)</f>
        <v>9.8501399999999997</v>
      </c>
      <c r="AA36" s="162">
        <f>VLOOKUP(H36,Lifetime!$A$4:$B$8,2,FALSE)</f>
        <v>5447.6374269005855</v>
      </c>
      <c r="AB36" s="37">
        <f t="shared" si="7"/>
        <v>4.7481159170858227</v>
      </c>
      <c r="AD36" s="163">
        <f>VLOOKUP(G36&amp;H36,StorageTakebackRemoval!$C$56:$H$67,5,FALSE)</f>
        <v>0.74480000000000002</v>
      </c>
      <c r="AE36" s="163">
        <f>VLOOKUP(G36&amp;H36,StorageTakebackRemoval!$C$56:$H$67,6,FALSE)</f>
        <v>1.0909090909090908</v>
      </c>
      <c r="AG36" s="163">
        <f>1-Q36*('Space Conditioning Interaction'!$B$23)</f>
        <v>0.94119701112838594</v>
      </c>
      <c r="AH36" s="1">
        <f>Q36*'Space Conditioning Interaction'!$I$9</f>
        <v>2.9976049212567784E-3</v>
      </c>
      <c r="AJ36" s="1">
        <f t="shared" si="8"/>
        <v>105.55400331979615</v>
      </c>
      <c r="AK36" s="1">
        <f t="shared" si="9"/>
        <v>31.284038465866477</v>
      </c>
      <c r="AL36" s="1">
        <f t="shared" si="10"/>
        <v>74.269964853929679</v>
      </c>
      <c r="AM36" s="1">
        <f t="shared" si="11"/>
        <v>55.316269823206824</v>
      </c>
      <c r="AN36" s="1">
        <f t="shared" si="12"/>
        <v>52.063507824373595</v>
      </c>
      <c r="AP36" s="1">
        <f t="shared" si="13"/>
        <v>-0.16581632264761259</v>
      </c>
      <c r="AR36" s="1" t="str">
        <f t="shared" si="14"/>
        <v>RetailCompact FluorescentReflectors and Outdoor1440 to 2600 lumensANY</v>
      </c>
      <c r="AS36" s="1" t="str">
        <f t="shared" si="15"/>
        <v>RetailCompact FluorescentReflectors and Outdoor1440 to 2600 lumensANY</v>
      </c>
      <c r="AT36" s="1">
        <f t="shared" si="16"/>
        <v>52.063507824373595</v>
      </c>
      <c r="AU36" s="37">
        <f t="shared" si="17"/>
        <v>5.1797628186390785</v>
      </c>
      <c r="AV36" s="164">
        <f t="shared" si="18"/>
        <v>3.0121967815600996</v>
      </c>
      <c r="AW36" s="1">
        <v>0</v>
      </c>
      <c r="AX36" s="2" t="s">
        <v>443</v>
      </c>
      <c r="AY36" s="1">
        <v>0</v>
      </c>
      <c r="AZ36" s="1">
        <f t="shared" si="19"/>
        <v>-6.8379432184399001</v>
      </c>
      <c r="BA36" s="1">
        <f t="shared" si="20"/>
        <v>1.8152462117520278</v>
      </c>
      <c r="BF36" s="1">
        <f t="shared" si="21"/>
        <v>-0.16581632264761259</v>
      </c>
      <c r="BG36" s="2" t="s">
        <v>444</v>
      </c>
    </row>
    <row r="37" spans="1:59">
      <c r="A37" s="140">
        <f t="shared" si="22"/>
        <v>28</v>
      </c>
      <c r="B37" s="140">
        <f t="shared" si="25"/>
        <v>1</v>
      </c>
      <c r="C37" s="140">
        <f t="shared" si="25"/>
        <v>2</v>
      </c>
      <c r="D37" s="140">
        <f t="shared" si="25"/>
        <v>5</v>
      </c>
      <c r="E37" s="140">
        <f t="shared" si="2"/>
        <v>1</v>
      </c>
      <c r="G37" s="2" t="str">
        <f t="shared" si="3"/>
        <v>Retail</v>
      </c>
      <c r="H37" s="2" t="str">
        <f t="shared" si="3"/>
        <v>Compact Fluorescent</v>
      </c>
      <c r="I37" s="2" t="str">
        <f t="shared" si="3"/>
        <v>Three-Way</v>
      </c>
      <c r="J37" s="2" t="str">
        <f t="shared" si="3"/>
        <v>250 to 664 lumens</v>
      </c>
      <c r="K37" s="2" t="s">
        <v>442</v>
      </c>
      <c r="M37" s="1" t="str">
        <f t="shared" si="4"/>
        <v>Three-Way250 to 664 lumens</v>
      </c>
      <c r="N37" s="1" t="str">
        <f t="shared" si="5"/>
        <v>Compact FluorescentThree-Way250 to 664 lumens</v>
      </c>
      <c r="O37" s="1" t="str">
        <f t="shared" si="6"/>
        <v>RetailCompact FluorescentThree-Way250 to 664 lumensANY</v>
      </c>
      <c r="P37" s="37">
        <f>VLOOKUP($M37,'Summary Tables'!$E$49:$N$63,7,FALSE)</f>
        <v>1.6416684714322591</v>
      </c>
      <c r="Q37" s="37">
        <f>VLOOKUP($M37,'Summary Tables'!$E$49:$N$63,9,FALSE)</f>
        <v>1</v>
      </c>
      <c r="R37" s="37">
        <f>VLOOKUP($M37,'Summary Tables'!$E$49:$N$63,10,FALSE)</f>
        <v>415.0645318455953</v>
      </c>
      <c r="S37" s="37"/>
      <c r="T37" s="37">
        <f>VLOOKUP($M37,'Summary Tables'!$E$49:$N$63,5,FALSE)</f>
        <v>91</v>
      </c>
      <c r="U37" s="160">
        <f>VLOOKUP($M37,'Summary Tables'!$E$49:$N$63,6,FALSE)</f>
        <v>2.5086033161955381</v>
      </c>
      <c r="V37" s="37">
        <f>VLOOKUP($M37,'Summary Tables'!$E$49:$N$63,8,FALSE)</f>
        <v>1.9664811264199897</v>
      </c>
      <c r="X37" s="31" t="str">
        <f>VLOOKUP(N37,'CFL and LED Efficacy'!$D$57:$E$86,2,FALSE)</f>
        <v>[no products]</v>
      </c>
      <c r="Y37" s="31" t="e">
        <f t="shared" si="23"/>
        <v>#VALUE!</v>
      </c>
      <c r="Z37" s="161">
        <f>VLOOKUP(N37,'CFL and LED Cost'!$D$73:$K$102,MATCH(G37,'CFL and LED Cost'!$D$72:$K$72,0),FALSE)</f>
        <v>12.376032587859543</v>
      </c>
      <c r="AA37" s="162">
        <f>VLOOKUP(H37,Lifetime!$A$4:$B$8,2,FALSE)</f>
        <v>5447.6374269005855</v>
      </c>
      <c r="AB37" s="37">
        <f t="shared" si="7"/>
        <v>9.0851585912701136</v>
      </c>
      <c r="AD37" s="163">
        <f>VLOOKUP(G37&amp;H37,StorageTakebackRemoval!$C$56:$H$67,5,FALSE)</f>
        <v>0.74480000000000002</v>
      </c>
      <c r="AE37" s="163">
        <f>VLOOKUP(G37&amp;H37,StorageTakebackRemoval!$C$56:$H$67,6,FALSE)</f>
        <v>1.0909090909090908</v>
      </c>
      <c r="AG37" s="163">
        <f>1-Q37*('Space Conditioning Interaction'!$B$23)</f>
        <v>0.8030161207708747</v>
      </c>
      <c r="AH37" s="1">
        <f>Q37*'Space Conditioning Interaction'!$I$9</f>
        <v>1.0041663818733528E-2</v>
      </c>
      <c r="AJ37" s="1">
        <f t="shared" si="8"/>
        <v>54.565366236347565</v>
      </c>
      <c r="AK37" s="1" t="e">
        <f t="shared" si="9"/>
        <v>#VALUE!</v>
      </c>
      <c r="AL37" s="1" t="e">
        <f t="shared" si="10"/>
        <v>#VALUE!</v>
      </c>
      <c r="AM37" s="1" t="e">
        <f t="shared" si="11"/>
        <v>#VALUE!</v>
      </c>
      <c r="AN37" s="1" t="e">
        <f t="shared" si="12"/>
        <v>#VALUE!</v>
      </c>
      <c r="AP37" s="1" t="e">
        <f t="shared" si="13"/>
        <v>#VALUE!</v>
      </c>
      <c r="AR37" s="1" t="str">
        <f t="shared" si="14"/>
        <v>RetailCompact FluorescentThree-Way250 to 664 lumensANY</v>
      </c>
      <c r="AS37" s="1" t="str">
        <f t="shared" si="15"/>
        <v>RetailCompact FluorescentThree-Way250 to 664 lumensANY</v>
      </c>
      <c r="AT37" s="1">
        <f t="shared" si="16"/>
        <v>0</v>
      </c>
      <c r="AU37" s="37">
        <f t="shared" si="17"/>
        <v>1</v>
      </c>
      <c r="AV37" s="164">
        <f t="shared" si="18"/>
        <v>999</v>
      </c>
      <c r="AW37" s="1">
        <v>0</v>
      </c>
      <c r="AX37" s="2" t="s">
        <v>443</v>
      </c>
      <c r="AY37" s="1">
        <v>0</v>
      </c>
      <c r="AZ37" s="1">
        <f t="shared" si="19"/>
        <v>999</v>
      </c>
      <c r="BA37" s="1">
        <f t="shared" si="20"/>
        <v>999</v>
      </c>
      <c r="BF37" s="1">
        <f t="shared" si="21"/>
        <v>999</v>
      </c>
      <c r="BG37" s="2" t="s">
        <v>444</v>
      </c>
    </row>
    <row r="38" spans="1:59">
      <c r="A38" s="140">
        <f t="shared" si="22"/>
        <v>29</v>
      </c>
      <c r="B38" s="140">
        <f t="shared" si="25"/>
        <v>1</v>
      </c>
      <c r="C38" s="140">
        <f t="shared" si="25"/>
        <v>2</v>
      </c>
      <c r="D38" s="140">
        <f t="shared" si="25"/>
        <v>5</v>
      </c>
      <c r="E38" s="140">
        <f t="shared" si="2"/>
        <v>2</v>
      </c>
      <c r="G38" s="2" t="str">
        <f t="shared" si="3"/>
        <v>Retail</v>
      </c>
      <c r="H38" s="2" t="str">
        <f t="shared" si="3"/>
        <v>Compact Fluorescent</v>
      </c>
      <c r="I38" s="2" t="str">
        <f t="shared" si="3"/>
        <v>Three-Way</v>
      </c>
      <c r="J38" s="2" t="str">
        <f t="shared" si="3"/>
        <v>665 to 1439 lumens</v>
      </c>
      <c r="K38" s="2" t="s">
        <v>442</v>
      </c>
      <c r="M38" s="1" t="str">
        <f t="shared" si="4"/>
        <v>Three-Way665 to 1439 lumens</v>
      </c>
      <c r="N38" s="1" t="str">
        <f t="shared" si="5"/>
        <v>Compact FluorescentThree-Way665 to 1439 lumens</v>
      </c>
      <c r="O38" s="1" t="str">
        <f t="shared" si="6"/>
        <v>RetailCompact FluorescentThree-Way665 to 1439 lumensANY</v>
      </c>
      <c r="P38" s="37">
        <f>VLOOKUP($M38,'Summary Tables'!$E$49:$N$63,7,FALSE)</f>
        <v>1.9012991277195712</v>
      </c>
      <c r="Q38" s="37">
        <f>VLOOKUP($M38,'Summary Tables'!$E$49:$N$63,9,FALSE)</f>
        <v>0.9977909622715454</v>
      </c>
      <c r="R38" s="37">
        <f>VLOOKUP($M38,'Summary Tables'!$E$49:$N$63,10,FALSE)</f>
        <v>1132.8409655317996</v>
      </c>
      <c r="S38" s="37"/>
      <c r="T38" s="37">
        <f>VLOOKUP($M38,'Summary Tables'!$E$49:$N$63,5,FALSE)</f>
        <v>91</v>
      </c>
      <c r="U38" s="160">
        <f>VLOOKUP($M38,'Summary Tables'!$E$49:$N$63,6,FALSE)</f>
        <v>6.020444707725451</v>
      </c>
      <c r="V38" s="37">
        <f>VLOOKUP($M38,'Summary Tables'!$E$49:$N$63,8,FALSE)</f>
        <v>3.7098631590053808</v>
      </c>
      <c r="X38" s="31">
        <f>VLOOKUP(N38,'CFL and LED Efficacy'!$D$57:$E$86,2,FALSE)</f>
        <v>42.211016724553993</v>
      </c>
      <c r="Y38" s="31">
        <f t="shared" si="23"/>
        <v>26.837566432576125</v>
      </c>
      <c r="Z38" s="161">
        <f>VLOOKUP(N38,'CFL and LED Cost'!$D$73:$K$102,MATCH(G38,'CFL and LED Cost'!$D$72:$K$72,0),FALSE)</f>
        <v>10.627342351184137</v>
      </c>
      <c r="AA38" s="162">
        <f>VLOOKUP(H38,Lifetime!$A$4:$B$8,2,FALSE)</f>
        <v>5447.6374269005855</v>
      </c>
      <c r="AB38" s="37">
        <f t="shared" si="7"/>
        <v>7.8445407141899759</v>
      </c>
      <c r="AD38" s="163">
        <f>VLOOKUP(G38&amp;H38,StorageTakebackRemoval!$C$56:$H$67,5,FALSE)</f>
        <v>0.74480000000000002</v>
      </c>
      <c r="AE38" s="163">
        <f>VLOOKUP(G38&amp;H38,StorageTakebackRemoval!$C$56:$H$67,6,FALSE)</f>
        <v>1.0909090909090908</v>
      </c>
      <c r="AG38" s="163">
        <f>1-Q38*('Space Conditioning Interaction'!$B$23)</f>
        <v>0.80345126559198921</v>
      </c>
      <c r="AH38" s="1">
        <f>Q38*'Space Conditioning Interaction'!$I$9</f>
        <v>1.0019481404501488E-2</v>
      </c>
      <c r="AJ38" s="1">
        <f t="shared" si="8"/>
        <v>63.194905082361174</v>
      </c>
      <c r="AK38" s="1">
        <f t="shared" si="9"/>
        <v>18.637334762068249</v>
      </c>
      <c r="AL38" s="1">
        <f t="shared" si="10"/>
        <v>44.557570320292925</v>
      </c>
      <c r="AM38" s="1">
        <f t="shared" si="11"/>
        <v>33.18647837455417</v>
      </c>
      <c r="AN38" s="1">
        <f t="shared" si="12"/>
        <v>26.66371805057673</v>
      </c>
      <c r="AP38" s="1">
        <f t="shared" si="13"/>
        <v>-0.3325113029547363</v>
      </c>
      <c r="AR38" s="1" t="str">
        <f t="shared" si="14"/>
        <v>RetailCompact FluorescentThree-Way665 to 1439 lumensANY</v>
      </c>
      <c r="AS38" s="1" t="str">
        <f t="shared" si="15"/>
        <v>RetailCompact FluorescentThree-Way665 to 1439 lumensANY</v>
      </c>
      <c r="AT38" s="1">
        <f t="shared" si="16"/>
        <v>26.66371805057673</v>
      </c>
      <c r="AU38" s="37">
        <f t="shared" si="17"/>
        <v>8.5576807791163372</v>
      </c>
      <c r="AV38" s="164">
        <f t="shared" si="18"/>
        <v>4.6068976434586855</v>
      </c>
      <c r="AW38" s="1">
        <v>0</v>
      </c>
      <c r="AX38" s="2" t="s">
        <v>443</v>
      </c>
      <c r="AY38" s="1">
        <v>0</v>
      </c>
      <c r="AZ38" s="1">
        <f t="shared" si="19"/>
        <v>-6.020444707725451</v>
      </c>
      <c r="BA38" s="1">
        <f t="shared" si="20"/>
        <v>3.7098631590053808</v>
      </c>
      <c r="BF38" s="1">
        <f t="shared" si="21"/>
        <v>-0.3325113029547363</v>
      </c>
      <c r="BG38" s="2" t="s">
        <v>444</v>
      </c>
    </row>
    <row r="39" spans="1:59">
      <c r="A39" s="140">
        <f t="shared" si="22"/>
        <v>30</v>
      </c>
      <c r="B39" s="140">
        <f t="shared" si="25"/>
        <v>1</v>
      </c>
      <c r="C39" s="140">
        <f t="shared" si="25"/>
        <v>2</v>
      </c>
      <c r="D39" s="140">
        <f t="shared" si="25"/>
        <v>5</v>
      </c>
      <c r="E39" s="140">
        <f t="shared" si="2"/>
        <v>3</v>
      </c>
      <c r="G39" s="2" t="str">
        <f t="shared" si="3"/>
        <v>Retail</v>
      </c>
      <c r="H39" s="2" t="str">
        <f t="shared" si="3"/>
        <v>Compact Fluorescent</v>
      </c>
      <c r="I39" s="2" t="str">
        <f t="shared" si="3"/>
        <v>Three-Way</v>
      </c>
      <c r="J39" s="2" t="str">
        <f t="shared" si="3"/>
        <v>1440 to 2600 lumens</v>
      </c>
      <c r="K39" s="2" t="s">
        <v>442</v>
      </c>
      <c r="M39" s="1" t="str">
        <f t="shared" si="4"/>
        <v>Three-Way1440 to 2600 lumens</v>
      </c>
      <c r="N39" s="1" t="str">
        <f t="shared" si="5"/>
        <v>Compact FluorescentThree-Way1440 to 2600 lumens</v>
      </c>
      <c r="O39" s="1" t="str">
        <f t="shared" si="6"/>
        <v>RetailCompact FluorescentThree-Way1440 to 2600 lumensANY</v>
      </c>
      <c r="P39" s="37">
        <f>VLOOKUP($M39,'Summary Tables'!$E$49:$N$63,7,FALSE)</f>
        <v>1.9748391432257275</v>
      </c>
      <c r="Q39" s="37">
        <f>VLOOKUP($M39,'Summary Tables'!$E$49:$N$63,9,FALSE)</f>
        <v>0.99652187968377692</v>
      </c>
      <c r="R39" s="37">
        <f>VLOOKUP($M39,'Summary Tables'!$E$49:$N$63,10,FALSE)</f>
        <v>1994.6302871120699</v>
      </c>
      <c r="S39" s="37"/>
      <c r="T39" s="37">
        <f>VLOOKUP($M39,'Summary Tables'!$E$49:$N$63,5,FALSE)</f>
        <v>91</v>
      </c>
      <c r="U39" s="160">
        <f>VLOOKUP($M39,'Summary Tables'!$E$49:$N$63,6,FALSE)</f>
        <v>5.8123669887989093</v>
      </c>
      <c r="V39" s="37">
        <f>VLOOKUP($M39,'Summary Tables'!$E$49:$N$63,8,FALSE)</f>
        <v>1.7652962324402386</v>
      </c>
      <c r="X39" s="31">
        <f>VLOOKUP(N39,'CFL and LED Efficacy'!$D$57:$E$86,2,FALSE)</f>
        <v>50.126780200607627</v>
      </c>
      <c r="Y39" s="31">
        <f t="shared" si="23"/>
        <v>39.791709723416297</v>
      </c>
      <c r="Z39" s="161">
        <f>VLOOKUP(N39,'CFL and LED Cost'!$D$73:$K$102,MATCH(G39,'CFL and LED Cost'!$D$72:$K$72,0),FALSE)</f>
        <v>12.376032587859543</v>
      </c>
      <c r="AA39" s="162">
        <f>VLOOKUP(H39,Lifetime!$A$4:$B$8,2,FALSE)</f>
        <v>5447.6374269005855</v>
      </c>
      <c r="AB39" s="37">
        <f t="shared" si="7"/>
        <v>7.552421911633779</v>
      </c>
      <c r="AD39" s="163">
        <f>VLOOKUP(G39&amp;H39,StorageTakebackRemoval!$C$56:$H$67,5,FALSE)</f>
        <v>0.74480000000000002</v>
      </c>
      <c r="AE39" s="163">
        <f>VLOOKUP(G39&amp;H39,StorageTakebackRemoval!$C$56:$H$67,6,FALSE)</f>
        <v>1.0909090909090908</v>
      </c>
      <c r="AG39" s="163">
        <f>1-Q39*('Space Conditioning Interaction'!$B$23)</f>
        <v>0.80370125440318996</v>
      </c>
      <c r="AH39" s="1">
        <f>Q39*'Space Conditioning Interaction'!$I$9</f>
        <v>1.000673770379691E-2</v>
      </c>
      <c r="AJ39" s="1">
        <f t="shared" si="8"/>
        <v>65.639209732750928</v>
      </c>
      <c r="AK39" s="1">
        <f t="shared" si="9"/>
        <v>28.702158023736995</v>
      </c>
      <c r="AL39" s="1">
        <f t="shared" si="10"/>
        <v>36.937051709013929</v>
      </c>
      <c r="AM39" s="1">
        <f t="shared" si="11"/>
        <v>27.510716112873574</v>
      </c>
      <c r="AN39" s="1">
        <f t="shared" si="12"/>
        <v>22.11039704944654</v>
      </c>
      <c r="AP39" s="1">
        <f t="shared" si="13"/>
        <v>-0.27529252018514516</v>
      </c>
      <c r="AR39" s="1" t="str">
        <f t="shared" si="14"/>
        <v>RetailCompact FluorescentThree-Way1440 to 2600 lumensANY</v>
      </c>
      <c r="AS39" s="1" t="str">
        <f t="shared" si="15"/>
        <v>RetailCompact FluorescentThree-Way1440 to 2600 lumensANY</v>
      </c>
      <c r="AT39" s="1">
        <f t="shared" si="16"/>
        <v>22.11039704944654</v>
      </c>
      <c r="AU39" s="37">
        <f t="shared" si="17"/>
        <v>8.2390057217823038</v>
      </c>
      <c r="AV39" s="164">
        <f t="shared" si="18"/>
        <v>6.5636655990606334</v>
      </c>
      <c r="AW39" s="1">
        <v>0</v>
      </c>
      <c r="AX39" s="2" t="s">
        <v>443</v>
      </c>
      <c r="AY39" s="1">
        <v>0</v>
      </c>
      <c r="AZ39" s="1">
        <f t="shared" si="19"/>
        <v>-5.8123669887989093</v>
      </c>
      <c r="BA39" s="1">
        <f t="shared" si="20"/>
        <v>1.7652962324402386</v>
      </c>
      <c r="BF39" s="1">
        <f t="shared" si="21"/>
        <v>-0.27529252018514516</v>
      </c>
      <c r="BG39" s="2" t="s">
        <v>444</v>
      </c>
    </row>
    <row r="40" spans="1:59">
      <c r="G40" s="2"/>
      <c r="H40" s="2"/>
      <c r="I40" s="2"/>
      <c r="J40" s="2"/>
      <c r="K40" s="2"/>
      <c r="P40" s="37"/>
      <c r="Q40" s="37"/>
      <c r="R40" s="37"/>
      <c r="T40" s="37"/>
      <c r="U40" s="160"/>
      <c r="V40" s="37"/>
      <c r="X40" s="31"/>
      <c r="Y40" s="31"/>
      <c r="Z40" s="165"/>
      <c r="AA40" s="162"/>
      <c r="AB40" s="37"/>
      <c r="AD40" s="163"/>
      <c r="AE40" s="163"/>
      <c r="AG40" s="163"/>
      <c r="AX40" s="2"/>
      <c r="BG40" s="2"/>
    </row>
    <row r="41" spans="1:59">
      <c r="G41" s="2"/>
      <c r="H41" s="2"/>
      <c r="I41" s="2"/>
      <c r="J41" s="2"/>
      <c r="K41" s="2"/>
      <c r="P41" s="37"/>
      <c r="Q41" s="37"/>
      <c r="R41" s="37"/>
      <c r="T41" s="37"/>
      <c r="U41" s="160"/>
      <c r="V41" s="37"/>
      <c r="X41" s="31"/>
      <c r="Y41" s="31"/>
      <c r="Z41" s="165"/>
      <c r="AA41" s="162"/>
      <c r="AB41" s="37"/>
      <c r="AD41" s="163"/>
      <c r="AE41" s="163"/>
      <c r="AG41" s="163"/>
      <c r="AX41" s="2"/>
      <c r="BG41" s="2"/>
    </row>
    <row r="42" spans="1:59">
      <c r="G42" s="2"/>
      <c r="H42" s="2"/>
      <c r="I42" s="2"/>
      <c r="J42" s="2"/>
      <c r="K42" s="2"/>
      <c r="P42" s="37"/>
      <c r="Q42" s="37"/>
      <c r="R42" s="37"/>
      <c r="T42" s="37"/>
      <c r="U42" s="160"/>
      <c r="V42" s="37"/>
      <c r="X42" s="31"/>
      <c r="Y42" s="31"/>
      <c r="Z42" s="165"/>
      <c r="AA42" s="162"/>
      <c r="AB42" s="37"/>
      <c r="AD42" s="163"/>
      <c r="AE42" s="163"/>
      <c r="AG42" s="163"/>
      <c r="AX42" s="2"/>
      <c r="BG42" s="2"/>
    </row>
    <row r="43" spans="1:59">
      <c r="G43" s="2"/>
      <c r="H43" s="2"/>
      <c r="I43" s="2"/>
      <c r="J43" s="2"/>
      <c r="K43" s="2"/>
      <c r="P43" s="37"/>
      <c r="Q43" s="37"/>
      <c r="R43" s="37"/>
      <c r="T43" s="37"/>
      <c r="U43" s="160"/>
      <c r="V43" s="37"/>
      <c r="X43" s="31"/>
      <c r="Y43" s="31"/>
      <c r="Z43" s="165"/>
      <c r="AA43" s="162"/>
      <c r="AB43" s="37"/>
      <c r="AD43" s="163"/>
      <c r="AE43" s="163"/>
      <c r="AG43" s="163"/>
      <c r="AX43" s="2"/>
      <c r="BG43" s="2"/>
    </row>
    <row r="44" spans="1:59">
      <c r="G44" s="2"/>
      <c r="H44" s="2"/>
      <c r="I44" s="2"/>
      <c r="J44" s="2"/>
      <c r="K44" s="2"/>
      <c r="P44" s="37"/>
      <c r="Q44" s="37"/>
      <c r="R44" s="37"/>
      <c r="T44" s="37"/>
      <c r="U44" s="160"/>
      <c r="V44" s="37"/>
      <c r="X44" s="31"/>
      <c r="Y44" s="31"/>
      <c r="Z44" s="165"/>
      <c r="AA44" s="162"/>
      <c r="AB44" s="37"/>
      <c r="AD44" s="163"/>
      <c r="AE44" s="163"/>
      <c r="AG44" s="163"/>
      <c r="AX44" s="2"/>
      <c r="BG44" s="2"/>
    </row>
    <row r="45" spans="1:59">
      <c r="G45" s="2"/>
      <c r="H45" s="2"/>
      <c r="I45" s="2"/>
      <c r="J45" s="2"/>
      <c r="K45" s="2"/>
      <c r="P45" s="37"/>
      <c r="Q45" s="37"/>
      <c r="R45" s="37"/>
      <c r="T45" s="37"/>
      <c r="U45" s="160"/>
      <c r="V45" s="37"/>
      <c r="X45" s="31"/>
      <c r="Y45" s="31"/>
      <c r="Z45" s="165"/>
      <c r="AA45" s="162"/>
      <c r="AB45" s="37"/>
      <c r="AD45" s="163"/>
      <c r="AE45" s="163"/>
      <c r="AG45" s="163"/>
      <c r="AX45" s="2"/>
      <c r="BG45" s="2"/>
    </row>
    <row r="46" spans="1:59">
      <c r="G46" s="2"/>
      <c r="H46" s="2"/>
      <c r="I46" s="2"/>
      <c r="J46" s="2"/>
      <c r="K46" s="2"/>
      <c r="P46" s="37"/>
      <c r="Q46" s="37"/>
      <c r="R46" s="37"/>
      <c r="T46" s="37"/>
      <c r="U46" s="160"/>
      <c r="V46" s="37"/>
      <c r="X46" s="31"/>
      <c r="Y46" s="31"/>
      <c r="Z46" s="165"/>
      <c r="AA46" s="162"/>
      <c r="AB46" s="37"/>
      <c r="AD46" s="163"/>
      <c r="AE46" s="163"/>
      <c r="AG46" s="163"/>
      <c r="AX46" s="2"/>
      <c r="BG46" s="2"/>
    </row>
    <row r="47" spans="1:59">
      <c r="G47" s="2"/>
      <c r="H47" s="2"/>
      <c r="I47" s="2"/>
      <c r="J47" s="2"/>
      <c r="K47" s="2"/>
      <c r="P47" s="37"/>
      <c r="Q47" s="37"/>
      <c r="R47" s="37"/>
      <c r="T47" s="37"/>
      <c r="U47" s="160"/>
      <c r="V47" s="37"/>
      <c r="X47" s="31"/>
      <c r="Y47" s="31"/>
      <c r="Z47" s="165"/>
      <c r="AA47" s="162"/>
      <c r="AB47" s="37"/>
      <c r="AD47" s="163"/>
      <c r="AE47" s="163"/>
      <c r="AG47" s="163"/>
      <c r="AX47" s="2"/>
      <c r="BG47" s="2"/>
    </row>
    <row r="48" spans="1:59">
      <c r="G48" s="2"/>
      <c r="H48" s="2"/>
      <c r="I48" s="2"/>
      <c r="J48" s="2"/>
      <c r="K48" s="2"/>
      <c r="P48" s="37"/>
      <c r="Q48" s="37"/>
      <c r="R48" s="37"/>
      <c r="T48" s="37"/>
      <c r="U48" s="160"/>
      <c r="V48" s="37"/>
      <c r="X48" s="31"/>
      <c r="Y48" s="31"/>
      <c r="Z48" s="165"/>
      <c r="AA48" s="162"/>
      <c r="AB48" s="37"/>
      <c r="AD48" s="163"/>
      <c r="AE48" s="163"/>
      <c r="AG48" s="163"/>
      <c r="AX48" s="2"/>
      <c r="BG48" s="2"/>
    </row>
    <row r="49" spans="7:59">
      <c r="G49" s="2"/>
      <c r="H49" s="2"/>
      <c r="I49" s="2"/>
      <c r="J49" s="2"/>
      <c r="K49" s="2"/>
      <c r="P49" s="37"/>
      <c r="Q49" s="37"/>
      <c r="R49" s="37"/>
      <c r="T49" s="37"/>
      <c r="U49" s="160"/>
      <c r="V49" s="37"/>
      <c r="X49" s="31"/>
      <c r="Y49" s="31"/>
      <c r="Z49" s="165"/>
      <c r="AA49" s="162"/>
      <c r="AB49" s="37"/>
      <c r="AD49" s="163"/>
      <c r="AE49" s="163"/>
      <c r="AG49" s="163"/>
      <c r="AX49" s="2"/>
      <c r="BG49" s="2"/>
    </row>
    <row r="50" spans="7:59">
      <c r="G50" s="2"/>
      <c r="H50" s="2"/>
      <c r="I50" s="2"/>
      <c r="J50" s="2"/>
      <c r="K50" s="2"/>
      <c r="P50" s="37"/>
      <c r="Q50" s="37"/>
      <c r="R50" s="37"/>
      <c r="T50" s="37"/>
      <c r="U50" s="160"/>
      <c r="V50" s="37"/>
      <c r="X50" s="31"/>
      <c r="Y50" s="31"/>
      <c r="Z50" s="165"/>
      <c r="AA50" s="162"/>
      <c r="AB50" s="37"/>
      <c r="AD50" s="163"/>
      <c r="AE50" s="163"/>
      <c r="AG50" s="163"/>
      <c r="AX50" s="2"/>
      <c r="BG50" s="2"/>
    </row>
    <row r="51" spans="7:59">
      <c r="G51" s="2"/>
      <c r="H51" s="2"/>
      <c r="I51" s="2"/>
      <c r="J51" s="2"/>
      <c r="K51" s="2"/>
      <c r="P51" s="37"/>
      <c r="Q51" s="37"/>
      <c r="R51" s="37"/>
      <c r="T51" s="37"/>
      <c r="U51" s="160"/>
      <c r="V51" s="37"/>
      <c r="X51" s="31"/>
      <c r="Y51" s="31"/>
      <c r="Z51" s="165"/>
      <c r="AA51" s="162"/>
      <c r="AB51" s="37"/>
      <c r="AD51" s="163"/>
      <c r="AE51" s="163"/>
      <c r="AG51" s="163"/>
      <c r="AX51" s="2"/>
      <c r="BG51" s="2"/>
    </row>
    <row r="52" spans="7:59">
      <c r="G52" s="2"/>
      <c r="H52" s="2"/>
      <c r="I52" s="2"/>
      <c r="J52" s="2"/>
      <c r="K52" s="2"/>
      <c r="P52" s="37"/>
      <c r="Q52" s="37"/>
      <c r="R52" s="37"/>
      <c r="T52" s="37"/>
      <c r="U52" s="160"/>
      <c r="V52" s="37"/>
      <c r="X52" s="31"/>
      <c r="Y52" s="31"/>
      <c r="Z52" s="165"/>
      <c r="AA52" s="162"/>
      <c r="AB52" s="37"/>
      <c r="AD52" s="163"/>
      <c r="AE52" s="163"/>
      <c r="AG52" s="163"/>
      <c r="AX52" s="2"/>
      <c r="BG52" s="2"/>
    </row>
    <row r="53" spans="7:59">
      <c r="G53" s="2"/>
      <c r="H53" s="2"/>
      <c r="I53" s="2"/>
      <c r="J53" s="2"/>
      <c r="K53" s="2"/>
      <c r="P53" s="37"/>
      <c r="Q53" s="37"/>
      <c r="R53" s="37"/>
      <c r="T53" s="37"/>
      <c r="U53" s="160"/>
      <c r="V53" s="37"/>
      <c r="X53" s="31"/>
      <c r="Y53" s="31"/>
      <c r="Z53" s="165"/>
      <c r="AA53" s="162"/>
      <c r="AB53" s="37"/>
      <c r="AD53" s="163"/>
      <c r="AE53" s="163"/>
      <c r="AG53" s="163"/>
      <c r="AX53" s="2"/>
      <c r="BG53" s="2"/>
    </row>
    <row r="54" spans="7:59">
      <c r="G54" s="2"/>
      <c r="H54" s="2"/>
      <c r="I54" s="2"/>
      <c r="J54" s="2"/>
      <c r="K54" s="2"/>
      <c r="P54" s="37"/>
      <c r="Q54" s="37"/>
      <c r="R54" s="37"/>
      <c r="T54" s="37"/>
      <c r="U54" s="160"/>
      <c r="V54" s="37"/>
      <c r="X54" s="31"/>
      <c r="Y54" s="31"/>
      <c r="Z54" s="165"/>
      <c r="AA54" s="162"/>
      <c r="AB54" s="37"/>
      <c r="AD54" s="163"/>
      <c r="AE54" s="163"/>
      <c r="AG54" s="163"/>
      <c r="AX54" s="2"/>
      <c r="BG54" s="2"/>
    </row>
    <row r="55" spans="7:59">
      <c r="G55" s="2"/>
      <c r="H55" s="2"/>
      <c r="I55" s="2"/>
      <c r="J55" s="2"/>
      <c r="K55" s="2"/>
      <c r="P55" s="37"/>
      <c r="Q55" s="37"/>
      <c r="R55" s="37"/>
      <c r="T55" s="37"/>
      <c r="U55" s="160"/>
      <c r="V55" s="37"/>
      <c r="X55" s="31"/>
      <c r="Y55" s="31"/>
      <c r="Z55" s="165"/>
      <c r="AA55" s="162"/>
      <c r="AB55" s="37"/>
      <c r="AD55" s="163"/>
      <c r="AE55" s="163"/>
      <c r="AG55" s="163"/>
      <c r="AX55" s="2"/>
      <c r="BG55" s="2"/>
    </row>
    <row r="56" spans="7:59">
      <c r="G56" s="2"/>
      <c r="H56" s="2"/>
      <c r="I56" s="2"/>
      <c r="J56" s="2"/>
      <c r="K56" s="2"/>
      <c r="P56" s="37"/>
      <c r="Q56" s="37"/>
      <c r="R56" s="37"/>
      <c r="T56" s="37"/>
      <c r="U56" s="160"/>
      <c r="V56" s="37"/>
      <c r="X56" s="31"/>
      <c r="Y56" s="31"/>
      <c r="Z56" s="165"/>
      <c r="AA56" s="162"/>
      <c r="AB56" s="37"/>
      <c r="AD56" s="163"/>
      <c r="AE56" s="163"/>
      <c r="AG56" s="163"/>
      <c r="AX56" s="2"/>
      <c r="BG56" s="2"/>
    </row>
    <row r="57" spans="7:59">
      <c r="G57" s="2"/>
      <c r="H57" s="2"/>
      <c r="I57" s="2"/>
      <c r="J57" s="2"/>
      <c r="K57" s="2"/>
      <c r="P57" s="37"/>
      <c r="Q57" s="37"/>
      <c r="R57" s="37"/>
      <c r="T57" s="37"/>
      <c r="U57" s="160"/>
      <c r="V57" s="37"/>
      <c r="X57" s="31"/>
      <c r="Y57" s="31"/>
      <c r="Z57" s="165"/>
      <c r="AA57" s="162"/>
      <c r="AB57" s="37"/>
      <c r="AD57" s="163"/>
      <c r="AE57" s="163"/>
      <c r="AG57" s="163"/>
      <c r="AX57" s="2"/>
      <c r="BG57" s="2"/>
    </row>
    <row r="58" spans="7:59">
      <c r="G58" s="2"/>
      <c r="H58" s="2"/>
      <c r="I58" s="2"/>
      <c r="J58" s="2"/>
      <c r="K58" s="2"/>
      <c r="P58" s="37"/>
      <c r="Q58" s="37"/>
      <c r="R58" s="37"/>
      <c r="T58" s="37"/>
      <c r="U58" s="160"/>
      <c r="V58" s="37"/>
      <c r="X58" s="31"/>
      <c r="Y58" s="31"/>
      <c r="Z58" s="165"/>
      <c r="AA58" s="162"/>
      <c r="AB58" s="37"/>
      <c r="AD58" s="163"/>
      <c r="AE58" s="163"/>
      <c r="AG58" s="163"/>
      <c r="AX58" s="2"/>
      <c r="BG58" s="2"/>
    </row>
    <row r="59" spans="7:59">
      <c r="G59" s="2"/>
      <c r="H59" s="2"/>
      <c r="I59" s="2"/>
      <c r="J59" s="2"/>
      <c r="K59" s="2"/>
      <c r="P59" s="37"/>
      <c r="Q59" s="37"/>
      <c r="R59" s="37"/>
      <c r="T59" s="37"/>
      <c r="U59" s="160"/>
      <c r="V59" s="37"/>
      <c r="X59" s="31"/>
      <c r="Y59" s="31"/>
      <c r="Z59" s="165"/>
      <c r="AA59" s="162"/>
      <c r="AB59" s="37"/>
      <c r="AD59" s="163"/>
      <c r="AE59" s="163"/>
      <c r="AG59" s="163"/>
      <c r="AX59" s="2"/>
      <c r="BG59" s="2"/>
    </row>
    <row r="60" spans="7:59">
      <c r="G60" s="2"/>
      <c r="H60" s="2"/>
      <c r="I60" s="2"/>
      <c r="J60" s="2"/>
      <c r="K60" s="2"/>
      <c r="P60" s="37"/>
      <c r="Q60" s="37"/>
      <c r="R60" s="37"/>
      <c r="T60" s="37"/>
      <c r="U60" s="160"/>
      <c r="V60" s="37"/>
      <c r="X60" s="31"/>
      <c r="Y60" s="31"/>
      <c r="Z60" s="165"/>
      <c r="AA60" s="162"/>
      <c r="AB60" s="37"/>
      <c r="AD60" s="163"/>
      <c r="AE60" s="163"/>
      <c r="AG60" s="163"/>
      <c r="AX60" s="2"/>
      <c r="BG60" s="2"/>
    </row>
    <row r="61" spans="7:59">
      <c r="G61" s="2"/>
      <c r="H61" s="2"/>
      <c r="I61" s="2"/>
      <c r="J61" s="2"/>
      <c r="K61" s="2"/>
      <c r="P61" s="37"/>
      <c r="Q61" s="37"/>
      <c r="R61" s="37"/>
      <c r="T61" s="37"/>
      <c r="U61" s="160"/>
      <c r="V61" s="37"/>
      <c r="X61" s="31"/>
      <c r="Y61" s="31"/>
      <c r="Z61" s="165"/>
      <c r="AA61" s="162"/>
      <c r="AB61" s="37"/>
      <c r="AD61" s="163"/>
      <c r="AE61" s="163"/>
      <c r="AG61" s="163"/>
      <c r="AX61" s="2"/>
      <c r="BG61" s="2"/>
    </row>
    <row r="62" spans="7:59">
      <c r="G62" s="2"/>
      <c r="H62" s="2"/>
      <c r="I62" s="2"/>
      <c r="J62" s="2"/>
      <c r="K62" s="2"/>
      <c r="P62" s="37"/>
      <c r="Q62" s="37"/>
      <c r="R62" s="37"/>
      <c r="T62" s="37"/>
      <c r="U62" s="160"/>
      <c r="V62" s="37"/>
      <c r="X62" s="31"/>
      <c r="Y62" s="31"/>
      <c r="Z62" s="165"/>
      <c r="AA62" s="162"/>
      <c r="AB62" s="37"/>
      <c r="AD62" s="163"/>
      <c r="AE62" s="163"/>
      <c r="AG62" s="163"/>
      <c r="AX62" s="2"/>
      <c r="BG62" s="2"/>
    </row>
    <row r="63" spans="7:59">
      <c r="G63" s="2"/>
      <c r="H63" s="2"/>
      <c r="I63" s="2"/>
      <c r="J63" s="2"/>
      <c r="K63" s="2"/>
      <c r="P63" s="37"/>
      <c r="Q63" s="37"/>
      <c r="R63" s="37"/>
      <c r="T63" s="37"/>
      <c r="U63" s="160"/>
      <c r="V63" s="37"/>
      <c r="X63" s="31"/>
      <c r="Y63" s="31"/>
      <c r="Z63" s="165"/>
      <c r="AA63" s="162"/>
      <c r="AB63" s="37"/>
      <c r="AD63" s="163"/>
      <c r="AE63" s="163"/>
      <c r="AG63" s="163"/>
      <c r="AX63" s="2"/>
      <c r="BG63" s="2"/>
    </row>
    <row r="64" spans="7:59">
      <c r="G64" s="2"/>
      <c r="H64" s="2"/>
      <c r="I64" s="2"/>
      <c r="J64" s="2"/>
      <c r="K64" s="2"/>
      <c r="P64" s="37"/>
      <c r="Q64" s="37"/>
      <c r="R64" s="37"/>
      <c r="T64" s="37"/>
      <c r="U64" s="160"/>
      <c r="V64" s="37"/>
      <c r="X64" s="31"/>
      <c r="Y64" s="31"/>
      <c r="Z64" s="165"/>
      <c r="AA64" s="162"/>
      <c r="AB64" s="37"/>
      <c r="AD64" s="163"/>
      <c r="AE64" s="163"/>
      <c r="AG64" s="163"/>
      <c r="AX64" s="2"/>
      <c r="BG64" s="2"/>
    </row>
    <row r="65" spans="7:59">
      <c r="G65" s="2"/>
      <c r="H65" s="2"/>
      <c r="I65" s="2"/>
      <c r="J65" s="2"/>
      <c r="K65" s="2"/>
      <c r="P65" s="37"/>
      <c r="Q65" s="37"/>
      <c r="R65" s="37"/>
      <c r="T65" s="37"/>
      <c r="U65" s="160"/>
      <c r="V65" s="37"/>
      <c r="X65" s="31"/>
      <c r="Y65" s="31"/>
      <c r="Z65" s="165"/>
      <c r="AA65" s="162"/>
      <c r="AB65" s="37"/>
      <c r="AD65" s="163"/>
      <c r="AE65" s="163"/>
      <c r="AG65" s="163"/>
      <c r="AX65" s="2"/>
      <c r="BG65" s="2"/>
    </row>
    <row r="66" spans="7:59">
      <c r="G66" s="2"/>
      <c r="H66" s="2"/>
      <c r="I66" s="2"/>
      <c r="J66" s="2"/>
      <c r="K66" s="2"/>
      <c r="P66" s="37"/>
      <c r="Q66" s="37"/>
      <c r="R66" s="37"/>
      <c r="T66" s="37"/>
      <c r="U66" s="160"/>
      <c r="V66" s="37"/>
      <c r="X66" s="31"/>
      <c r="Y66" s="31"/>
      <c r="Z66" s="165"/>
      <c r="AA66" s="162"/>
      <c r="AB66" s="37"/>
      <c r="AD66" s="163"/>
      <c r="AE66" s="163"/>
      <c r="AG66" s="163"/>
      <c r="AX66" s="2"/>
      <c r="BG66" s="2"/>
    </row>
    <row r="67" spans="7:59">
      <c r="G67" s="2"/>
      <c r="H67" s="2"/>
      <c r="I67" s="2"/>
      <c r="J67" s="2"/>
      <c r="K67" s="2"/>
      <c r="P67" s="37"/>
      <c r="Q67" s="37"/>
      <c r="R67" s="37"/>
      <c r="T67" s="37"/>
      <c r="U67" s="160"/>
      <c r="V67" s="37"/>
      <c r="X67" s="31"/>
      <c r="Y67" s="31"/>
      <c r="Z67" s="165"/>
      <c r="AA67" s="162"/>
      <c r="AB67" s="37"/>
      <c r="AD67" s="163"/>
      <c r="AE67" s="163"/>
      <c r="AG67" s="163"/>
      <c r="AX67" s="2"/>
      <c r="BG67" s="2"/>
    </row>
    <row r="68" spans="7:59">
      <c r="G68" s="2"/>
      <c r="H68" s="2"/>
      <c r="I68" s="2"/>
      <c r="J68" s="2"/>
      <c r="K68" s="2"/>
      <c r="P68" s="37"/>
      <c r="Q68" s="37"/>
      <c r="R68" s="37"/>
      <c r="T68" s="37"/>
      <c r="U68" s="160"/>
      <c r="V68" s="37"/>
      <c r="X68" s="31"/>
      <c r="Y68" s="31"/>
      <c r="Z68" s="165"/>
      <c r="AA68" s="162"/>
      <c r="AB68" s="37"/>
      <c r="AD68" s="163"/>
      <c r="AE68" s="163"/>
      <c r="AG68" s="163"/>
      <c r="AX68" s="2"/>
      <c r="BG68" s="2"/>
    </row>
    <row r="69" spans="7:59">
      <c r="G69" s="2"/>
      <c r="H69" s="2"/>
      <c r="I69" s="2"/>
      <c r="J69" s="2"/>
      <c r="K69" s="2"/>
      <c r="P69" s="37"/>
      <c r="Q69" s="37"/>
      <c r="R69" s="37"/>
      <c r="T69" s="37"/>
      <c r="U69" s="160"/>
      <c r="V69" s="37"/>
      <c r="X69" s="31"/>
      <c r="Y69" s="31"/>
      <c r="Z69" s="165"/>
      <c r="AA69" s="162"/>
      <c r="AB69" s="37"/>
      <c r="AD69" s="163"/>
      <c r="AE69" s="163"/>
      <c r="AG69" s="163"/>
      <c r="AX69" s="2"/>
      <c r="BG69" s="2"/>
    </row>
    <row r="70" spans="7:59">
      <c r="G70" s="2"/>
      <c r="H70" s="2"/>
      <c r="I70" s="2"/>
      <c r="J70" s="2"/>
      <c r="K70" s="2"/>
      <c r="P70" s="37"/>
      <c r="Q70" s="37"/>
      <c r="R70" s="37"/>
      <c r="T70" s="37"/>
      <c r="U70" s="160"/>
      <c r="V70" s="37"/>
      <c r="X70" s="31"/>
      <c r="Y70" s="31"/>
      <c r="Z70" s="165"/>
      <c r="AA70" s="162"/>
      <c r="AB70" s="37"/>
      <c r="AD70" s="163"/>
      <c r="AE70" s="163"/>
      <c r="AG70" s="163"/>
      <c r="AX70" s="2"/>
      <c r="BG70" s="2"/>
    </row>
    <row r="71" spans="7:59">
      <c r="G71" s="2"/>
      <c r="H71" s="2"/>
      <c r="I71" s="2"/>
      <c r="J71" s="2"/>
      <c r="K71" s="2"/>
      <c r="P71" s="37"/>
      <c r="Q71" s="37"/>
      <c r="R71" s="37"/>
      <c r="T71" s="37"/>
      <c r="U71" s="160"/>
      <c r="V71" s="37"/>
      <c r="X71" s="31"/>
      <c r="Y71" s="31"/>
      <c r="Z71" s="165"/>
      <c r="AA71" s="162"/>
      <c r="AB71" s="37"/>
      <c r="AD71" s="163"/>
      <c r="AE71" s="163"/>
      <c r="AG71" s="163"/>
      <c r="AX71" s="2"/>
      <c r="BG71" s="2"/>
    </row>
    <row r="72" spans="7:59">
      <c r="G72" s="2"/>
      <c r="H72" s="2"/>
      <c r="I72" s="2"/>
      <c r="J72" s="2"/>
      <c r="K72" s="2"/>
      <c r="P72" s="37"/>
      <c r="Q72" s="37"/>
      <c r="R72" s="37"/>
      <c r="T72" s="37"/>
      <c r="U72" s="160"/>
      <c r="V72" s="37"/>
      <c r="X72" s="31"/>
      <c r="Y72" s="31"/>
      <c r="Z72" s="165"/>
      <c r="AA72" s="162"/>
      <c r="AB72" s="37"/>
      <c r="AD72" s="163"/>
      <c r="AE72" s="163"/>
      <c r="AG72" s="163"/>
      <c r="AX72" s="2"/>
      <c r="BG72" s="2"/>
    </row>
    <row r="73" spans="7:59">
      <c r="G73" s="2"/>
      <c r="H73" s="2"/>
      <c r="I73" s="2"/>
      <c r="J73" s="2"/>
      <c r="K73" s="2"/>
      <c r="P73" s="37"/>
      <c r="Q73" s="37"/>
      <c r="R73" s="37"/>
      <c r="T73" s="37"/>
      <c r="U73" s="160"/>
      <c r="V73" s="37"/>
      <c r="X73" s="31"/>
      <c r="Y73" s="31"/>
      <c r="Z73" s="165"/>
      <c r="AA73" s="162"/>
      <c r="AB73" s="37"/>
      <c r="AD73" s="163"/>
      <c r="AE73" s="163"/>
      <c r="AG73" s="163"/>
      <c r="AX73" s="2"/>
      <c r="BG73" s="2"/>
    </row>
    <row r="74" spans="7:59">
      <c r="G74" s="2"/>
      <c r="H74" s="2"/>
      <c r="I74" s="2"/>
      <c r="J74" s="2"/>
      <c r="K74" s="2"/>
      <c r="P74" s="37"/>
      <c r="Q74" s="37"/>
      <c r="R74" s="37"/>
      <c r="T74" s="37"/>
      <c r="U74" s="160"/>
      <c r="V74" s="37"/>
      <c r="X74" s="31"/>
      <c r="Y74" s="31"/>
      <c r="Z74" s="165"/>
      <c r="AA74" s="162"/>
      <c r="AB74" s="37"/>
      <c r="AD74" s="163"/>
      <c r="AE74" s="163"/>
      <c r="AG74" s="163"/>
      <c r="AX74" s="2"/>
      <c r="BG74" s="2"/>
    </row>
    <row r="75" spans="7:59">
      <c r="G75" s="2"/>
      <c r="H75" s="2"/>
      <c r="I75" s="2"/>
      <c r="J75" s="2"/>
      <c r="K75" s="2"/>
      <c r="P75" s="37"/>
      <c r="Q75" s="37"/>
      <c r="R75" s="37"/>
      <c r="T75" s="37"/>
      <c r="U75" s="160"/>
      <c r="V75" s="37"/>
      <c r="X75" s="31"/>
      <c r="Y75" s="31"/>
      <c r="Z75" s="165"/>
      <c r="AA75" s="162"/>
      <c r="AB75" s="37"/>
      <c r="AD75" s="163"/>
      <c r="AE75" s="163"/>
      <c r="AG75" s="163"/>
      <c r="AX75" s="2"/>
      <c r="BG75" s="2"/>
    </row>
    <row r="76" spans="7:59">
      <c r="G76" s="2"/>
      <c r="H76" s="2"/>
      <c r="I76" s="2"/>
      <c r="J76" s="2"/>
      <c r="K76" s="2"/>
      <c r="P76" s="37"/>
      <c r="Q76" s="37"/>
      <c r="R76" s="37"/>
      <c r="T76" s="37"/>
      <c r="U76" s="160"/>
      <c r="V76" s="37"/>
      <c r="X76" s="31"/>
      <c r="Y76" s="31"/>
      <c r="Z76" s="165"/>
      <c r="AA76" s="162"/>
      <c r="AB76" s="37"/>
      <c r="AD76" s="163"/>
      <c r="AE76" s="163"/>
      <c r="AG76" s="163"/>
      <c r="AX76" s="2"/>
      <c r="BG76" s="2"/>
    </row>
    <row r="77" spans="7:59">
      <c r="G77" s="2"/>
      <c r="H77" s="2"/>
      <c r="I77" s="2"/>
      <c r="J77" s="2"/>
      <c r="K77" s="2"/>
      <c r="P77" s="37"/>
      <c r="Q77" s="37"/>
      <c r="R77" s="37"/>
      <c r="T77" s="37"/>
      <c r="U77" s="160"/>
      <c r="V77" s="37"/>
      <c r="X77" s="31"/>
      <c r="Y77" s="31"/>
      <c r="Z77" s="165"/>
      <c r="AA77" s="162"/>
      <c r="AB77" s="37"/>
      <c r="AD77" s="163"/>
      <c r="AE77" s="163"/>
      <c r="AG77" s="163"/>
      <c r="AX77" s="2"/>
      <c r="BG77" s="2"/>
    </row>
    <row r="78" spans="7:59">
      <c r="G78" s="2"/>
      <c r="H78" s="2"/>
      <c r="I78" s="2"/>
      <c r="J78" s="2"/>
      <c r="K78" s="2"/>
      <c r="P78" s="37"/>
      <c r="Q78" s="37"/>
      <c r="R78" s="37"/>
      <c r="T78" s="37"/>
      <c r="U78" s="160"/>
      <c r="V78" s="37"/>
      <c r="X78" s="31"/>
      <c r="Y78" s="31"/>
      <c r="Z78" s="165"/>
      <c r="AA78" s="162"/>
      <c r="AB78" s="37"/>
      <c r="AD78" s="163"/>
      <c r="AE78" s="163"/>
      <c r="AG78" s="163"/>
      <c r="AX78" s="2"/>
      <c r="BG78" s="2"/>
    </row>
    <row r="79" spans="7:59">
      <c r="G79" s="2"/>
      <c r="H79" s="2"/>
      <c r="I79" s="2"/>
      <c r="J79" s="2"/>
      <c r="K79" s="2"/>
      <c r="P79" s="37"/>
      <c r="Q79" s="37"/>
      <c r="R79" s="37"/>
      <c r="T79" s="37"/>
      <c r="U79" s="160"/>
      <c r="V79" s="37"/>
      <c r="X79" s="31"/>
      <c r="Y79" s="31"/>
      <c r="Z79" s="165"/>
      <c r="AA79" s="162"/>
      <c r="AB79" s="37"/>
      <c r="AD79" s="163"/>
      <c r="AE79" s="163"/>
      <c r="AG79" s="163"/>
      <c r="AX79" s="2"/>
      <c r="BG79" s="2"/>
    </row>
    <row r="80" spans="7:59">
      <c r="G80" s="2"/>
      <c r="H80" s="2"/>
      <c r="I80" s="2"/>
      <c r="J80" s="2"/>
      <c r="K80" s="2"/>
      <c r="P80" s="37"/>
      <c r="Q80" s="37"/>
      <c r="R80" s="37"/>
      <c r="T80" s="37"/>
      <c r="U80" s="160"/>
      <c r="V80" s="37"/>
      <c r="X80" s="31"/>
      <c r="Y80" s="31"/>
      <c r="Z80" s="165"/>
      <c r="AA80" s="162"/>
      <c r="AB80" s="37"/>
      <c r="AD80" s="163"/>
      <c r="AE80" s="163"/>
      <c r="AG80" s="163"/>
      <c r="AX80" s="2"/>
      <c r="BG80" s="2"/>
    </row>
    <row r="81" spans="7:59">
      <c r="G81" s="2"/>
      <c r="H81" s="2"/>
      <c r="I81" s="2"/>
      <c r="J81" s="2"/>
      <c r="K81" s="2"/>
      <c r="P81" s="37"/>
      <c r="Q81" s="37"/>
      <c r="R81" s="37"/>
      <c r="T81" s="37"/>
      <c r="U81" s="160"/>
      <c r="V81" s="37"/>
      <c r="X81" s="31"/>
      <c r="Y81" s="31"/>
      <c r="Z81" s="165"/>
      <c r="AA81" s="162"/>
      <c r="AB81" s="37"/>
      <c r="AD81" s="163"/>
      <c r="AE81" s="163"/>
      <c r="AG81" s="163"/>
      <c r="AX81" s="2"/>
      <c r="BG81" s="2"/>
    </row>
    <row r="82" spans="7:59">
      <c r="G82" s="2"/>
      <c r="H82" s="2"/>
      <c r="I82" s="2"/>
      <c r="J82" s="2"/>
      <c r="K82" s="2"/>
      <c r="P82" s="37"/>
      <c r="Q82" s="37"/>
      <c r="R82" s="37"/>
      <c r="T82" s="37"/>
      <c r="U82" s="160"/>
      <c r="V82" s="37"/>
      <c r="X82" s="31"/>
      <c r="Y82" s="31"/>
      <c r="Z82" s="165"/>
      <c r="AA82" s="162"/>
      <c r="AB82" s="37"/>
      <c r="AD82" s="163"/>
      <c r="AE82" s="163"/>
      <c r="AG82" s="163"/>
      <c r="AX82" s="2"/>
      <c r="BG82" s="2"/>
    </row>
    <row r="83" spans="7:59">
      <c r="G83" s="2"/>
      <c r="H83" s="2"/>
      <c r="I83" s="2"/>
      <c r="J83" s="2"/>
      <c r="K83" s="2"/>
      <c r="P83" s="37"/>
      <c r="Q83" s="37"/>
      <c r="R83" s="37"/>
      <c r="T83" s="37"/>
      <c r="U83" s="160"/>
      <c r="V83" s="37"/>
      <c r="X83" s="31"/>
      <c r="Y83" s="31"/>
      <c r="Z83" s="165"/>
      <c r="AA83" s="162"/>
      <c r="AB83" s="37"/>
      <c r="AD83" s="163"/>
      <c r="AE83" s="163"/>
      <c r="AG83" s="163"/>
      <c r="AX83" s="2"/>
      <c r="BG83" s="2"/>
    </row>
    <row r="84" spans="7:59">
      <c r="G84" s="2"/>
      <c r="H84" s="2"/>
      <c r="I84" s="2"/>
      <c r="J84" s="2"/>
      <c r="K84" s="2"/>
      <c r="P84" s="37"/>
      <c r="Q84" s="37"/>
      <c r="R84" s="37"/>
      <c r="T84" s="37"/>
      <c r="U84" s="160"/>
      <c r="V84" s="37"/>
      <c r="X84" s="31"/>
      <c r="Y84" s="31"/>
      <c r="Z84" s="165"/>
      <c r="AA84" s="162"/>
      <c r="AB84" s="37"/>
      <c r="AD84" s="163"/>
      <c r="AE84" s="163"/>
      <c r="AG84" s="163"/>
      <c r="AX84" s="2"/>
      <c r="BG84" s="2"/>
    </row>
    <row r="85" spans="7:59">
      <c r="G85" s="2"/>
      <c r="H85" s="2"/>
      <c r="I85" s="2"/>
      <c r="J85" s="2"/>
      <c r="K85" s="2"/>
      <c r="P85" s="37"/>
      <c r="Q85" s="37"/>
      <c r="R85" s="37"/>
      <c r="T85" s="37"/>
      <c r="U85" s="160"/>
      <c r="V85" s="37"/>
      <c r="X85" s="31"/>
      <c r="Y85" s="31"/>
      <c r="Z85" s="165"/>
      <c r="AA85" s="162"/>
      <c r="AB85" s="37"/>
      <c r="AD85" s="163"/>
      <c r="AE85" s="163"/>
      <c r="AG85" s="163"/>
      <c r="AX85" s="2"/>
      <c r="BG85" s="2"/>
    </row>
    <row r="86" spans="7:59">
      <c r="G86" s="2"/>
      <c r="H86" s="2"/>
      <c r="I86" s="2"/>
      <c r="J86" s="2"/>
      <c r="K86" s="2"/>
      <c r="P86" s="37"/>
      <c r="Q86" s="37"/>
      <c r="R86" s="37"/>
      <c r="T86" s="37"/>
      <c r="U86" s="160"/>
      <c r="V86" s="37"/>
      <c r="X86" s="31"/>
      <c r="Y86" s="31"/>
      <c r="Z86" s="165"/>
      <c r="AA86" s="162"/>
      <c r="AB86" s="37"/>
      <c r="AD86" s="163"/>
      <c r="AE86" s="163"/>
      <c r="AG86" s="163"/>
      <c r="AX86" s="2"/>
      <c r="BG86" s="2"/>
    </row>
    <row r="87" spans="7:59">
      <c r="G87" s="2"/>
      <c r="H87" s="2"/>
      <c r="I87" s="2"/>
      <c r="J87" s="2"/>
      <c r="K87" s="2"/>
      <c r="P87" s="37"/>
      <c r="Q87" s="37"/>
      <c r="R87" s="37"/>
      <c r="T87" s="37"/>
      <c r="U87" s="160"/>
      <c r="V87" s="37"/>
      <c r="X87" s="31"/>
      <c r="Y87" s="31"/>
      <c r="Z87" s="165"/>
      <c r="AA87" s="162"/>
      <c r="AB87" s="37"/>
      <c r="AD87" s="163"/>
      <c r="AE87" s="163"/>
      <c r="AG87" s="163"/>
      <c r="AX87" s="2"/>
      <c r="BG87" s="2"/>
    </row>
    <row r="88" spans="7:59">
      <c r="G88" s="2"/>
      <c r="H88" s="2"/>
      <c r="I88" s="2"/>
      <c r="J88" s="2"/>
      <c r="K88" s="2"/>
      <c r="P88" s="37"/>
      <c r="Q88" s="37"/>
      <c r="R88" s="37"/>
      <c r="T88" s="37"/>
      <c r="U88" s="160"/>
      <c r="V88" s="37"/>
      <c r="X88" s="31"/>
      <c r="Y88" s="31"/>
      <c r="Z88" s="165"/>
      <c r="AA88" s="162"/>
      <c r="AB88" s="37"/>
      <c r="AD88" s="163"/>
      <c r="AE88" s="163"/>
      <c r="AG88" s="163"/>
      <c r="AX88" s="2"/>
      <c r="BG88" s="2"/>
    </row>
    <row r="89" spans="7:59">
      <c r="G89" s="2"/>
      <c r="H89" s="2"/>
      <c r="I89" s="2"/>
      <c r="J89" s="2"/>
      <c r="K89" s="2"/>
      <c r="P89" s="37"/>
      <c r="Q89" s="37"/>
      <c r="R89" s="37"/>
      <c r="T89" s="37"/>
      <c r="U89" s="160"/>
      <c r="V89" s="37"/>
      <c r="X89" s="31"/>
      <c r="Y89" s="31"/>
      <c r="Z89" s="165"/>
      <c r="AA89" s="162"/>
      <c r="AB89" s="37"/>
      <c r="AD89" s="163"/>
      <c r="AE89" s="163"/>
      <c r="AG89" s="163"/>
      <c r="AX89" s="2"/>
      <c r="BG89" s="2"/>
    </row>
    <row r="90" spans="7:59">
      <c r="G90" s="2"/>
      <c r="H90" s="2"/>
      <c r="I90" s="2"/>
      <c r="J90" s="2"/>
      <c r="K90" s="2"/>
      <c r="P90" s="37"/>
      <c r="Q90" s="37"/>
      <c r="R90" s="37"/>
      <c r="T90" s="37"/>
      <c r="U90" s="160"/>
      <c r="V90" s="37"/>
      <c r="X90" s="31"/>
      <c r="Y90" s="31"/>
      <c r="Z90" s="165"/>
      <c r="AA90" s="162"/>
      <c r="AB90" s="37"/>
      <c r="AD90" s="163"/>
      <c r="AE90" s="163"/>
      <c r="AG90" s="163"/>
      <c r="AX90" s="2"/>
      <c r="BG90" s="2"/>
    </row>
    <row r="91" spans="7:59">
      <c r="G91" s="2"/>
      <c r="H91" s="2"/>
      <c r="I91" s="2"/>
      <c r="J91" s="2"/>
      <c r="K91" s="2"/>
      <c r="P91" s="37"/>
      <c r="Q91" s="37"/>
      <c r="R91" s="37"/>
      <c r="T91" s="37"/>
      <c r="U91" s="160"/>
      <c r="V91" s="37"/>
      <c r="X91" s="31"/>
      <c r="Y91" s="31"/>
      <c r="Z91" s="165"/>
      <c r="AA91" s="162"/>
      <c r="AB91" s="37"/>
      <c r="AD91" s="163"/>
      <c r="AE91" s="163"/>
      <c r="AG91" s="163"/>
      <c r="AX91" s="2"/>
      <c r="BG91" s="2"/>
    </row>
    <row r="92" spans="7:59">
      <c r="G92" s="2"/>
      <c r="H92" s="2"/>
      <c r="I92" s="2"/>
      <c r="J92" s="2"/>
      <c r="K92" s="2"/>
      <c r="P92" s="37"/>
      <c r="Q92" s="37"/>
      <c r="R92" s="37"/>
      <c r="T92" s="37"/>
      <c r="U92" s="160"/>
      <c r="V92" s="37"/>
      <c r="X92" s="31"/>
      <c r="Y92" s="31"/>
      <c r="Z92" s="165"/>
      <c r="AA92" s="162"/>
      <c r="AB92" s="37"/>
      <c r="AD92" s="163"/>
      <c r="AE92" s="163"/>
      <c r="AG92" s="163"/>
      <c r="AX92" s="2"/>
      <c r="BG92" s="2"/>
    </row>
    <row r="93" spans="7:59">
      <c r="G93" s="2"/>
      <c r="H93" s="2"/>
      <c r="I93" s="2"/>
      <c r="J93" s="2"/>
      <c r="K93" s="2"/>
      <c r="P93" s="37"/>
      <c r="Q93" s="37"/>
      <c r="R93" s="37"/>
      <c r="T93" s="37"/>
      <c r="U93" s="160"/>
      <c r="V93" s="37"/>
      <c r="X93" s="31"/>
      <c r="Y93" s="31"/>
      <c r="Z93" s="165"/>
      <c r="AA93" s="162"/>
      <c r="AB93" s="37"/>
      <c r="AD93" s="163"/>
      <c r="AE93" s="163"/>
      <c r="AG93" s="163"/>
      <c r="AX93" s="2"/>
      <c r="BG93" s="2"/>
    </row>
    <row r="94" spans="7:59">
      <c r="G94" s="2"/>
      <c r="H94" s="2"/>
      <c r="I94" s="2"/>
      <c r="J94" s="2"/>
      <c r="K94" s="2"/>
      <c r="P94" s="37"/>
      <c r="Q94" s="37"/>
      <c r="R94" s="37"/>
      <c r="T94" s="37"/>
      <c r="U94" s="160"/>
      <c r="V94" s="37"/>
      <c r="X94" s="31"/>
      <c r="Y94" s="31"/>
      <c r="Z94" s="165"/>
      <c r="AA94" s="162"/>
      <c r="AB94" s="37"/>
      <c r="AD94" s="163"/>
      <c r="AE94" s="163"/>
      <c r="AG94" s="163"/>
      <c r="AX94" s="2"/>
      <c r="BG94" s="2"/>
    </row>
    <row r="95" spans="7:59">
      <c r="G95" s="2"/>
      <c r="H95" s="2"/>
      <c r="I95" s="2"/>
      <c r="J95" s="2"/>
      <c r="K95" s="2"/>
      <c r="P95" s="37"/>
      <c r="Q95" s="37"/>
      <c r="R95" s="37"/>
      <c r="T95" s="37"/>
      <c r="U95" s="160"/>
      <c r="V95" s="37"/>
      <c r="X95" s="31"/>
      <c r="Y95" s="31"/>
      <c r="Z95" s="165"/>
      <c r="AA95" s="162"/>
      <c r="AB95" s="37"/>
      <c r="AD95" s="163"/>
      <c r="AE95" s="163"/>
      <c r="AG95" s="163"/>
      <c r="AX95" s="2"/>
      <c r="BG95" s="2"/>
    </row>
    <row r="96" spans="7:59">
      <c r="G96" s="2"/>
      <c r="H96" s="2"/>
      <c r="I96" s="2"/>
      <c r="J96" s="2"/>
      <c r="K96" s="2"/>
      <c r="P96" s="37"/>
      <c r="Q96" s="37"/>
      <c r="R96" s="37"/>
      <c r="T96" s="37"/>
      <c r="U96" s="160"/>
      <c r="V96" s="37"/>
      <c r="X96" s="31"/>
      <c r="Y96" s="31"/>
      <c r="Z96" s="165"/>
      <c r="AA96" s="162"/>
      <c r="AB96" s="37"/>
      <c r="AD96" s="163"/>
      <c r="AE96" s="163"/>
      <c r="AG96" s="163"/>
      <c r="AX96" s="2"/>
      <c r="BG96" s="2"/>
    </row>
    <row r="97" spans="7:59">
      <c r="G97" s="2"/>
      <c r="H97" s="2"/>
      <c r="I97" s="2"/>
      <c r="J97" s="2"/>
      <c r="K97" s="2"/>
      <c r="P97" s="37"/>
      <c r="Q97" s="37"/>
      <c r="R97" s="37"/>
      <c r="T97" s="37"/>
      <c r="U97" s="160"/>
      <c r="V97" s="37"/>
      <c r="X97" s="31"/>
      <c r="Y97" s="31"/>
      <c r="Z97" s="165"/>
      <c r="AA97" s="162"/>
      <c r="AB97" s="37"/>
      <c r="AD97" s="163"/>
      <c r="AE97" s="163"/>
      <c r="AG97" s="163"/>
      <c r="AX97" s="2"/>
      <c r="BG97" s="2"/>
    </row>
    <row r="98" spans="7:59">
      <c r="G98" s="2"/>
      <c r="H98" s="2"/>
      <c r="I98" s="2"/>
      <c r="J98" s="2"/>
      <c r="K98" s="2"/>
      <c r="P98" s="37"/>
      <c r="Q98" s="37"/>
      <c r="R98" s="37"/>
      <c r="T98" s="37"/>
      <c r="U98" s="160"/>
      <c r="V98" s="37"/>
      <c r="X98" s="31"/>
      <c r="Y98" s="31"/>
      <c r="Z98" s="165"/>
      <c r="AA98" s="162"/>
      <c r="AB98" s="37"/>
      <c r="AD98" s="163"/>
      <c r="AE98" s="163"/>
      <c r="AG98" s="163"/>
      <c r="AX98" s="2"/>
      <c r="BG98" s="2"/>
    </row>
    <row r="99" spans="7:59">
      <c r="G99" s="2"/>
      <c r="H99" s="2"/>
      <c r="I99" s="2"/>
      <c r="J99" s="2"/>
      <c r="K99" s="2"/>
      <c r="P99" s="37"/>
      <c r="Q99" s="37"/>
      <c r="R99" s="37"/>
      <c r="T99" s="37"/>
      <c r="U99" s="160"/>
      <c r="V99" s="37"/>
      <c r="X99" s="31"/>
      <c r="Y99" s="31"/>
      <c r="Z99" s="165"/>
      <c r="AA99" s="162"/>
      <c r="AB99" s="37"/>
      <c r="AD99" s="163"/>
      <c r="AE99" s="163"/>
      <c r="AG99" s="163"/>
      <c r="AX99" s="2"/>
      <c r="BG99" s="2"/>
    </row>
    <row r="100" spans="7:59">
      <c r="G100" s="2"/>
      <c r="H100" s="2"/>
      <c r="I100" s="2"/>
      <c r="J100" s="2"/>
      <c r="K100" s="2"/>
      <c r="P100" s="37"/>
      <c r="Q100" s="37"/>
      <c r="R100" s="37"/>
      <c r="T100" s="37"/>
      <c r="U100" s="160"/>
      <c r="V100" s="37"/>
      <c r="X100" s="31"/>
      <c r="Y100" s="31"/>
      <c r="Z100" s="165"/>
      <c r="AA100" s="162"/>
      <c r="AB100" s="37"/>
      <c r="AD100" s="163"/>
      <c r="AE100" s="163"/>
      <c r="AG100" s="163"/>
      <c r="AX100" s="2"/>
      <c r="BG100" s="2"/>
    </row>
    <row r="101" spans="7:59">
      <c r="G101" s="2"/>
      <c r="H101" s="2"/>
      <c r="I101" s="2"/>
      <c r="J101" s="2"/>
      <c r="K101" s="2"/>
      <c r="P101" s="37"/>
      <c r="Q101" s="37"/>
      <c r="R101" s="37"/>
      <c r="T101" s="37"/>
      <c r="U101" s="160"/>
      <c r="V101" s="37"/>
      <c r="X101" s="31"/>
      <c r="Y101" s="31"/>
      <c r="Z101" s="165"/>
      <c r="AA101" s="162"/>
      <c r="AB101" s="37"/>
      <c r="AD101" s="163"/>
      <c r="AE101" s="163"/>
      <c r="AG101" s="163"/>
      <c r="AX101" s="2"/>
      <c r="BG101" s="2"/>
    </row>
    <row r="102" spans="7:59">
      <c r="G102" s="2"/>
      <c r="H102" s="2"/>
      <c r="I102" s="2"/>
      <c r="J102" s="2"/>
      <c r="K102" s="2"/>
      <c r="P102" s="37"/>
      <c r="Q102" s="37"/>
      <c r="R102" s="37"/>
      <c r="T102" s="37"/>
      <c r="U102" s="160"/>
      <c r="V102" s="37"/>
      <c r="X102" s="31"/>
      <c r="Y102" s="31"/>
      <c r="Z102" s="165"/>
      <c r="AA102" s="162"/>
      <c r="AB102" s="37"/>
      <c r="AD102" s="163"/>
      <c r="AE102" s="163"/>
      <c r="AG102" s="163"/>
      <c r="AX102" s="2"/>
      <c r="BG102" s="2"/>
    </row>
    <row r="103" spans="7:59">
      <c r="G103" s="2"/>
      <c r="H103" s="2"/>
      <c r="I103" s="2"/>
      <c r="J103" s="2"/>
      <c r="K103" s="2"/>
      <c r="P103" s="37"/>
      <c r="Q103" s="37"/>
      <c r="R103" s="37"/>
      <c r="T103" s="37"/>
      <c r="U103" s="160"/>
      <c r="V103" s="37"/>
      <c r="X103" s="31"/>
      <c r="Y103" s="31"/>
      <c r="Z103" s="165"/>
      <c r="AA103" s="162"/>
      <c r="AB103" s="37"/>
      <c r="AD103" s="163"/>
      <c r="AE103" s="163"/>
      <c r="AG103" s="163"/>
      <c r="AX103" s="2"/>
      <c r="BG103" s="2"/>
    </row>
    <row r="104" spans="7:59">
      <c r="G104" s="2"/>
      <c r="H104" s="2"/>
      <c r="I104" s="2"/>
      <c r="J104" s="2"/>
      <c r="K104" s="2"/>
      <c r="P104" s="37"/>
      <c r="Q104" s="37"/>
      <c r="R104" s="37"/>
      <c r="T104" s="37"/>
      <c r="U104" s="160"/>
      <c r="V104" s="37"/>
      <c r="X104" s="31"/>
      <c r="Y104" s="31"/>
      <c r="Z104" s="165"/>
      <c r="AA104" s="162"/>
      <c r="AB104" s="37"/>
      <c r="AD104" s="163"/>
      <c r="AE104" s="163"/>
      <c r="AG104" s="163"/>
      <c r="AX104" s="2"/>
      <c r="BG104" s="2"/>
    </row>
    <row r="105" spans="7:59">
      <c r="G105" s="2"/>
      <c r="H105" s="2"/>
      <c r="I105" s="2"/>
      <c r="J105" s="2"/>
      <c r="K105" s="2"/>
      <c r="P105" s="37"/>
      <c r="Q105" s="37"/>
      <c r="R105" s="37"/>
      <c r="T105" s="37"/>
      <c r="U105" s="160"/>
      <c r="V105" s="37"/>
      <c r="X105" s="31"/>
      <c r="Y105" s="31"/>
      <c r="Z105" s="165"/>
      <c r="AA105" s="162"/>
      <c r="AB105" s="37"/>
      <c r="AD105" s="163"/>
      <c r="AE105" s="163"/>
      <c r="AG105" s="163"/>
      <c r="AX105" s="2"/>
      <c r="BG105" s="2"/>
    </row>
    <row r="106" spans="7:59">
      <c r="G106" s="2"/>
      <c r="H106" s="2"/>
      <c r="I106" s="2"/>
      <c r="J106" s="2"/>
      <c r="K106" s="2"/>
      <c r="P106" s="37"/>
      <c r="Q106" s="37"/>
      <c r="R106" s="37"/>
      <c r="T106" s="37"/>
      <c r="U106" s="160"/>
      <c r="V106" s="37"/>
      <c r="X106" s="31"/>
      <c r="Y106" s="31"/>
      <c r="Z106" s="165"/>
      <c r="AA106" s="162"/>
      <c r="AB106" s="37"/>
      <c r="AD106" s="163"/>
      <c r="AE106" s="163"/>
      <c r="AG106" s="163"/>
      <c r="AX106" s="2"/>
      <c r="BG106" s="2"/>
    </row>
    <row r="107" spans="7:59">
      <c r="G107" s="2"/>
      <c r="H107" s="2"/>
      <c r="I107" s="2"/>
      <c r="J107" s="2"/>
      <c r="K107" s="2"/>
      <c r="P107" s="37"/>
      <c r="Q107" s="37"/>
      <c r="R107" s="37"/>
      <c r="T107" s="37"/>
      <c r="U107" s="160"/>
      <c r="V107" s="37"/>
      <c r="X107" s="31"/>
      <c r="Y107" s="31"/>
      <c r="Z107" s="165"/>
      <c r="AA107" s="162"/>
      <c r="AB107" s="37"/>
      <c r="AD107" s="163"/>
      <c r="AE107" s="163"/>
      <c r="AG107" s="163"/>
      <c r="AX107" s="2"/>
      <c r="BG107" s="2"/>
    </row>
    <row r="108" spans="7:59">
      <c r="G108" s="2"/>
      <c r="H108" s="2"/>
      <c r="I108" s="2"/>
      <c r="J108" s="2"/>
      <c r="K108" s="2"/>
      <c r="P108" s="37"/>
      <c r="Q108" s="37"/>
      <c r="R108" s="37"/>
      <c r="T108" s="37"/>
      <c r="U108" s="160"/>
      <c r="V108" s="37"/>
      <c r="X108" s="31"/>
      <c r="Y108" s="31"/>
      <c r="Z108" s="165"/>
      <c r="AA108" s="162"/>
      <c r="AB108" s="37"/>
      <c r="AD108" s="163"/>
      <c r="AE108" s="163"/>
      <c r="AG108" s="163"/>
      <c r="AX108" s="2"/>
      <c r="BG108" s="2"/>
    </row>
    <row r="109" spans="7:59">
      <c r="G109" s="2"/>
      <c r="H109" s="2"/>
      <c r="I109" s="2"/>
      <c r="J109" s="2"/>
      <c r="K109" s="2"/>
      <c r="P109" s="37"/>
      <c r="Q109" s="37"/>
      <c r="R109" s="37"/>
      <c r="T109" s="37"/>
      <c r="U109" s="160"/>
      <c r="V109" s="37"/>
      <c r="X109" s="31"/>
      <c r="Y109" s="31"/>
      <c r="Z109" s="165"/>
      <c r="AA109" s="162"/>
      <c r="AB109" s="37"/>
      <c r="AD109" s="163"/>
      <c r="AE109" s="163"/>
      <c r="AG109" s="163"/>
      <c r="AX109" s="2"/>
      <c r="BG109" s="2"/>
    </row>
    <row r="110" spans="7:59">
      <c r="G110" s="2"/>
      <c r="H110" s="2"/>
      <c r="I110" s="2"/>
      <c r="J110" s="2"/>
      <c r="K110" s="2"/>
      <c r="P110" s="37"/>
      <c r="Q110" s="37"/>
      <c r="R110" s="37"/>
      <c r="T110" s="37"/>
      <c r="U110" s="160"/>
      <c r="V110" s="37"/>
      <c r="X110" s="31"/>
      <c r="Y110" s="31"/>
      <c r="Z110" s="165"/>
      <c r="AA110" s="162"/>
      <c r="AB110" s="37"/>
      <c r="AD110" s="163"/>
      <c r="AE110" s="163"/>
      <c r="AG110" s="163"/>
      <c r="AX110" s="2"/>
      <c r="BG110" s="2"/>
    </row>
    <row r="111" spans="7:59">
      <c r="G111" s="2"/>
      <c r="H111" s="2"/>
      <c r="I111" s="2"/>
      <c r="J111" s="2"/>
      <c r="K111" s="2"/>
      <c r="P111" s="37"/>
      <c r="Q111" s="37"/>
      <c r="R111" s="37"/>
      <c r="T111" s="37"/>
      <c r="U111" s="160"/>
      <c r="V111" s="37"/>
      <c r="X111" s="31"/>
      <c r="Y111" s="31"/>
      <c r="Z111" s="165"/>
      <c r="AA111" s="162"/>
      <c r="AB111" s="37"/>
      <c r="AD111" s="163"/>
      <c r="AE111" s="163"/>
      <c r="AG111" s="163"/>
      <c r="AX111" s="2"/>
      <c r="BG111" s="2"/>
    </row>
    <row r="112" spans="7:59">
      <c r="G112" s="2"/>
      <c r="H112" s="2"/>
      <c r="I112" s="2"/>
      <c r="J112" s="2"/>
      <c r="K112" s="2"/>
      <c r="P112" s="37"/>
      <c r="Q112" s="37"/>
      <c r="R112" s="37"/>
      <c r="T112" s="37"/>
      <c r="U112" s="160"/>
      <c r="V112" s="37"/>
      <c r="X112" s="31"/>
      <c r="Y112" s="31"/>
      <c r="Z112" s="165"/>
      <c r="AA112" s="162"/>
      <c r="AB112" s="37"/>
      <c r="AD112" s="163"/>
      <c r="AE112" s="163"/>
      <c r="AG112" s="163"/>
      <c r="AX112" s="2"/>
      <c r="BG112" s="2"/>
    </row>
    <row r="113" spans="7:59">
      <c r="G113" s="2"/>
      <c r="H113" s="2"/>
      <c r="I113" s="2"/>
      <c r="J113" s="2"/>
      <c r="K113" s="2"/>
      <c r="P113" s="37"/>
      <c r="Q113" s="37"/>
      <c r="R113" s="37"/>
      <c r="T113" s="37"/>
      <c r="U113" s="160"/>
      <c r="V113" s="37"/>
      <c r="X113" s="31"/>
      <c r="Y113" s="31"/>
      <c r="Z113" s="165"/>
      <c r="AA113" s="162"/>
      <c r="AB113" s="37"/>
      <c r="AD113" s="163"/>
      <c r="AE113" s="163"/>
      <c r="AG113" s="163"/>
      <c r="AX113" s="2"/>
      <c r="BG113" s="2"/>
    </row>
    <row r="114" spans="7:59">
      <c r="G114" s="2"/>
      <c r="H114" s="2"/>
      <c r="I114" s="2"/>
      <c r="J114" s="2"/>
      <c r="K114" s="2"/>
      <c r="P114" s="37"/>
      <c r="Q114" s="37"/>
      <c r="R114" s="37"/>
      <c r="T114" s="37"/>
      <c r="U114" s="160"/>
      <c r="V114" s="37"/>
      <c r="X114" s="31"/>
      <c r="Y114" s="31"/>
      <c r="Z114" s="165"/>
      <c r="AA114" s="162"/>
      <c r="AB114" s="37"/>
      <c r="AD114" s="163"/>
      <c r="AE114" s="163"/>
      <c r="AG114" s="163"/>
      <c r="AX114" s="2"/>
      <c r="BG114" s="2"/>
    </row>
    <row r="115" spans="7:59">
      <c r="G115" s="2"/>
      <c r="H115" s="2"/>
      <c r="I115" s="2"/>
      <c r="J115" s="2"/>
      <c r="K115" s="2"/>
      <c r="P115" s="37"/>
      <c r="Q115" s="37"/>
      <c r="R115" s="37"/>
      <c r="T115" s="37"/>
      <c r="U115" s="160"/>
      <c r="V115" s="37"/>
      <c r="X115" s="31"/>
      <c r="Y115" s="31"/>
      <c r="Z115" s="165"/>
      <c r="AA115" s="162"/>
      <c r="AB115" s="37"/>
      <c r="AD115" s="163"/>
      <c r="AE115" s="163"/>
      <c r="AG115" s="163"/>
      <c r="AX115" s="2"/>
      <c r="BG115" s="2"/>
    </row>
    <row r="116" spans="7:59">
      <c r="G116" s="2"/>
      <c r="H116" s="2"/>
      <c r="I116" s="2"/>
      <c r="J116" s="2"/>
      <c r="K116" s="2"/>
      <c r="P116" s="37"/>
      <c r="Q116" s="37"/>
      <c r="R116" s="37"/>
      <c r="T116" s="37"/>
      <c r="U116" s="160"/>
      <c r="V116" s="37"/>
      <c r="X116" s="31"/>
      <c r="Y116" s="31"/>
      <c r="Z116" s="165"/>
      <c r="AA116" s="162"/>
      <c r="AB116" s="37"/>
      <c r="AD116" s="163"/>
      <c r="AE116" s="163"/>
      <c r="AG116" s="163"/>
      <c r="AX116" s="2"/>
      <c r="BG116" s="2"/>
    </row>
    <row r="117" spans="7:59">
      <c r="G117" s="2"/>
      <c r="H117" s="2"/>
      <c r="I117" s="2"/>
      <c r="J117" s="2"/>
      <c r="K117" s="2"/>
      <c r="P117" s="37"/>
      <c r="Q117" s="37"/>
      <c r="R117" s="37"/>
      <c r="T117" s="37"/>
      <c r="U117" s="160"/>
      <c r="V117" s="37"/>
      <c r="X117" s="31"/>
      <c r="Y117" s="31"/>
      <c r="Z117" s="165"/>
      <c r="AA117" s="162"/>
      <c r="AB117" s="37"/>
      <c r="AD117" s="163"/>
      <c r="AE117" s="163"/>
      <c r="AG117" s="163"/>
      <c r="AX117" s="2"/>
      <c r="BG117" s="2"/>
    </row>
    <row r="118" spans="7:59">
      <c r="G118" s="2"/>
      <c r="H118" s="2"/>
      <c r="I118" s="2"/>
      <c r="J118" s="2"/>
      <c r="K118" s="2"/>
      <c r="P118" s="37"/>
      <c r="Q118" s="37"/>
      <c r="R118" s="37"/>
      <c r="T118" s="37"/>
      <c r="U118" s="160"/>
      <c r="V118" s="37"/>
      <c r="X118" s="31"/>
      <c r="Y118" s="31"/>
      <c r="Z118" s="165"/>
      <c r="AA118" s="162"/>
      <c r="AB118" s="37"/>
      <c r="AD118" s="163"/>
      <c r="AE118" s="163"/>
      <c r="AG118" s="163"/>
      <c r="AX118" s="2"/>
      <c r="BG118" s="2"/>
    </row>
    <row r="119" spans="7:59">
      <c r="G119" s="2"/>
      <c r="H119" s="2"/>
      <c r="I119" s="2"/>
      <c r="J119" s="2"/>
      <c r="K119" s="2"/>
      <c r="P119" s="37"/>
      <c r="Q119" s="37"/>
      <c r="R119" s="37"/>
      <c r="T119" s="37"/>
      <c r="U119" s="160"/>
      <c r="V119" s="37"/>
      <c r="X119" s="31"/>
      <c r="Y119" s="31"/>
      <c r="Z119" s="165"/>
      <c r="AA119" s="162"/>
      <c r="AB119" s="37"/>
      <c r="AD119" s="163"/>
      <c r="AE119" s="163"/>
      <c r="AG119" s="163"/>
      <c r="AX119" s="2"/>
      <c r="BG119" s="2"/>
    </row>
    <row r="120" spans="7:59">
      <c r="G120" s="2"/>
      <c r="H120" s="2"/>
      <c r="I120" s="2"/>
      <c r="J120" s="2"/>
      <c r="K120" s="2"/>
      <c r="P120" s="37"/>
      <c r="Q120" s="37"/>
      <c r="R120" s="37"/>
      <c r="T120" s="37"/>
      <c r="U120" s="160"/>
      <c r="V120" s="37"/>
      <c r="X120" s="31"/>
      <c r="Y120" s="31"/>
      <c r="Z120" s="165"/>
      <c r="AA120" s="162"/>
      <c r="AB120" s="37"/>
      <c r="AD120" s="163"/>
      <c r="AE120" s="163"/>
      <c r="AG120" s="163"/>
      <c r="AX120" s="2"/>
      <c r="BG120" s="2"/>
    </row>
    <row r="121" spans="7:59">
      <c r="G121" s="2"/>
      <c r="H121" s="2"/>
      <c r="I121" s="2"/>
      <c r="J121" s="2"/>
      <c r="K121" s="2"/>
      <c r="P121" s="37"/>
      <c r="Q121" s="37"/>
      <c r="R121" s="37"/>
      <c r="T121" s="37"/>
      <c r="U121" s="160"/>
      <c r="V121" s="37"/>
      <c r="X121" s="31"/>
      <c r="Y121" s="31"/>
      <c r="Z121" s="165"/>
      <c r="AA121" s="162"/>
      <c r="AB121" s="37"/>
      <c r="AD121" s="163"/>
      <c r="AE121" s="163"/>
      <c r="AG121" s="163"/>
      <c r="AX121" s="2"/>
      <c r="BG121" s="2"/>
    </row>
    <row r="122" spans="7:59">
      <c r="G122" s="2"/>
      <c r="H122" s="2"/>
      <c r="I122" s="2"/>
      <c r="J122" s="2"/>
      <c r="K122" s="2"/>
      <c r="P122" s="37"/>
      <c r="Q122" s="37"/>
      <c r="R122" s="37"/>
      <c r="T122" s="37"/>
      <c r="U122" s="160"/>
      <c r="V122" s="37"/>
      <c r="X122" s="31"/>
      <c r="Y122" s="31"/>
      <c r="Z122" s="165"/>
      <c r="AA122" s="162"/>
      <c r="AB122" s="37"/>
      <c r="AD122" s="163"/>
      <c r="AE122" s="163"/>
      <c r="AG122" s="163"/>
      <c r="AX122" s="2"/>
      <c r="BG122" s="2"/>
    </row>
    <row r="123" spans="7:59">
      <c r="G123" s="2"/>
      <c r="H123" s="2"/>
      <c r="I123" s="2"/>
      <c r="J123" s="2"/>
      <c r="K123" s="2"/>
      <c r="P123" s="37"/>
      <c r="Q123" s="37"/>
      <c r="R123" s="37"/>
      <c r="T123" s="37"/>
      <c r="U123" s="160"/>
      <c r="V123" s="37"/>
      <c r="X123" s="31"/>
      <c r="Y123" s="31"/>
      <c r="Z123" s="165"/>
      <c r="AA123" s="162"/>
      <c r="AB123" s="37"/>
      <c r="AD123" s="163"/>
      <c r="AE123" s="163"/>
      <c r="AG123" s="163"/>
      <c r="AX123" s="2"/>
      <c r="BG123" s="2"/>
    </row>
    <row r="124" spans="7:59">
      <c r="G124" s="2"/>
      <c r="H124" s="2"/>
      <c r="I124" s="2"/>
      <c r="J124" s="2"/>
      <c r="K124" s="2"/>
      <c r="P124" s="37"/>
      <c r="Q124" s="37"/>
      <c r="R124" s="37"/>
      <c r="T124" s="37"/>
      <c r="U124" s="160"/>
      <c r="V124" s="37"/>
      <c r="X124" s="31"/>
      <c r="Y124" s="31"/>
      <c r="Z124" s="165"/>
      <c r="AA124" s="162"/>
      <c r="AB124" s="37"/>
      <c r="AD124" s="163"/>
      <c r="AE124" s="163"/>
      <c r="AG124" s="163"/>
      <c r="AX124" s="2"/>
      <c r="BG124" s="2"/>
    </row>
    <row r="125" spans="7:59">
      <c r="G125" s="2"/>
      <c r="H125" s="2"/>
      <c r="I125" s="2"/>
      <c r="J125" s="2"/>
      <c r="K125" s="2"/>
      <c r="P125" s="37"/>
      <c r="Q125" s="37"/>
      <c r="R125" s="37"/>
      <c r="T125" s="37"/>
      <c r="U125" s="160"/>
      <c r="V125" s="37"/>
      <c r="X125" s="31"/>
      <c r="Y125" s="31"/>
      <c r="Z125" s="165"/>
      <c r="AA125" s="162"/>
      <c r="AB125" s="37"/>
      <c r="AD125" s="163"/>
      <c r="AE125" s="163"/>
      <c r="AG125" s="163"/>
      <c r="AX125" s="2"/>
      <c r="BG125" s="2"/>
    </row>
    <row r="126" spans="7:59">
      <c r="G126" s="2"/>
      <c r="H126" s="2"/>
      <c r="I126" s="2"/>
      <c r="J126" s="2"/>
      <c r="K126" s="2"/>
      <c r="P126" s="37"/>
      <c r="Q126" s="37"/>
      <c r="R126" s="37"/>
      <c r="T126" s="37"/>
      <c r="U126" s="160"/>
      <c r="V126" s="37"/>
      <c r="X126" s="31"/>
      <c r="Y126" s="31"/>
      <c r="Z126" s="165"/>
      <c r="AA126" s="162"/>
      <c r="AB126" s="37"/>
      <c r="AD126" s="163"/>
      <c r="AE126" s="163"/>
      <c r="AG126" s="163"/>
      <c r="AX126" s="2"/>
      <c r="BG126" s="2"/>
    </row>
    <row r="127" spans="7:59">
      <c r="G127" s="2"/>
      <c r="H127" s="2"/>
      <c r="I127" s="2"/>
      <c r="J127" s="2"/>
      <c r="K127" s="2"/>
      <c r="P127" s="37"/>
      <c r="Q127" s="37"/>
      <c r="R127" s="37"/>
      <c r="T127" s="37"/>
      <c r="U127" s="160"/>
      <c r="V127" s="37"/>
      <c r="X127" s="31"/>
      <c r="Y127" s="31"/>
      <c r="Z127" s="165"/>
      <c r="AA127" s="162"/>
      <c r="AB127" s="37"/>
      <c r="AD127" s="163"/>
      <c r="AE127" s="163"/>
      <c r="AG127" s="163"/>
      <c r="AX127" s="2"/>
      <c r="BG127" s="2"/>
    </row>
    <row r="128" spans="7:59">
      <c r="G128" s="2"/>
      <c r="H128" s="2"/>
      <c r="I128" s="2"/>
      <c r="J128" s="2"/>
      <c r="K128" s="2"/>
      <c r="P128" s="37"/>
      <c r="Q128" s="37"/>
      <c r="R128" s="37"/>
      <c r="T128" s="37"/>
      <c r="U128" s="160"/>
      <c r="V128" s="37"/>
      <c r="X128" s="31"/>
      <c r="Y128" s="31"/>
      <c r="Z128" s="165"/>
      <c r="AA128" s="162"/>
      <c r="AB128" s="37"/>
      <c r="AD128" s="163"/>
      <c r="AE128" s="163"/>
      <c r="AG128" s="163"/>
      <c r="AX128" s="2"/>
      <c r="BG128" s="2"/>
    </row>
    <row r="129" spans="7:59">
      <c r="G129" s="2"/>
      <c r="H129" s="2"/>
      <c r="I129" s="2"/>
      <c r="J129" s="2"/>
      <c r="K129" s="2"/>
      <c r="P129" s="37"/>
      <c r="Q129" s="37"/>
      <c r="R129" s="37"/>
      <c r="T129" s="37"/>
      <c r="U129" s="160"/>
      <c r="V129" s="37"/>
      <c r="X129" s="31"/>
      <c r="Y129" s="31"/>
      <c r="Z129" s="165"/>
      <c r="AA129" s="162"/>
      <c r="AB129" s="37"/>
      <c r="AD129" s="163"/>
      <c r="AE129" s="163"/>
      <c r="AG129" s="163"/>
      <c r="AX129" s="2"/>
      <c r="BG129" s="2"/>
    </row>
    <row r="130" spans="7:59">
      <c r="G130" s="2"/>
      <c r="H130" s="2"/>
      <c r="I130" s="2"/>
      <c r="J130" s="2"/>
      <c r="K130" s="2"/>
      <c r="P130" s="37"/>
      <c r="Q130" s="37"/>
      <c r="R130" s="37"/>
      <c r="T130" s="37"/>
      <c r="U130" s="160"/>
      <c r="V130" s="37"/>
      <c r="X130" s="31"/>
      <c r="Y130" s="31"/>
      <c r="Z130" s="165"/>
      <c r="AA130" s="162"/>
      <c r="AB130" s="37"/>
      <c r="AD130" s="163"/>
      <c r="AE130" s="163"/>
      <c r="AG130" s="163"/>
      <c r="AX130" s="2"/>
      <c r="BG130" s="2"/>
    </row>
    <row r="131" spans="7:59">
      <c r="G131" s="2"/>
      <c r="H131" s="2"/>
      <c r="I131" s="2"/>
      <c r="J131" s="2"/>
      <c r="K131" s="2"/>
      <c r="P131" s="37"/>
      <c r="Q131" s="37"/>
      <c r="R131" s="37"/>
      <c r="T131" s="37"/>
      <c r="U131" s="160"/>
      <c r="V131" s="37"/>
      <c r="X131" s="31"/>
      <c r="Y131" s="31"/>
      <c r="Z131" s="165"/>
      <c r="AA131" s="162"/>
      <c r="AB131" s="37"/>
      <c r="AD131" s="163"/>
      <c r="AE131" s="163"/>
      <c r="AG131" s="163"/>
      <c r="AX131" s="2"/>
      <c r="BG131" s="2"/>
    </row>
    <row r="132" spans="7:59">
      <c r="G132" s="2"/>
      <c r="H132" s="2"/>
      <c r="I132" s="2"/>
      <c r="J132" s="2"/>
      <c r="K132" s="2"/>
      <c r="P132" s="37"/>
      <c r="Q132" s="37"/>
      <c r="R132" s="37"/>
      <c r="T132" s="37"/>
      <c r="U132" s="160"/>
      <c r="V132" s="37"/>
      <c r="X132" s="31"/>
      <c r="Y132" s="31"/>
      <c r="Z132" s="165"/>
      <c r="AA132" s="162"/>
      <c r="AB132" s="37"/>
      <c r="AD132" s="163"/>
      <c r="AE132" s="163"/>
      <c r="AG132" s="163"/>
      <c r="AX132" s="2"/>
      <c r="BG132" s="2"/>
    </row>
    <row r="133" spans="7:59">
      <c r="G133" s="2"/>
      <c r="H133" s="2"/>
      <c r="I133" s="2"/>
      <c r="J133" s="2"/>
      <c r="K133" s="2"/>
      <c r="P133" s="37"/>
      <c r="Q133" s="37"/>
      <c r="R133" s="37"/>
      <c r="T133" s="37"/>
      <c r="U133" s="160"/>
      <c r="V133" s="37"/>
      <c r="X133" s="31"/>
      <c r="Y133" s="31"/>
      <c r="Z133" s="165"/>
      <c r="AA133" s="162"/>
      <c r="AB133" s="37"/>
      <c r="AD133" s="163"/>
      <c r="AE133" s="163"/>
      <c r="AG133" s="163"/>
      <c r="AX133" s="2"/>
      <c r="BG133" s="2"/>
    </row>
    <row r="134" spans="7:59">
      <c r="G134" s="2"/>
      <c r="H134" s="2"/>
      <c r="I134" s="2"/>
      <c r="J134" s="2"/>
      <c r="K134" s="2"/>
      <c r="P134" s="37"/>
      <c r="Q134" s="37"/>
      <c r="R134" s="37"/>
      <c r="T134" s="37"/>
      <c r="U134" s="160"/>
      <c r="V134" s="37"/>
      <c r="X134" s="31"/>
      <c r="Y134" s="31"/>
      <c r="Z134" s="165"/>
      <c r="AA134" s="162"/>
      <c r="AB134" s="37"/>
      <c r="AD134" s="163"/>
      <c r="AE134" s="163"/>
      <c r="AG134" s="163"/>
      <c r="AX134" s="2"/>
      <c r="BG134" s="2"/>
    </row>
    <row r="135" spans="7:59">
      <c r="G135" s="2"/>
      <c r="H135" s="2"/>
      <c r="I135" s="2"/>
      <c r="J135" s="2"/>
      <c r="K135" s="2"/>
      <c r="P135" s="37"/>
      <c r="Q135" s="37"/>
      <c r="R135" s="37"/>
      <c r="T135" s="37"/>
      <c r="U135" s="160"/>
      <c r="V135" s="37"/>
      <c r="X135" s="31"/>
      <c r="Y135" s="31"/>
      <c r="Z135" s="165"/>
      <c r="AA135" s="162"/>
      <c r="AB135" s="37"/>
      <c r="AD135" s="163"/>
      <c r="AE135" s="163"/>
      <c r="AG135" s="163"/>
      <c r="AX135" s="2"/>
      <c r="BG135" s="2"/>
    </row>
    <row r="136" spans="7:59">
      <c r="G136" s="2"/>
      <c r="H136" s="2"/>
      <c r="I136" s="2"/>
      <c r="J136" s="2"/>
      <c r="K136" s="2"/>
      <c r="P136" s="37"/>
      <c r="Q136" s="37"/>
      <c r="R136" s="37"/>
      <c r="T136" s="37"/>
      <c r="U136" s="160"/>
      <c r="V136" s="37"/>
      <c r="X136" s="31"/>
      <c r="Y136" s="31"/>
      <c r="Z136" s="165"/>
      <c r="AA136" s="162"/>
      <c r="AB136" s="37"/>
      <c r="AD136" s="163"/>
      <c r="AE136" s="163"/>
      <c r="AG136" s="163"/>
      <c r="AX136" s="2"/>
      <c r="BG136" s="2"/>
    </row>
    <row r="137" spans="7:59">
      <c r="G137" s="2"/>
      <c r="H137" s="2"/>
      <c r="I137" s="2"/>
      <c r="J137" s="2"/>
      <c r="K137" s="2"/>
      <c r="P137" s="37"/>
      <c r="Q137" s="37"/>
      <c r="R137" s="37"/>
      <c r="T137" s="37"/>
      <c r="U137" s="160"/>
      <c r="V137" s="37"/>
      <c r="X137" s="31"/>
      <c r="Y137" s="31"/>
      <c r="Z137" s="165"/>
      <c r="AA137" s="162"/>
      <c r="AB137" s="37"/>
      <c r="AD137" s="163"/>
      <c r="AE137" s="163"/>
      <c r="AG137" s="163"/>
      <c r="AX137" s="2"/>
      <c r="BG137" s="2"/>
    </row>
    <row r="138" spans="7:59">
      <c r="G138" s="2"/>
      <c r="H138" s="2"/>
      <c r="I138" s="2"/>
      <c r="J138" s="2"/>
      <c r="K138" s="2"/>
      <c r="P138" s="37"/>
      <c r="Q138" s="37"/>
      <c r="R138" s="37"/>
      <c r="T138" s="37"/>
      <c r="U138" s="160"/>
      <c r="V138" s="37"/>
      <c r="X138" s="31"/>
      <c r="Y138" s="31"/>
      <c r="Z138" s="165"/>
      <c r="AA138" s="162"/>
      <c r="AB138" s="37"/>
      <c r="AD138" s="163"/>
      <c r="AE138" s="163"/>
      <c r="AG138" s="163"/>
      <c r="AX138" s="2"/>
      <c r="BG138" s="2"/>
    </row>
    <row r="139" spans="7:59">
      <c r="G139" s="2"/>
      <c r="H139" s="2"/>
      <c r="I139" s="2"/>
      <c r="J139" s="2"/>
      <c r="K139" s="2"/>
      <c r="P139" s="37"/>
      <c r="Q139" s="37"/>
      <c r="R139" s="37"/>
      <c r="T139" s="37"/>
      <c r="U139" s="160"/>
      <c r="V139" s="37"/>
      <c r="X139" s="31"/>
      <c r="Y139" s="31"/>
      <c r="Z139" s="165"/>
      <c r="AA139" s="162"/>
      <c r="AB139" s="37"/>
      <c r="AD139" s="163"/>
      <c r="AE139" s="163"/>
      <c r="AG139" s="163"/>
      <c r="AX139" s="2"/>
      <c r="BG139" s="2"/>
    </row>
    <row r="140" spans="7:59">
      <c r="G140" s="2"/>
      <c r="H140" s="2"/>
      <c r="I140" s="2"/>
      <c r="J140" s="2"/>
      <c r="K140" s="2"/>
      <c r="P140" s="37"/>
      <c r="Q140" s="37"/>
      <c r="R140" s="37"/>
      <c r="T140" s="37"/>
      <c r="U140" s="160"/>
      <c r="V140" s="37"/>
      <c r="X140" s="31"/>
      <c r="Y140" s="31"/>
      <c r="Z140" s="165"/>
      <c r="AA140" s="162"/>
      <c r="AB140" s="37"/>
      <c r="AD140" s="163"/>
      <c r="AE140" s="163"/>
      <c r="AG140" s="163"/>
      <c r="AX140" s="2"/>
      <c r="BG140" s="2"/>
    </row>
    <row r="141" spans="7:59">
      <c r="G141" s="2"/>
      <c r="H141" s="2"/>
      <c r="I141" s="2"/>
      <c r="J141" s="2"/>
      <c r="K141" s="2"/>
      <c r="P141" s="37"/>
      <c r="Q141" s="37"/>
      <c r="R141" s="37"/>
      <c r="T141" s="37"/>
      <c r="U141" s="160"/>
      <c r="V141" s="37"/>
      <c r="X141" s="31"/>
      <c r="Y141" s="31"/>
      <c r="Z141" s="165"/>
      <c r="AA141" s="162"/>
      <c r="AB141" s="37"/>
      <c r="AD141" s="163"/>
      <c r="AE141" s="163"/>
      <c r="AG141" s="163"/>
      <c r="AX141" s="2"/>
      <c r="BG141" s="2"/>
    </row>
    <row r="142" spans="7:59">
      <c r="G142" s="2"/>
      <c r="H142" s="2"/>
      <c r="I142" s="2"/>
      <c r="J142" s="2"/>
      <c r="K142" s="2"/>
      <c r="P142" s="37"/>
      <c r="Q142" s="37"/>
      <c r="R142" s="37"/>
      <c r="T142" s="37"/>
      <c r="U142" s="160"/>
      <c r="V142" s="37"/>
      <c r="X142" s="31"/>
      <c r="Y142" s="31"/>
      <c r="Z142" s="165"/>
      <c r="AA142" s="162"/>
      <c r="AB142" s="37"/>
      <c r="AD142" s="163"/>
      <c r="AE142" s="163"/>
      <c r="AG142" s="163"/>
      <c r="AX142" s="2"/>
      <c r="BG142" s="2"/>
    </row>
    <row r="143" spans="7:59">
      <c r="G143" s="2"/>
      <c r="H143" s="2"/>
      <c r="I143" s="2"/>
      <c r="J143" s="2"/>
      <c r="K143" s="2"/>
      <c r="P143" s="37"/>
      <c r="Q143" s="37"/>
      <c r="R143" s="37"/>
      <c r="T143" s="37"/>
      <c r="U143" s="160"/>
      <c r="V143" s="37"/>
      <c r="X143" s="31"/>
      <c r="Y143" s="31"/>
      <c r="Z143" s="165"/>
      <c r="AA143" s="162"/>
      <c r="AB143" s="37"/>
      <c r="AD143" s="163"/>
      <c r="AE143" s="163"/>
      <c r="AG143" s="163"/>
      <c r="AX143" s="2"/>
      <c r="BG143" s="2"/>
    </row>
    <row r="144" spans="7:59">
      <c r="G144" s="2"/>
      <c r="H144" s="2"/>
      <c r="I144" s="2"/>
      <c r="J144" s="2"/>
      <c r="K144" s="2"/>
      <c r="P144" s="37"/>
      <c r="Q144" s="37"/>
      <c r="R144" s="37"/>
      <c r="T144" s="37"/>
      <c r="U144" s="160"/>
      <c r="V144" s="37"/>
      <c r="X144" s="31"/>
      <c r="Y144" s="31"/>
      <c r="Z144" s="165"/>
      <c r="AA144" s="162"/>
      <c r="AB144" s="37"/>
      <c r="AD144" s="163"/>
      <c r="AE144" s="163"/>
      <c r="AG144" s="163"/>
      <c r="AX144" s="2"/>
      <c r="BG144" s="2"/>
    </row>
    <row r="145" spans="7:59">
      <c r="G145" s="2"/>
      <c r="H145" s="2"/>
      <c r="I145" s="2"/>
      <c r="J145" s="2"/>
      <c r="K145" s="2"/>
      <c r="P145" s="37"/>
      <c r="Q145" s="37"/>
      <c r="R145" s="37"/>
      <c r="T145" s="37"/>
      <c r="U145" s="160"/>
      <c r="V145" s="37"/>
      <c r="X145" s="31"/>
      <c r="Y145" s="31"/>
      <c r="Z145" s="165"/>
      <c r="AA145" s="162"/>
      <c r="AB145" s="37"/>
      <c r="AD145" s="163"/>
      <c r="AE145" s="163"/>
      <c r="AG145" s="163"/>
      <c r="AX145" s="2"/>
      <c r="BG145" s="2"/>
    </row>
    <row r="146" spans="7:59">
      <c r="G146" s="2"/>
      <c r="H146" s="2"/>
      <c r="I146" s="2"/>
      <c r="J146" s="2"/>
      <c r="K146" s="2"/>
      <c r="P146" s="37"/>
      <c r="Q146" s="37"/>
      <c r="R146" s="37"/>
      <c r="T146" s="37"/>
      <c r="U146" s="160"/>
      <c r="V146" s="37"/>
      <c r="X146" s="31"/>
      <c r="Y146" s="31"/>
      <c r="Z146" s="165"/>
      <c r="AA146" s="162"/>
      <c r="AB146" s="37"/>
      <c r="AD146" s="163"/>
      <c r="AE146" s="163"/>
      <c r="AG146" s="163"/>
      <c r="AX146" s="2"/>
      <c r="BG146" s="2"/>
    </row>
    <row r="147" spans="7:59">
      <c r="G147" s="2"/>
      <c r="H147" s="2"/>
      <c r="I147" s="2"/>
      <c r="J147" s="2"/>
      <c r="K147" s="2"/>
      <c r="P147" s="37"/>
      <c r="Q147" s="37"/>
      <c r="R147" s="37"/>
      <c r="T147" s="37"/>
      <c r="U147" s="160"/>
      <c r="V147" s="37"/>
      <c r="X147" s="31"/>
      <c r="Y147" s="31"/>
      <c r="Z147" s="165"/>
      <c r="AA147" s="162"/>
      <c r="AB147" s="37"/>
      <c r="AD147" s="163"/>
      <c r="AE147" s="163"/>
      <c r="AG147" s="163"/>
      <c r="AX147" s="2"/>
      <c r="BG147" s="2"/>
    </row>
    <row r="148" spans="7:59">
      <c r="G148" s="2"/>
      <c r="H148" s="2"/>
      <c r="I148" s="2"/>
      <c r="J148" s="2"/>
      <c r="K148" s="2"/>
      <c r="P148" s="37"/>
      <c r="Q148" s="37"/>
      <c r="R148" s="37"/>
      <c r="T148" s="37"/>
      <c r="U148" s="160"/>
      <c r="V148" s="37"/>
      <c r="X148" s="31"/>
      <c r="Y148" s="31"/>
      <c r="Z148" s="165"/>
      <c r="AA148" s="162"/>
      <c r="AB148" s="37"/>
      <c r="AD148" s="163"/>
      <c r="AE148" s="163"/>
      <c r="AG148" s="163"/>
      <c r="AX148" s="2"/>
      <c r="BG148" s="2"/>
    </row>
    <row r="149" spans="7:59">
      <c r="G149" s="2"/>
      <c r="H149" s="2"/>
      <c r="I149" s="2"/>
      <c r="J149" s="2"/>
      <c r="K149" s="2"/>
      <c r="P149" s="37"/>
      <c r="Q149" s="37"/>
      <c r="R149" s="37"/>
      <c r="T149" s="37"/>
      <c r="U149" s="160"/>
      <c r="V149" s="37"/>
      <c r="X149" s="31"/>
      <c r="Y149" s="31"/>
      <c r="Z149" s="165"/>
      <c r="AA149" s="162"/>
      <c r="AB149" s="37"/>
      <c r="AD149" s="163"/>
      <c r="AE149" s="163"/>
      <c r="AG149" s="163"/>
      <c r="AX149" s="2"/>
      <c r="BG149" s="2"/>
    </row>
    <row r="150" spans="7:59">
      <c r="G150" s="2"/>
      <c r="H150" s="2"/>
      <c r="I150" s="2"/>
      <c r="J150" s="2"/>
      <c r="K150" s="2"/>
      <c r="P150" s="37"/>
      <c r="Q150" s="37"/>
      <c r="R150" s="37"/>
      <c r="T150" s="37"/>
      <c r="U150" s="160"/>
      <c r="V150" s="37"/>
      <c r="X150" s="31"/>
      <c r="Y150" s="31"/>
      <c r="Z150" s="165"/>
      <c r="AA150" s="162"/>
      <c r="AB150" s="37"/>
      <c r="AD150" s="163"/>
      <c r="AE150" s="163"/>
      <c r="AG150" s="163"/>
      <c r="AX150" s="2"/>
      <c r="BG150" s="2"/>
    </row>
    <row r="151" spans="7:59">
      <c r="G151" s="2"/>
      <c r="H151" s="2"/>
      <c r="I151" s="2"/>
      <c r="J151" s="2"/>
      <c r="K151" s="2"/>
      <c r="P151" s="37"/>
      <c r="Q151" s="37"/>
      <c r="R151" s="37"/>
      <c r="T151" s="37"/>
      <c r="U151" s="160"/>
      <c r="V151" s="37"/>
      <c r="X151" s="31"/>
      <c r="Y151" s="31"/>
      <c r="Z151" s="165"/>
      <c r="AA151" s="162"/>
      <c r="AB151" s="37"/>
      <c r="AD151" s="163"/>
      <c r="AE151" s="163"/>
      <c r="AG151" s="163"/>
      <c r="AX151" s="2"/>
      <c r="BG151" s="2"/>
    </row>
    <row r="152" spans="7:59">
      <c r="G152" s="2"/>
      <c r="H152" s="2"/>
      <c r="I152" s="2"/>
      <c r="J152" s="2"/>
      <c r="K152" s="2"/>
      <c r="P152" s="37"/>
      <c r="Q152" s="37"/>
      <c r="R152" s="37"/>
      <c r="T152" s="37"/>
      <c r="U152" s="160"/>
      <c r="V152" s="37"/>
      <c r="X152" s="31"/>
      <c r="Y152" s="31"/>
      <c r="Z152" s="165"/>
      <c r="AA152" s="162"/>
      <c r="AB152" s="37"/>
      <c r="AD152" s="163"/>
      <c r="AE152" s="163"/>
      <c r="AG152" s="163"/>
      <c r="AX152" s="2"/>
      <c r="BG152" s="2"/>
    </row>
    <row r="153" spans="7:59">
      <c r="G153" s="2"/>
      <c r="H153" s="2"/>
      <c r="I153" s="2"/>
      <c r="J153" s="2"/>
      <c r="K153" s="2"/>
      <c r="P153" s="37"/>
      <c r="Q153" s="37"/>
      <c r="R153" s="37"/>
      <c r="T153" s="37"/>
      <c r="U153" s="160"/>
      <c r="V153" s="37"/>
      <c r="X153" s="31"/>
      <c r="Y153" s="31"/>
      <c r="Z153" s="165"/>
      <c r="AA153" s="162"/>
      <c r="AB153" s="37"/>
      <c r="AD153" s="163"/>
      <c r="AE153" s="163"/>
      <c r="AG153" s="163"/>
      <c r="AX153" s="2"/>
      <c r="BG153" s="2"/>
    </row>
    <row r="154" spans="7:59">
      <c r="G154" s="2"/>
      <c r="H154" s="2"/>
      <c r="I154" s="2"/>
      <c r="J154" s="2"/>
      <c r="K154" s="2"/>
      <c r="P154" s="37"/>
      <c r="Q154" s="37"/>
      <c r="R154" s="37"/>
      <c r="T154" s="37"/>
      <c r="U154" s="160"/>
      <c r="V154" s="37"/>
      <c r="X154" s="31"/>
      <c r="Y154" s="31"/>
      <c r="Z154" s="165"/>
      <c r="AA154" s="162"/>
      <c r="AB154" s="37"/>
      <c r="AD154" s="163"/>
      <c r="AE154" s="163"/>
      <c r="AG154" s="163"/>
      <c r="AX154" s="2"/>
      <c r="BG154" s="2"/>
    </row>
    <row r="155" spans="7:59">
      <c r="G155" s="2"/>
      <c r="H155" s="2"/>
      <c r="I155" s="2"/>
      <c r="J155" s="2"/>
      <c r="K155" s="2"/>
      <c r="P155" s="37"/>
      <c r="Q155" s="37"/>
      <c r="R155" s="37"/>
      <c r="T155" s="37"/>
      <c r="U155" s="160"/>
      <c r="V155" s="37"/>
      <c r="X155" s="31"/>
      <c r="Y155" s="31"/>
      <c r="Z155" s="165"/>
      <c r="AA155" s="162"/>
      <c r="AB155" s="37"/>
      <c r="AD155" s="163"/>
      <c r="AE155" s="163"/>
      <c r="AG155" s="163"/>
      <c r="AX155" s="2"/>
      <c r="BG155" s="2"/>
    </row>
    <row r="156" spans="7:59">
      <c r="G156" s="2"/>
      <c r="H156" s="2"/>
      <c r="I156" s="2"/>
      <c r="J156" s="2"/>
      <c r="K156" s="2"/>
      <c r="P156" s="37"/>
      <c r="Q156" s="37"/>
      <c r="R156" s="37"/>
      <c r="T156" s="37"/>
      <c r="U156" s="160"/>
      <c r="V156" s="37"/>
      <c r="X156" s="31"/>
      <c r="Y156" s="31"/>
      <c r="Z156" s="165"/>
      <c r="AA156" s="162"/>
      <c r="AB156" s="37"/>
      <c r="AD156" s="163"/>
      <c r="AE156" s="163"/>
      <c r="AG156" s="163"/>
      <c r="AX156" s="2"/>
      <c r="BG156" s="2"/>
    </row>
    <row r="157" spans="7:59">
      <c r="G157" s="2"/>
      <c r="H157" s="2"/>
      <c r="I157" s="2"/>
      <c r="J157" s="2"/>
      <c r="K157" s="2"/>
      <c r="P157" s="37"/>
      <c r="Q157" s="37"/>
      <c r="R157" s="37"/>
      <c r="T157" s="37"/>
      <c r="U157" s="160"/>
      <c r="V157" s="37"/>
      <c r="X157" s="31"/>
      <c r="Y157" s="31"/>
      <c r="Z157" s="165"/>
      <c r="AA157" s="162"/>
      <c r="AB157" s="37"/>
      <c r="AD157" s="163"/>
      <c r="AE157" s="163"/>
      <c r="AG157" s="163"/>
      <c r="AX157" s="2"/>
      <c r="BG157" s="2"/>
    </row>
    <row r="158" spans="7:59">
      <c r="G158" s="2"/>
      <c r="H158" s="2"/>
      <c r="I158" s="2"/>
      <c r="J158" s="2"/>
      <c r="K158" s="2"/>
      <c r="P158" s="37"/>
      <c r="Q158" s="37"/>
      <c r="R158" s="37"/>
      <c r="T158" s="37"/>
      <c r="U158" s="160"/>
      <c r="V158" s="37"/>
      <c r="X158" s="31"/>
      <c r="Y158" s="31"/>
      <c r="Z158" s="165"/>
      <c r="AA158" s="162"/>
      <c r="AB158" s="37"/>
      <c r="AD158" s="163"/>
      <c r="AE158" s="163"/>
      <c r="AG158" s="163"/>
      <c r="AX158" s="2"/>
      <c r="BG158" s="2"/>
    </row>
    <row r="159" spans="7:59">
      <c r="G159" s="2"/>
      <c r="H159" s="2"/>
      <c r="I159" s="2"/>
      <c r="J159" s="2"/>
      <c r="K159" s="2"/>
      <c r="P159" s="37"/>
      <c r="Q159" s="37"/>
      <c r="R159" s="37"/>
      <c r="T159" s="37"/>
      <c r="U159" s="160"/>
      <c r="V159" s="37"/>
      <c r="X159" s="31"/>
      <c r="Y159" s="31"/>
      <c r="Z159" s="165"/>
      <c r="AA159" s="162"/>
      <c r="AB159" s="37"/>
      <c r="AD159" s="163"/>
      <c r="AE159" s="163"/>
      <c r="AG159" s="163"/>
      <c r="AX159" s="2"/>
      <c r="BG159" s="2"/>
    </row>
    <row r="160" spans="7:59">
      <c r="G160" s="2"/>
      <c r="K160" s="2"/>
      <c r="P160" s="37"/>
      <c r="Q160" s="37"/>
      <c r="R160" s="37"/>
      <c r="T160" s="37"/>
      <c r="U160" s="37"/>
      <c r="V160" s="37"/>
      <c r="X160" s="31"/>
      <c r="Y160" s="31"/>
      <c r="Z160" s="165"/>
      <c r="AA160" s="162"/>
      <c r="AB160" s="37"/>
      <c r="AD160" s="163"/>
      <c r="AE160" s="163"/>
      <c r="AG160" s="163"/>
      <c r="AX160" s="2"/>
      <c r="BG160" s="2"/>
    </row>
    <row r="161" spans="7:59">
      <c r="G161" s="2"/>
      <c r="K161" s="2"/>
      <c r="P161" s="37"/>
      <c r="Q161" s="37"/>
      <c r="R161" s="37"/>
      <c r="T161" s="37"/>
      <c r="U161" s="37"/>
      <c r="V161" s="37"/>
      <c r="X161" s="31"/>
      <c r="Y161" s="31"/>
      <c r="Z161" s="165"/>
      <c r="AA161" s="162"/>
      <c r="AB161" s="37"/>
      <c r="AD161" s="163"/>
      <c r="AE161" s="163"/>
      <c r="AG161" s="163"/>
      <c r="AX161" s="2"/>
      <c r="BG161" s="2"/>
    </row>
    <row r="162" spans="7:59">
      <c r="G162" s="2"/>
      <c r="K162" s="2"/>
      <c r="P162" s="37"/>
      <c r="Q162" s="37"/>
      <c r="R162" s="37"/>
      <c r="T162" s="37"/>
      <c r="U162" s="37"/>
      <c r="V162" s="37"/>
      <c r="X162" s="31"/>
      <c r="Y162" s="31"/>
      <c r="Z162" s="165"/>
      <c r="AA162" s="162"/>
      <c r="AB162" s="37"/>
      <c r="AD162" s="163"/>
      <c r="AE162" s="163"/>
      <c r="AG162" s="163"/>
      <c r="AX162" s="2"/>
      <c r="BG162" s="2"/>
    </row>
    <row r="163" spans="7:59">
      <c r="G163" s="2"/>
      <c r="K163" s="2"/>
      <c r="P163" s="37"/>
      <c r="Q163" s="37"/>
      <c r="R163" s="37"/>
      <c r="T163" s="37"/>
      <c r="U163" s="37"/>
      <c r="V163" s="37"/>
      <c r="X163" s="31"/>
      <c r="Y163" s="31"/>
      <c r="Z163" s="165"/>
      <c r="AA163" s="162"/>
      <c r="AB163" s="37"/>
      <c r="AD163" s="163"/>
      <c r="AE163" s="163"/>
      <c r="AG163" s="163"/>
      <c r="AX163" s="2"/>
      <c r="BG163" s="2"/>
    </row>
    <row r="164" spans="7:59">
      <c r="G164" s="2"/>
      <c r="K164" s="2"/>
      <c r="P164" s="37"/>
      <c r="Q164" s="37"/>
      <c r="R164" s="37"/>
      <c r="T164" s="37"/>
      <c r="U164" s="37"/>
      <c r="V164" s="37"/>
      <c r="X164" s="31"/>
      <c r="Y164" s="31"/>
      <c r="Z164" s="165"/>
      <c r="AA164" s="162"/>
      <c r="AB164" s="37"/>
      <c r="AD164" s="163"/>
      <c r="AE164" s="163"/>
      <c r="AG164" s="163"/>
      <c r="AX164" s="2"/>
      <c r="BG164" s="2"/>
    </row>
    <row r="165" spans="7:59">
      <c r="G165" s="2"/>
      <c r="K165" s="2"/>
      <c r="P165" s="37"/>
      <c r="Q165" s="37"/>
      <c r="R165" s="37"/>
      <c r="T165" s="37"/>
      <c r="U165" s="37"/>
      <c r="V165" s="37"/>
      <c r="X165" s="31"/>
      <c r="Y165" s="31"/>
      <c r="Z165" s="165"/>
      <c r="AA165" s="162"/>
      <c r="AB165" s="37"/>
      <c r="AD165" s="163"/>
      <c r="AE165" s="163"/>
      <c r="AG165" s="163"/>
      <c r="AX165" s="2"/>
      <c r="BG165" s="2"/>
    </row>
    <row r="166" spans="7:59">
      <c r="G166" s="2"/>
      <c r="K166" s="2"/>
      <c r="P166" s="37"/>
      <c r="Q166" s="37"/>
      <c r="R166" s="37"/>
      <c r="T166" s="37"/>
      <c r="U166" s="37"/>
      <c r="V166" s="37"/>
      <c r="X166" s="31"/>
      <c r="Y166" s="31"/>
      <c r="Z166" s="165"/>
      <c r="AA166" s="162"/>
      <c r="AB166" s="37"/>
      <c r="AD166" s="163"/>
      <c r="AE166" s="163"/>
      <c r="AG166" s="163"/>
      <c r="AX166" s="2"/>
      <c r="BG166" s="2"/>
    </row>
    <row r="167" spans="7:59">
      <c r="G167" s="2"/>
      <c r="K167" s="2"/>
      <c r="P167" s="37"/>
      <c r="Q167" s="37"/>
      <c r="R167" s="37"/>
      <c r="T167" s="37"/>
      <c r="U167" s="37"/>
      <c r="V167" s="37"/>
      <c r="X167" s="31"/>
      <c r="Y167" s="31"/>
      <c r="Z167" s="165"/>
      <c r="AA167" s="162"/>
      <c r="AB167" s="37"/>
      <c r="AD167" s="163"/>
      <c r="AE167" s="163"/>
      <c r="AG167" s="163"/>
      <c r="AX167" s="2"/>
      <c r="BG167" s="2"/>
    </row>
    <row r="168" spans="7:59">
      <c r="G168" s="2"/>
      <c r="K168" s="2"/>
      <c r="P168" s="37"/>
      <c r="Q168" s="37"/>
      <c r="R168" s="37"/>
      <c r="T168" s="37"/>
      <c r="U168" s="37"/>
      <c r="V168" s="37"/>
      <c r="X168" s="31"/>
      <c r="Y168" s="31"/>
      <c r="Z168" s="165"/>
      <c r="AA168" s="162"/>
      <c r="AB168" s="37"/>
      <c r="AD168" s="163"/>
      <c r="AE168" s="163"/>
      <c r="AG168" s="163"/>
      <c r="AX168" s="2"/>
      <c r="BG168" s="2"/>
    </row>
    <row r="169" spans="7:59">
      <c r="G169" s="2"/>
      <c r="K169" s="2"/>
      <c r="P169" s="37"/>
      <c r="Q169" s="37"/>
      <c r="R169" s="37"/>
      <c r="T169" s="37"/>
      <c r="U169" s="37"/>
      <c r="V169" s="37"/>
      <c r="X169" s="31"/>
      <c r="Y169" s="31"/>
      <c r="Z169" s="165"/>
      <c r="AA169" s="162"/>
      <c r="AB169" s="37"/>
      <c r="AD169" s="163"/>
      <c r="AE169" s="163"/>
      <c r="AG169" s="163"/>
      <c r="AX169" s="2"/>
      <c r="BG169" s="2"/>
    </row>
    <row r="170" spans="7:59">
      <c r="G170" s="2"/>
      <c r="K170" s="2"/>
      <c r="P170" s="37"/>
      <c r="Q170" s="37"/>
      <c r="R170" s="37"/>
      <c r="T170" s="37"/>
      <c r="U170" s="37"/>
      <c r="V170" s="37"/>
      <c r="X170" s="31"/>
      <c r="Y170" s="31"/>
      <c r="Z170" s="165"/>
      <c r="AA170" s="162"/>
      <c r="AB170" s="37"/>
      <c r="AD170" s="163"/>
      <c r="AE170" s="163"/>
      <c r="AG170" s="163"/>
      <c r="AX170" s="2"/>
      <c r="BG170" s="2"/>
    </row>
    <row r="171" spans="7:59">
      <c r="G171" s="2"/>
      <c r="K171" s="2"/>
      <c r="P171" s="37"/>
      <c r="Q171" s="37"/>
      <c r="R171" s="37"/>
      <c r="T171" s="37"/>
      <c r="U171" s="37"/>
      <c r="V171" s="37"/>
      <c r="X171" s="31"/>
      <c r="Y171" s="31"/>
      <c r="Z171" s="165"/>
      <c r="AA171" s="162"/>
      <c r="AB171" s="37"/>
      <c r="AD171" s="163"/>
      <c r="AE171" s="163"/>
      <c r="AG171" s="163"/>
      <c r="AX171" s="2"/>
      <c r="BG171" s="2"/>
    </row>
    <row r="172" spans="7:59">
      <c r="G172" s="2"/>
      <c r="K172" s="2"/>
      <c r="P172" s="37"/>
      <c r="Q172" s="37"/>
      <c r="R172" s="37"/>
      <c r="T172" s="37"/>
      <c r="U172" s="37"/>
      <c r="V172" s="37"/>
      <c r="X172" s="31"/>
      <c r="Y172" s="31"/>
      <c r="Z172" s="165"/>
      <c r="AA172" s="162"/>
      <c r="AB172" s="37"/>
      <c r="AD172" s="163"/>
      <c r="AE172" s="163"/>
      <c r="AG172" s="163"/>
      <c r="AX172" s="2"/>
      <c r="BG172" s="2"/>
    </row>
    <row r="173" spans="7:59">
      <c r="G173" s="2"/>
      <c r="K173" s="2"/>
      <c r="P173" s="37"/>
      <c r="Q173" s="37"/>
      <c r="R173" s="37"/>
      <c r="T173" s="37"/>
      <c r="U173" s="37"/>
      <c r="V173" s="37"/>
      <c r="X173" s="31"/>
      <c r="Y173" s="31"/>
      <c r="Z173" s="165"/>
      <c r="AA173" s="162"/>
      <c r="AB173" s="37"/>
      <c r="AD173" s="163"/>
      <c r="AE173" s="163"/>
      <c r="AG173" s="163"/>
      <c r="AX173" s="2"/>
      <c r="BG173" s="2"/>
    </row>
    <row r="174" spans="7:59">
      <c r="G174" s="2"/>
      <c r="K174" s="2"/>
      <c r="P174" s="37"/>
      <c r="Q174" s="37"/>
      <c r="R174" s="37"/>
      <c r="T174" s="37"/>
      <c r="U174" s="37"/>
      <c r="V174" s="37"/>
      <c r="X174" s="31"/>
      <c r="Y174" s="31"/>
      <c r="Z174" s="165"/>
      <c r="AA174" s="162"/>
      <c r="AB174" s="37"/>
      <c r="AD174" s="163"/>
      <c r="AE174" s="163"/>
      <c r="AG174" s="163"/>
      <c r="AX174" s="2"/>
      <c r="BG174" s="2"/>
    </row>
    <row r="175" spans="7:59">
      <c r="G175" s="2"/>
      <c r="K175" s="2"/>
      <c r="P175" s="37"/>
      <c r="Q175" s="37"/>
      <c r="R175" s="37"/>
      <c r="T175" s="37"/>
      <c r="U175" s="37"/>
      <c r="V175" s="37"/>
      <c r="X175" s="31"/>
      <c r="Y175" s="31"/>
      <c r="Z175" s="165"/>
      <c r="AA175" s="162"/>
      <c r="AB175" s="37"/>
      <c r="AD175" s="163"/>
      <c r="AE175" s="163"/>
      <c r="AG175" s="163"/>
      <c r="AX175" s="2"/>
      <c r="BG175" s="2"/>
    </row>
    <row r="176" spans="7:59">
      <c r="G176" s="2"/>
      <c r="K176" s="2"/>
      <c r="P176" s="37"/>
      <c r="Q176" s="37"/>
      <c r="R176" s="37"/>
      <c r="T176" s="37"/>
      <c r="U176" s="37"/>
      <c r="V176" s="37"/>
      <c r="X176" s="31"/>
      <c r="Y176" s="31"/>
      <c r="Z176" s="165"/>
      <c r="AA176" s="162"/>
      <c r="AB176" s="37"/>
      <c r="AD176" s="163"/>
      <c r="AE176" s="163"/>
      <c r="AG176" s="163"/>
      <c r="AX176" s="2"/>
      <c r="BG176" s="2"/>
    </row>
    <row r="177" spans="7:59">
      <c r="G177" s="2"/>
      <c r="K177" s="2"/>
      <c r="P177" s="37"/>
      <c r="Q177" s="37"/>
      <c r="R177" s="37"/>
      <c r="T177" s="37"/>
      <c r="U177" s="37"/>
      <c r="V177" s="37"/>
      <c r="X177" s="31"/>
      <c r="Y177" s="31"/>
      <c r="Z177" s="165"/>
      <c r="AA177" s="162"/>
      <c r="AB177" s="37"/>
      <c r="AD177" s="163"/>
      <c r="AE177" s="163"/>
      <c r="AG177" s="163"/>
      <c r="AX177" s="2"/>
      <c r="BG177" s="2"/>
    </row>
    <row r="178" spans="7:59">
      <c r="G178" s="2"/>
      <c r="K178" s="2"/>
      <c r="P178" s="37"/>
      <c r="Q178" s="37"/>
      <c r="R178" s="37"/>
      <c r="T178" s="37"/>
      <c r="U178" s="37"/>
      <c r="V178" s="37"/>
      <c r="X178" s="31"/>
      <c r="Y178" s="31"/>
      <c r="Z178" s="165"/>
      <c r="AA178" s="162"/>
      <c r="AB178" s="37"/>
      <c r="AD178" s="163"/>
      <c r="AE178" s="163"/>
      <c r="AG178" s="163"/>
      <c r="AX178" s="2"/>
      <c r="BG178" s="2"/>
    </row>
    <row r="179" spans="7:59">
      <c r="G179" s="2"/>
      <c r="K179" s="2"/>
      <c r="P179" s="37"/>
      <c r="Q179" s="37"/>
      <c r="R179" s="37"/>
      <c r="T179" s="37"/>
      <c r="U179" s="37"/>
      <c r="V179" s="37"/>
      <c r="X179" s="31"/>
      <c r="Y179" s="31"/>
      <c r="Z179" s="165"/>
      <c r="AA179" s="162"/>
      <c r="AB179" s="37"/>
      <c r="AD179" s="163"/>
      <c r="AE179" s="163"/>
      <c r="AG179" s="163"/>
      <c r="AX179" s="2"/>
      <c r="BG179" s="2"/>
    </row>
    <row r="180" spans="7:59">
      <c r="G180" s="2"/>
      <c r="K180" s="2"/>
      <c r="P180" s="37"/>
      <c r="Q180" s="37"/>
      <c r="R180" s="37"/>
      <c r="T180" s="37"/>
      <c r="U180" s="37"/>
      <c r="V180" s="37"/>
      <c r="X180" s="31"/>
      <c r="Y180" s="31"/>
      <c r="Z180" s="165"/>
      <c r="AA180" s="162"/>
      <c r="AB180" s="37"/>
      <c r="AD180" s="163"/>
      <c r="AE180" s="163"/>
      <c r="AG180" s="163"/>
      <c r="AX180" s="2"/>
      <c r="BG180" s="2"/>
    </row>
    <row r="181" spans="7:59">
      <c r="G181" s="2"/>
      <c r="K181" s="2"/>
      <c r="P181" s="37"/>
      <c r="Q181" s="37"/>
      <c r="R181" s="37"/>
      <c r="T181" s="37"/>
      <c r="U181" s="37"/>
      <c r="V181" s="37"/>
      <c r="X181" s="31"/>
      <c r="Y181" s="31"/>
      <c r="Z181" s="165"/>
      <c r="AA181" s="162"/>
      <c r="AB181" s="37"/>
      <c r="AD181" s="163"/>
      <c r="AE181" s="163"/>
      <c r="AG181" s="163"/>
      <c r="AX181" s="2"/>
      <c r="BG181" s="2"/>
    </row>
    <row r="182" spans="7:59">
      <c r="G182" s="2"/>
      <c r="K182" s="2"/>
      <c r="P182" s="37"/>
      <c r="Q182" s="37"/>
      <c r="R182" s="37"/>
      <c r="T182" s="37"/>
      <c r="U182" s="37"/>
      <c r="V182" s="37"/>
      <c r="X182" s="31"/>
      <c r="Y182" s="31"/>
      <c r="Z182" s="165"/>
      <c r="AA182" s="162"/>
      <c r="AB182" s="37"/>
      <c r="AD182" s="163"/>
      <c r="AE182" s="163"/>
      <c r="AG182" s="163"/>
      <c r="AX182" s="2"/>
      <c r="BG182" s="2"/>
    </row>
    <row r="183" spans="7:59">
      <c r="G183" s="2"/>
      <c r="K183" s="2"/>
      <c r="P183" s="37"/>
      <c r="Q183" s="37"/>
      <c r="R183" s="37"/>
      <c r="T183" s="37"/>
      <c r="U183" s="37"/>
      <c r="V183" s="37"/>
      <c r="X183" s="31"/>
      <c r="Y183" s="31"/>
      <c r="Z183" s="165"/>
      <c r="AA183" s="162"/>
      <c r="AB183" s="37"/>
      <c r="AD183" s="163"/>
      <c r="AE183" s="163"/>
      <c r="AG183" s="163"/>
      <c r="AX183" s="2"/>
      <c r="BG183" s="2"/>
    </row>
    <row r="184" spans="7:59">
      <c r="G184" s="2"/>
      <c r="K184" s="2"/>
      <c r="P184" s="37"/>
      <c r="Q184" s="37"/>
      <c r="R184" s="37"/>
      <c r="T184" s="37"/>
      <c r="U184" s="37"/>
      <c r="V184" s="37"/>
      <c r="X184" s="31"/>
      <c r="Y184" s="31"/>
      <c r="Z184" s="165"/>
      <c r="AA184" s="162"/>
      <c r="AB184" s="37"/>
      <c r="AD184" s="163"/>
      <c r="AE184" s="163"/>
      <c r="AG184" s="163"/>
      <c r="AX184" s="2"/>
      <c r="BG184" s="2"/>
    </row>
    <row r="185" spans="7:59">
      <c r="G185" s="2"/>
      <c r="K185" s="2"/>
      <c r="P185" s="37"/>
      <c r="Q185" s="37"/>
      <c r="R185" s="37"/>
      <c r="T185" s="37"/>
      <c r="U185" s="37"/>
      <c r="V185" s="37"/>
      <c r="X185" s="31"/>
      <c r="Y185" s="31"/>
      <c r="Z185" s="165"/>
      <c r="AA185" s="162"/>
      <c r="AB185" s="37"/>
      <c r="AD185" s="163"/>
      <c r="AE185" s="163"/>
      <c r="AG185" s="163"/>
      <c r="AX185" s="2"/>
      <c r="BG185" s="2"/>
    </row>
    <row r="186" spans="7:59">
      <c r="G186" s="2"/>
      <c r="K186" s="2"/>
      <c r="P186" s="37"/>
      <c r="Q186" s="37"/>
      <c r="R186" s="37"/>
      <c r="T186" s="37"/>
      <c r="U186" s="37"/>
      <c r="V186" s="37"/>
      <c r="X186" s="31"/>
      <c r="Y186" s="31"/>
      <c r="Z186" s="165"/>
      <c r="AA186" s="162"/>
      <c r="AB186" s="37"/>
      <c r="AD186" s="163"/>
      <c r="AE186" s="163"/>
      <c r="AG186" s="163"/>
      <c r="AX186" s="2"/>
      <c r="BG186" s="2"/>
    </row>
    <row r="187" spans="7:59">
      <c r="G187" s="2"/>
      <c r="K187" s="2"/>
      <c r="P187" s="37"/>
      <c r="Q187" s="37"/>
      <c r="R187" s="37"/>
      <c r="T187" s="37"/>
      <c r="U187" s="37"/>
      <c r="V187" s="37"/>
      <c r="X187" s="31"/>
      <c r="Y187" s="31"/>
      <c r="Z187" s="165"/>
      <c r="AA187" s="162"/>
      <c r="AB187" s="37"/>
      <c r="AD187" s="163"/>
      <c r="AE187" s="163"/>
      <c r="AG187" s="163"/>
      <c r="AX187" s="2"/>
      <c r="BG187" s="2"/>
    </row>
    <row r="188" spans="7:59">
      <c r="G188" s="2"/>
      <c r="K188" s="2"/>
      <c r="P188" s="37"/>
      <c r="Q188" s="37"/>
      <c r="R188" s="37"/>
      <c r="T188" s="37"/>
      <c r="U188" s="37"/>
      <c r="V188" s="37"/>
      <c r="X188" s="31"/>
      <c r="Y188" s="31"/>
      <c r="Z188" s="165"/>
      <c r="AA188" s="162"/>
      <c r="AB188" s="37"/>
      <c r="AD188" s="163"/>
      <c r="AE188" s="163"/>
      <c r="AG188" s="163"/>
      <c r="AX188" s="2"/>
      <c r="BG188" s="2"/>
    </row>
    <row r="189" spans="7:59">
      <c r="G189" s="2"/>
      <c r="K189" s="2"/>
      <c r="P189" s="37"/>
      <c r="Q189" s="37"/>
      <c r="R189" s="37"/>
      <c r="T189" s="37"/>
      <c r="U189" s="37"/>
      <c r="V189" s="37"/>
      <c r="X189" s="31"/>
      <c r="Y189" s="31"/>
      <c r="Z189" s="165"/>
      <c r="AA189" s="162"/>
      <c r="AB189" s="37"/>
      <c r="AD189" s="163"/>
      <c r="AE189" s="163"/>
      <c r="AG189" s="163"/>
      <c r="AX189" s="2"/>
      <c r="BG189" s="2"/>
    </row>
    <row r="190" spans="7:59">
      <c r="G190" s="2"/>
      <c r="K190" s="2"/>
      <c r="P190" s="37"/>
      <c r="Q190" s="37"/>
      <c r="R190" s="37"/>
      <c r="T190" s="37"/>
      <c r="U190" s="37"/>
      <c r="V190" s="37"/>
      <c r="X190" s="31"/>
      <c r="Y190" s="31"/>
      <c r="Z190" s="165"/>
      <c r="AA190" s="162"/>
      <c r="AB190" s="37"/>
      <c r="AD190" s="163"/>
      <c r="AE190" s="163"/>
      <c r="AG190" s="163"/>
    </row>
    <row r="191" spans="7:59">
      <c r="G191" s="2"/>
      <c r="K191" s="2"/>
      <c r="P191" s="37"/>
      <c r="Q191" s="37"/>
      <c r="R191" s="37"/>
      <c r="T191" s="37"/>
      <c r="U191" s="37"/>
      <c r="V191" s="37"/>
      <c r="X191" s="31"/>
      <c r="Y191" s="31"/>
      <c r="Z191" s="165"/>
      <c r="AA191" s="162"/>
      <c r="AB191" s="37"/>
      <c r="AD191" s="163"/>
      <c r="AE191" s="163"/>
      <c r="AG191" s="163"/>
    </row>
    <row r="192" spans="7:59">
      <c r="G192" s="2"/>
      <c r="K192" s="2"/>
      <c r="P192" s="37"/>
      <c r="Q192" s="37"/>
      <c r="R192" s="37"/>
      <c r="T192" s="37"/>
      <c r="U192" s="37"/>
      <c r="V192" s="37"/>
      <c r="X192" s="31"/>
      <c r="Y192" s="31"/>
      <c r="Z192" s="165"/>
      <c r="AA192" s="162"/>
      <c r="AB192" s="37"/>
      <c r="AD192" s="163"/>
      <c r="AE192" s="163"/>
      <c r="AG192" s="163"/>
    </row>
    <row r="193" spans="7:33">
      <c r="G193" s="2"/>
      <c r="K193" s="2"/>
      <c r="P193" s="37"/>
      <c r="Q193" s="37"/>
      <c r="R193" s="37"/>
      <c r="T193" s="37"/>
      <c r="U193" s="37"/>
      <c r="V193" s="37"/>
      <c r="X193" s="31"/>
      <c r="Y193" s="31"/>
      <c r="Z193" s="165"/>
      <c r="AA193" s="162"/>
      <c r="AB193" s="37"/>
      <c r="AD193" s="163"/>
      <c r="AE193" s="163"/>
      <c r="AG193" s="163"/>
    </row>
    <row r="194" spans="7:33">
      <c r="G194" s="2"/>
      <c r="K194" s="2"/>
      <c r="P194" s="37"/>
      <c r="Q194" s="37"/>
      <c r="R194" s="37"/>
      <c r="T194" s="37"/>
      <c r="U194" s="37"/>
      <c r="V194" s="37"/>
      <c r="X194" s="31"/>
      <c r="Y194" s="31"/>
      <c r="Z194" s="165"/>
      <c r="AA194" s="162"/>
      <c r="AB194" s="37"/>
      <c r="AD194" s="163"/>
      <c r="AE194" s="163"/>
      <c r="AG194" s="163"/>
    </row>
    <row r="195" spans="7:33">
      <c r="G195" s="2"/>
      <c r="K195" s="2"/>
      <c r="P195" s="37"/>
      <c r="Q195" s="37"/>
      <c r="R195" s="37"/>
      <c r="T195" s="37"/>
      <c r="U195" s="37"/>
      <c r="V195" s="37"/>
      <c r="X195" s="31"/>
      <c r="Y195" s="31"/>
      <c r="Z195" s="165"/>
      <c r="AA195" s="162"/>
      <c r="AB195" s="37"/>
      <c r="AD195" s="163"/>
      <c r="AE195" s="163"/>
      <c r="AG195" s="163"/>
    </row>
    <row r="196" spans="7:33">
      <c r="G196" s="2"/>
      <c r="K196" s="2"/>
      <c r="P196" s="37"/>
      <c r="Q196" s="37"/>
      <c r="R196" s="37"/>
      <c r="T196" s="37"/>
      <c r="U196" s="37"/>
      <c r="V196" s="37"/>
      <c r="X196" s="31"/>
      <c r="Y196" s="31"/>
      <c r="Z196" s="165"/>
      <c r="AA196" s="162"/>
      <c r="AB196" s="37"/>
      <c r="AD196" s="163"/>
      <c r="AE196" s="163"/>
      <c r="AG196" s="163"/>
    </row>
    <row r="197" spans="7:33">
      <c r="G197" s="2"/>
      <c r="K197" s="2"/>
      <c r="P197" s="37"/>
      <c r="Q197" s="37"/>
      <c r="R197" s="37"/>
      <c r="T197" s="37"/>
      <c r="U197" s="37"/>
      <c r="V197" s="37"/>
      <c r="X197" s="31"/>
      <c r="Y197" s="31"/>
      <c r="Z197" s="165"/>
      <c r="AA197" s="162"/>
      <c r="AB197" s="37"/>
      <c r="AD197" s="163"/>
      <c r="AE197" s="163"/>
      <c r="AG197" s="163"/>
    </row>
    <row r="198" spans="7:33">
      <c r="G198" s="2"/>
      <c r="K198" s="2"/>
      <c r="P198" s="37"/>
      <c r="Q198" s="37"/>
      <c r="R198" s="37"/>
      <c r="T198" s="37"/>
      <c r="U198" s="37"/>
      <c r="V198" s="37"/>
      <c r="X198" s="31"/>
      <c r="Y198" s="31"/>
      <c r="Z198" s="165"/>
      <c r="AA198" s="162"/>
      <c r="AB198" s="37"/>
      <c r="AD198" s="163"/>
      <c r="AE198" s="163"/>
      <c r="AG198" s="163"/>
    </row>
    <row r="199" spans="7:33">
      <c r="G199" s="2"/>
      <c r="K199" s="2"/>
      <c r="P199" s="37"/>
      <c r="Q199" s="37"/>
      <c r="R199" s="37"/>
      <c r="T199" s="37"/>
      <c r="U199" s="37"/>
      <c r="V199" s="37"/>
      <c r="X199" s="31"/>
      <c r="Y199" s="31"/>
      <c r="Z199" s="165"/>
      <c r="AA199" s="162"/>
      <c r="AB199" s="37"/>
      <c r="AD199" s="163"/>
      <c r="AE199" s="163"/>
      <c r="AG199" s="163"/>
    </row>
    <row r="200" spans="7:33">
      <c r="G200" s="2"/>
      <c r="K200" s="2"/>
      <c r="P200" s="37"/>
      <c r="Q200" s="37"/>
      <c r="R200" s="37"/>
      <c r="T200" s="37"/>
      <c r="U200" s="37"/>
      <c r="V200" s="37"/>
      <c r="X200" s="31"/>
      <c r="Y200" s="31"/>
      <c r="Z200" s="165"/>
      <c r="AA200" s="162"/>
      <c r="AB200" s="37"/>
      <c r="AD200" s="163"/>
      <c r="AE200" s="163"/>
      <c r="AG200" s="163"/>
    </row>
    <row r="201" spans="7:33">
      <c r="G201" s="2"/>
      <c r="K201" s="2"/>
      <c r="P201" s="37"/>
      <c r="Q201" s="37"/>
      <c r="R201" s="37"/>
      <c r="T201" s="37"/>
      <c r="U201" s="37"/>
      <c r="V201" s="37"/>
      <c r="X201" s="31"/>
      <c r="Y201" s="31"/>
      <c r="Z201" s="165"/>
      <c r="AA201" s="162"/>
      <c r="AB201" s="37"/>
      <c r="AD201" s="163"/>
      <c r="AE201" s="163"/>
      <c r="AG201" s="163"/>
    </row>
    <row r="202" spans="7:33">
      <c r="G202" s="2"/>
      <c r="K202" s="2"/>
      <c r="P202" s="37"/>
      <c r="Q202" s="37"/>
      <c r="R202" s="37"/>
      <c r="T202" s="37"/>
      <c r="U202" s="37"/>
      <c r="V202" s="37"/>
      <c r="X202" s="31"/>
      <c r="Y202" s="31"/>
      <c r="Z202" s="165"/>
      <c r="AA202" s="162"/>
      <c r="AB202" s="37"/>
      <c r="AD202" s="163"/>
      <c r="AE202" s="163"/>
      <c r="AG202" s="163"/>
    </row>
    <row r="203" spans="7:33">
      <c r="G203" s="2"/>
      <c r="K203" s="2"/>
      <c r="P203" s="37"/>
      <c r="Q203" s="37"/>
      <c r="R203" s="37"/>
      <c r="T203" s="37"/>
      <c r="U203" s="37"/>
      <c r="V203" s="37"/>
      <c r="X203" s="31"/>
      <c r="Y203" s="31"/>
      <c r="Z203" s="165"/>
      <c r="AA203" s="162"/>
      <c r="AB203" s="37"/>
      <c r="AD203" s="163"/>
      <c r="AE203" s="163"/>
      <c r="AG203" s="163"/>
    </row>
    <row r="204" spans="7:33">
      <c r="G204" s="2"/>
      <c r="K204" s="2"/>
      <c r="P204" s="37"/>
      <c r="Q204" s="37"/>
      <c r="R204" s="37"/>
      <c r="T204" s="37"/>
      <c r="U204" s="37"/>
      <c r="V204" s="37"/>
      <c r="X204" s="31"/>
      <c r="Y204" s="31"/>
      <c r="Z204" s="165"/>
      <c r="AA204" s="162"/>
      <c r="AB204" s="37"/>
      <c r="AD204" s="163"/>
      <c r="AE204" s="163"/>
      <c r="AG204" s="163"/>
    </row>
    <row r="205" spans="7:33">
      <c r="G205" s="2"/>
      <c r="K205" s="2"/>
      <c r="P205" s="37"/>
      <c r="Q205" s="37"/>
      <c r="R205" s="37"/>
      <c r="T205" s="37"/>
      <c r="U205" s="37"/>
      <c r="V205" s="37"/>
      <c r="X205" s="31"/>
      <c r="Y205" s="31"/>
      <c r="Z205" s="165"/>
      <c r="AA205" s="162"/>
      <c r="AB205" s="37"/>
      <c r="AD205" s="163"/>
      <c r="AE205" s="163"/>
      <c r="AG205" s="163"/>
    </row>
    <row r="206" spans="7:33">
      <c r="G206" s="2"/>
      <c r="K206" s="2"/>
      <c r="P206" s="37"/>
      <c r="Q206" s="37"/>
      <c r="R206" s="37"/>
      <c r="T206" s="37"/>
      <c r="U206" s="37"/>
      <c r="V206" s="37"/>
      <c r="X206" s="31"/>
      <c r="Y206" s="31"/>
      <c r="Z206" s="165"/>
      <c r="AA206" s="162"/>
      <c r="AB206" s="37"/>
      <c r="AD206" s="163"/>
      <c r="AE206" s="163"/>
      <c r="AG206" s="163"/>
    </row>
    <row r="207" spans="7:33">
      <c r="G207" s="2"/>
      <c r="K207" s="2"/>
      <c r="P207" s="37"/>
      <c r="Q207" s="37"/>
      <c r="R207" s="37"/>
      <c r="T207" s="37"/>
      <c r="U207" s="37"/>
      <c r="V207" s="37"/>
      <c r="X207" s="31"/>
      <c r="Y207" s="31"/>
      <c r="Z207" s="165"/>
      <c r="AA207" s="162"/>
      <c r="AB207" s="37"/>
      <c r="AD207" s="163"/>
      <c r="AE207" s="163"/>
      <c r="AG207" s="163"/>
    </row>
    <row r="208" spans="7:33">
      <c r="G208" s="2"/>
      <c r="K208" s="2"/>
      <c r="P208" s="37"/>
      <c r="Q208" s="37"/>
      <c r="R208" s="37"/>
      <c r="T208" s="37"/>
      <c r="U208" s="37"/>
      <c r="V208" s="37"/>
      <c r="X208" s="31"/>
      <c r="Y208" s="31"/>
      <c r="Z208" s="165"/>
      <c r="AA208" s="162"/>
      <c r="AB208" s="37"/>
      <c r="AD208" s="163"/>
      <c r="AE208" s="163"/>
      <c r="AG208" s="163"/>
    </row>
    <row r="209" spans="7:33">
      <c r="G209" s="2"/>
      <c r="K209" s="2"/>
      <c r="P209" s="37"/>
      <c r="Q209" s="37"/>
      <c r="R209" s="37"/>
      <c r="T209" s="37"/>
      <c r="U209" s="37"/>
      <c r="V209" s="37"/>
      <c r="X209" s="31"/>
      <c r="Y209" s="31"/>
      <c r="Z209" s="165"/>
      <c r="AA209" s="162"/>
      <c r="AB209" s="37"/>
      <c r="AD209" s="163"/>
      <c r="AE209" s="163"/>
      <c r="AG209" s="163"/>
    </row>
    <row r="210" spans="7:33">
      <c r="G210" s="2"/>
      <c r="K210" s="2"/>
      <c r="P210" s="37"/>
      <c r="Q210" s="37"/>
      <c r="R210" s="37"/>
      <c r="T210" s="37"/>
      <c r="U210" s="37"/>
      <c r="V210" s="37"/>
      <c r="X210" s="31"/>
      <c r="Y210" s="31"/>
      <c r="Z210" s="165"/>
      <c r="AA210" s="162"/>
      <c r="AB210" s="37"/>
      <c r="AD210" s="163"/>
      <c r="AE210" s="163"/>
      <c r="AG210" s="163"/>
    </row>
    <row r="211" spans="7:33">
      <c r="G211" s="2"/>
      <c r="K211" s="2"/>
      <c r="P211" s="37"/>
      <c r="Q211" s="37"/>
      <c r="R211" s="37"/>
      <c r="T211" s="37"/>
      <c r="U211" s="37"/>
      <c r="V211" s="37"/>
      <c r="X211" s="31"/>
      <c r="Y211" s="31"/>
      <c r="Z211" s="165"/>
      <c r="AA211" s="162"/>
      <c r="AB211" s="37"/>
      <c r="AD211" s="163"/>
      <c r="AE211" s="163"/>
      <c r="AG211" s="163"/>
    </row>
    <row r="212" spans="7:33">
      <c r="G212" s="2"/>
      <c r="K212" s="2"/>
      <c r="P212" s="37"/>
      <c r="Q212" s="37"/>
      <c r="R212" s="37"/>
      <c r="T212" s="37"/>
      <c r="U212" s="37"/>
      <c r="V212" s="37"/>
      <c r="X212" s="31"/>
      <c r="Y212" s="31"/>
      <c r="Z212" s="165"/>
      <c r="AA212" s="162"/>
      <c r="AB212" s="37"/>
      <c r="AD212" s="163"/>
      <c r="AE212" s="163"/>
      <c r="AG212" s="163"/>
    </row>
    <row r="213" spans="7:33">
      <c r="G213" s="2"/>
      <c r="K213" s="2"/>
      <c r="P213" s="37"/>
      <c r="Q213" s="37"/>
      <c r="R213" s="37"/>
      <c r="T213" s="37"/>
      <c r="U213" s="37"/>
      <c r="V213" s="37"/>
      <c r="X213" s="31"/>
      <c r="Y213" s="31"/>
      <c r="Z213" s="165"/>
      <c r="AA213" s="162"/>
      <c r="AB213" s="37"/>
      <c r="AD213" s="163"/>
      <c r="AE213" s="163"/>
      <c r="AG213" s="163"/>
    </row>
    <row r="214" spans="7:33">
      <c r="G214" s="2"/>
      <c r="K214" s="2"/>
      <c r="P214" s="37"/>
      <c r="Q214" s="37"/>
      <c r="R214" s="37"/>
      <c r="T214" s="37"/>
      <c r="U214" s="37"/>
      <c r="V214" s="37"/>
      <c r="X214" s="31"/>
      <c r="Y214" s="31"/>
      <c r="Z214" s="165"/>
      <c r="AA214" s="162"/>
      <c r="AB214" s="37"/>
      <c r="AD214" s="163"/>
      <c r="AE214" s="163"/>
      <c r="AG214" s="163"/>
    </row>
    <row r="215" spans="7:33">
      <c r="G215" s="2"/>
      <c r="K215" s="2"/>
      <c r="P215" s="37"/>
      <c r="Q215" s="37"/>
      <c r="R215" s="37"/>
      <c r="T215" s="37"/>
      <c r="U215" s="37"/>
      <c r="V215" s="37"/>
      <c r="X215" s="31"/>
      <c r="Y215" s="31"/>
      <c r="Z215" s="165"/>
      <c r="AA215" s="162"/>
      <c r="AB215" s="37"/>
      <c r="AD215" s="163"/>
      <c r="AE215" s="163"/>
      <c r="AG215" s="163"/>
    </row>
    <row r="216" spans="7:33">
      <c r="G216" s="2"/>
      <c r="K216" s="2"/>
      <c r="P216" s="37"/>
      <c r="Q216" s="37"/>
      <c r="R216" s="37"/>
      <c r="T216" s="37"/>
      <c r="U216" s="37"/>
      <c r="V216" s="37"/>
      <c r="X216" s="31"/>
      <c r="Y216" s="31"/>
      <c r="Z216" s="165"/>
      <c r="AA216" s="162"/>
      <c r="AB216" s="37"/>
      <c r="AD216" s="163"/>
      <c r="AE216" s="163"/>
      <c r="AG216" s="163"/>
    </row>
    <row r="217" spans="7:33">
      <c r="G217" s="2"/>
      <c r="K217" s="2"/>
      <c r="P217" s="37"/>
      <c r="Q217" s="37"/>
      <c r="R217" s="37"/>
      <c r="T217" s="37"/>
      <c r="U217" s="37"/>
      <c r="V217" s="37"/>
      <c r="X217" s="31"/>
      <c r="Y217" s="31"/>
      <c r="Z217" s="165"/>
      <c r="AA217" s="162"/>
      <c r="AB217" s="37"/>
      <c r="AD217" s="163"/>
      <c r="AE217" s="163"/>
      <c r="AG217" s="163"/>
    </row>
    <row r="218" spans="7:33">
      <c r="G218" s="2"/>
      <c r="K218" s="2"/>
      <c r="P218" s="37"/>
      <c r="Q218" s="37"/>
      <c r="R218" s="37"/>
      <c r="T218" s="37"/>
      <c r="U218" s="37"/>
      <c r="V218" s="37"/>
      <c r="X218" s="31"/>
      <c r="Y218" s="31"/>
      <c r="Z218" s="165"/>
      <c r="AA218" s="162"/>
      <c r="AB218" s="37"/>
      <c r="AD218" s="163"/>
      <c r="AE218" s="163"/>
      <c r="AG218" s="163"/>
    </row>
    <row r="219" spans="7:33">
      <c r="G219" s="2"/>
      <c r="K219" s="2"/>
      <c r="P219" s="37"/>
      <c r="Q219" s="37"/>
      <c r="R219" s="37"/>
      <c r="T219" s="37"/>
      <c r="U219" s="37"/>
      <c r="V219" s="37"/>
      <c r="X219" s="31"/>
      <c r="Y219" s="31"/>
      <c r="Z219" s="165"/>
      <c r="AA219" s="162"/>
      <c r="AB219" s="37"/>
      <c r="AD219" s="163"/>
      <c r="AE219" s="163"/>
      <c r="AG219" s="163"/>
    </row>
    <row r="220" spans="7:33">
      <c r="G220" s="2"/>
      <c r="K220" s="2"/>
      <c r="P220" s="37"/>
      <c r="Q220" s="37"/>
      <c r="R220" s="37"/>
      <c r="T220" s="37"/>
      <c r="U220" s="37"/>
      <c r="V220" s="37"/>
      <c r="X220" s="31"/>
      <c r="Y220" s="31"/>
      <c r="Z220" s="165"/>
      <c r="AA220" s="162"/>
      <c r="AB220" s="37"/>
      <c r="AD220" s="163"/>
      <c r="AE220" s="163"/>
      <c r="AG220" s="163"/>
    </row>
    <row r="221" spans="7:33">
      <c r="G221" s="2"/>
      <c r="K221" s="2"/>
      <c r="P221" s="37"/>
      <c r="Q221" s="37"/>
      <c r="R221" s="37"/>
      <c r="T221" s="37"/>
      <c r="U221" s="37"/>
      <c r="V221" s="37"/>
      <c r="X221" s="31"/>
      <c r="Y221" s="31"/>
      <c r="Z221" s="165"/>
      <c r="AA221" s="162"/>
      <c r="AB221" s="37"/>
      <c r="AD221" s="163"/>
      <c r="AE221" s="163"/>
      <c r="AG221" s="163"/>
    </row>
    <row r="222" spans="7:33">
      <c r="G222" s="2"/>
      <c r="K222" s="2"/>
      <c r="P222" s="37"/>
      <c r="Q222" s="37"/>
      <c r="R222" s="37"/>
      <c r="T222" s="37"/>
      <c r="U222" s="37"/>
      <c r="V222" s="37"/>
      <c r="X222" s="31"/>
      <c r="Y222" s="31"/>
      <c r="Z222" s="165"/>
      <c r="AA222" s="162"/>
      <c r="AB222" s="37"/>
      <c r="AD222" s="163"/>
      <c r="AE222" s="163"/>
      <c r="AG222" s="163"/>
    </row>
    <row r="223" spans="7:33">
      <c r="G223" s="2"/>
      <c r="K223" s="2"/>
      <c r="P223" s="37"/>
      <c r="Q223" s="37"/>
      <c r="R223" s="37"/>
      <c r="T223" s="37"/>
      <c r="U223" s="37"/>
      <c r="V223" s="37"/>
      <c r="X223" s="31"/>
      <c r="Y223" s="31"/>
      <c r="Z223" s="165"/>
      <c r="AA223" s="162"/>
      <c r="AB223" s="37"/>
      <c r="AD223" s="163"/>
      <c r="AE223" s="163"/>
      <c r="AG223" s="163"/>
    </row>
    <row r="224" spans="7:33">
      <c r="G224" s="2"/>
      <c r="K224" s="2"/>
      <c r="P224" s="37"/>
      <c r="Q224" s="37"/>
      <c r="R224" s="37"/>
      <c r="T224" s="37"/>
      <c r="U224" s="37"/>
      <c r="V224" s="37"/>
      <c r="X224" s="31"/>
      <c r="Y224" s="31"/>
      <c r="Z224" s="165"/>
      <c r="AA224" s="162"/>
      <c r="AB224" s="37"/>
      <c r="AD224" s="163"/>
      <c r="AE224" s="163"/>
      <c r="AG224" s="163"/>
    </row>
    <row r="225" spans="7:33">
      <c r="G225" s="2"/>
      <c r="K225" s="2"/>
      <c r="P225" s="37"/>
      <c r="Q225" s="37"/>
      <c r="R225" s="37"/>
      <c r="T225" s="37"/>
      <c r="U225" s="37"/>
      <c r="V225" s="37"/>
      <c r="X225" s="31"/>
      <c r="Y225" s="31"/>
      <c r="Z225" s="165"/>
      <c r="AA225" s="162"/>
      <c r="AB225" s="37"/>
      <c r="AD225" s="163"/>
      <c r="AE225" s="163"/>
      <c r="AG225" s="163"/>
    </row>
    <row r="226" spans="7:33">
      <c r="G226" s="2"/>
      <c r="K226" s="2"/>
      <c r="P226" s="37"/>
      <c r="Q226" s="37"/>
      <c r="R226" s="37"/>
      <c r="T226" s="37"/>
      <c r="U226" s="37"/>
      <c r="V226" s="37"/>
      <c r="X226" s="31"/>
      <c r="Y226" s="31"/>
      <c r="Z226" s="165"/>
      <c r="AA226" s="162"/>
      <c r="AB226" s="37"/>
      <c r="AD226" s="163"/>
      <c r="AE226" s="163"/>
      <c r="AG226" s="163"/>
    </row>
    <row r="227" spans="7:33">
      <c r="G227" s="2"/>
      <c r="K227" s="2"/>
      <c r="P227" s="37"/>
      <c r="Q227" s="37"/>
      <c r="R227" s="37"/>
      <c r="T227" s="37"/>
      <c r="U227" s="37"/>
      <c r="V227" s="37"/>
      <c r="X227" s="31"/>
      <c r="Y227" s="31"/>
      <c r="Z227" s="165"/>
      <c r="AA227" s="162"/>
      <c r="AB227" s="37"/>
      <c r="AD227" s="163"/>
      <c r="AE227" s="163"/>
      <c r="AG227" s="163"/>
    </row>
    <row r="228" spans="7:33">
      <c r="G228" s="2"/>
      <c r="K228" s="2"/>
      <c r="P228" s="37"/>
      <c r="Q228" s="37"/>
      <c r="R228" s="37"/>
      <c r="T228" s="37"/>
      <c r="U228" s="37"/>
      <c r="V228" s="37"/>
      <c r="X228" s="31"/>
      <c r="Y228" s="31"/>
      <c r="Z228" s="165"/>
      <c r="AA228" s="162"/>
      <c r="AB228" s="37"/>
      <c r="AD228" s="163"/>
      <c r="AE228" s="163"/>
      <c r="AG228" s="163"/>
    </row>
    <row r="229" spans="7:33">
      <c r="G229" s="2"/>
      <c r="K229" s="2"/>
      <c r="P229" s="37"/>
      <c r="Q229" s="37"/>
      <c r="R229" s="37"/>
      <c r="T229" s="37"/>
      <c r="U229" s="37"/>
      <c r="V229" s="37"/>
      <c r="X229" s="31"/>
      <c r="Y229" s="31"/>
      <c r="Z229" s="165"/>
      <c r="AA229" s="162"/>
      <c r="AB229" s="37"/>
      <c r="AD229" s="163"/>
      <c r="AE229" s="163"/>
      <c r="AG229" s="163"/>
    </row>
    <row r="230" spans="7:33">
      <c r="G230" s="2"/>
      <c r="K230" s="2"/>
      <c r="P230" s="37"/>
      <c r="Q230" s="37"/>
      <c r="R230" s="37"/>
      <c r="T230" s="37"/>
      <c r="U230" s="37"/>
      <c r="V230" s="37"/>
      <c r="X230" s="31"/>
      <c r="Y230" s="31"/>
      <c r="Z230" s="165"/>
      <c r="AA230" s="162"/>
      <c r="AB230" s="37"/>
      <c r="AD230" s="163"/>
      <c r="AE230" s="163"/>
      <c r="AG230" s="163"/>
    </row>
    <row r="231" spans="7:33">
      <c r="G231" s="2"/>
      <c r="K231" s="2"/>
      <c r="P231" s="37"/>
      <c r="Q231" s="37"/>
      <c r="R231" s="37"/>
      <c r="T231" s="37"/>
      <c r="U231" s="37"/>
      <c r="V231" s="37"/>
      <c r="X231" s="31"/>
      <c r="Y231" s="31"/>
      <c r="Z231" s="165"/>
      <c r="AA231" s="162"/>
      <c r="AB231" s="37"/>
      <c r="AD231" s="163"/>
      <c r="AE231" s="163"/>
      <c r="AG231" s="163"/>
    </row>
    <row r="232" spans="7:33">
      <c r="G232" s="2"/>
      <c r="K232" s="2"/>
      <c r="P232" s="37"/>
      <c r="Q232" s="37"/>
      <c r="R232" s="37"/>
      <c r="T232" s="37"/>
      <c r="U232" s="37"/>
      <c r="V232" s="37"/>
      <c r="X232" s="31"/>
      <c r="Y232" s="31"/>
      <c r="Z232" s="165"/>
      <c r="AA232" s="162"/>
      <c r="AB232" s="37"/>
      <c r="AD232" s="163"/>
      <c r="AE232" s="163"/>
      <c r="AG232" s="163"/>
    </row>
    <row r="233" spans="7:33">
      <c r="G233" s="2"/>
      <c r="K233" s="2"/>
      <c r="P233" s="37"/>
      <c r="Q233" s="37"/>
      <c r="R233" s="37"/>
      <c r="T233" s="37"/>
      <c r="U233" s="37"/>
      <c r="V233" s="37"/>
      <c r="X233" s="31"/>
      <c r="Y233" s="31"/>
      <c r="Z233" s="165"/>
      <c r="AA233" s="162"/>
      <c r="AB233" s="37"/>
      <c r="AD233" s="163"/>
      <c r="AE233" s="163"/>
      <c r="AG233" s="163"/>
    </row>
    <row r="234" spans="7:33">
      <c r="G234" s="2"/>
      <c r="K234" s="2"/>
      <c r="P234" s="37"/>
      <c r="Q234" s="37"/>
      <c r="R234" s="37"/>
      <c r="T234" s="37"/>
      <c r="U234" s="37"/>
      <c r="V234" s="37"/>
      <c r="X234" s="31"/>
      <c r="Y234" s="31"/>
      <c r="Z234" s="165"/>
      <c r="AA234" s="162"/>
      <c r="AB234" s="37"/>
      <c r="AD234" s="163"/>
      <c r="AE234" s="163"/>
      <c r="AG234" s="163"/>
    </row>
  </sheetData>
  <mergeCells count="2">
    <mergeCell ref="AZ8:BE8"/>
    <mergeCell ref="BF8:BG8"/>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sheetPr codeName="Sheet12"/>
  <dimension ref="A1:AQ250"/>
  <sheetViews>
    <sheetView topLeftCell="A16" zoomScale="70" zoomScaleNormal="70" workbookViewId="0">
      <pane xSplit="3" topLeftCell="D1" activePane="topRight" state="frozen"/>
      <selection pane="topRight" activeCell="I49" sqref="I49:I63"/>
    </sheetView>
  </sheetViews>
  <sheetFormatPr defaultRowHeight="12.75"/>
  <cols>
    <col min="1" max="1" width="23.85546875" style="1" customWidth="1"/>
    <col min="2" max="2" width="29.42578125" style="1" customWidth="1"/>
    <col min="3" max="3" width="31.28515625" style="1" customWidth="1"/>
    <col min="4" max="4" width="19.85546875" style="1" customWidth="1"/>
    <col min="5" max="6" width="12.42578125" style="1" customWidth="1"/>
    <col min="7" max="10" width="12" style="1" customWidth="1"/>
    <col min="11" max="11" width="11.5703125" style="1" customWidth="1"/>
    <col min="12" max="13" width="9.140625" style="1"/>
    <col min="14" max="14" width="10" style="1" bestFit="1" customWidth="1"/>
    <col min="15" max="40" width="9.140625" style="1"/>
    <col min="41" max="43" width="10.7109375" style="1" customWidth="1"/>
    <col min="44" max="16384" width="9.140625" style="1"/>
  </cols>
  <sheetData>
    <row r="1" spans="1:21">
      <c r="H1" s="2" t="s">
        <v>404</v>
      </c>
      <c r="I1" s="2" t="s">
        <v>404</v>
      </c>
      <c r="J1" s="2" t="s">
        <v>401</v>
      </c>
      <c r="K1" s="2" t="s">
        <v>401</v>
      </c>
    </row>
    <row r="2" spans="1:21" ht="13.5" thickBot="1">
      <c r="B2" s="2" t="s">
        <v>445</v>
      </c>
    </row>
    <row r="3" spans="1:21" ht="39" thickBot="1">
      <c r="C3" s="166"/>
      <c r="D3" s="166"/>
      <c r="E3" s="534" t="s">
        <v>446</v>
      </c>
      <c r="F3" s="535"/>
      <c r="G3" s="536"/>
      <c r="H3" s="537" t="s">
        <v>447</v>
      </c>
      <c r="I3" s="538"/>
      <c r="J3" s="537" t="s">
        <v>448</v>
      </c>
      <c r="K3" s="538"/>
      <c r="N3" s="158" t="s">
        <v>449</v>
      </c>
      <c r="R3" s="54" t="s">
        <v>450</v>
      </c>
    </row>
    <row r="4" spans="1:21" ht="61.5" customHeight="1" thickBot="1">
      <c r="C4" s="167" t="str">
        <f>B24</f>
        <v>Lamp Type</v>
      </c>
      <c r="D4" s="168" t="s">
        <v>419</v>
      </c>
      <c r="E4" s="169" t="str">
        <f>C25</f>
        <v>Moderate and High-use Interior</v>
      </c>
      <c r="F4" s="170" t="str">
        <f>C26</f>
        <v>Low-use Interior</v>
      </c>
      <c r="G4" s="171" t="str">
        <f>C27</f>
        <v>Exterior</v>
      </c>
      <c r="H4" s="172" t="s">
        <v>451</v>
      </c>
      <c r="I4" s="173" t="s">
        <v>452</v>
      </c>
      <c r="J4" s="172" t="s">
        <v>451</v>
      </c>
      <c r="K4" s="173" t="s">
        <v>452</v>
      </c>
    </row>
    <row r="5" spans="1:21">
      <c r="A5" s="174" t="s">
        <v>402</v>
      </c>
      <c r="B5" s="175" t="s">
        <v>403</v>
      </c>
      <c r="C5" s="530" t="str">
        <f>A5</f>
        <v>Decorative and Mini-Base</v>
      </c>
      <c r="D5" s="176" t="str">
        <f>B5</f>
        <v>250 to 664 lumens</v>
      </c>
      <c r="E5" s="177">
        <v>1386</v>
      </c>
      <c r="F5" s="178">
        <v>494</v>
      </c>
      <c r="G5" s="179">
        <v>70</v>
      </c>
      <c r="H5" s="177">
        <v>13</v>
      </c>
      <c r="I5" s="179">
        <v>4332</v>
      </c>
      <c r="J5" s="177">
        <v>74</v>
      </c>
      <c r="K5" s="179">
        <v>0</v>
      </c>
      <c r="N5" s="1" t="str">
        <f t="shared" ref="N5:P19" si="0">CONCATENATE("YES","Incandescent and Halogen",E$4,$A5,$B5)</f>
        <v>YESIncandescent and HalogenModerate and High-use InteriorDecorative and Mini-Base250 to 664 lumens</v>
      </c>
      <c r="O5" s="1" t="str">
        <f t="shared" si="0"/>
        <v>YESIncandescent and HalogenLow-use InteriorDecorative and Mini-Base250 to 664 lumens</v>
      </c>
      <c r="P5" s="1" t="str">
        <f t="shared" si="0"/>
        <v>YESIncandescent and HalogenExteriorDecorative and Mini-Base250 to 664 lumens</v>
      </c>
      <c r="R5" s="1" t="str">
        <f t="shared" ref="R5:U19" si="1">H$1&amp;$A5&amp;$B5</f>
        <v>Compact FluorescentDecorative and Mini-Base250 to 664 lumens</v>
      </c>
      <c r="S5" s="1" t="str">
        <f t="shared" si="1"/>
        <v>Compact FluorescentDecorative and Mini-Base250 to 664 lumens</v>
      </c>
      <c r="T5" s="1" t="str">
        <f t="shared" si="1"/>
        <v>LEDDecorative and Mini-Base250 to 664 lumens</v>
      </c>
      <c r="U5" s="1" t="str">
        <f t="shared" si="1"/>
        <v>LEDDecorative and Mini-Base250 to 664 lumens</v>
      </c>
    </row>
    <row r="6" spans="1:21">
      <c r="A6" s="174" t="s">
        <v>402</v>
      </c>
      <c r="B6" s="175" t="s">
        <v>406</v>
      </c>
      <c r="C6" s="531"/>
      <c r="D6" s="175" t="str">
        <f t="shared" ref="D6:D19" si="2">B6</f>
        <v>665 to 1439 lumens</v>
      </c>
      <c r="E6" s="180">
        <v>353</v>
      </c>
      <c r="F6" s="181">
        <v>179</v>
      </c>
      <c r="G6" s="182">
        <v>33</v>
      </c>
      <c r="H6" s="180">
        <v>1</v>
      </c>
      <c r="I6" s="182">
        <v>2572</v>
      </c>
      <c r="J6" s="180">
        <v>0</v>
      </c>
      <c r="K6" s="182">
        <v>0</v>
      </c>
      <c r="N6" s="1" t="str">
        <f t="shared" si="0"/>
        <v>YESIncandescent and HalogenModerate and High-use InteriorDecorative and Mini-Base665 to 1439 lumens</v>
      </c>
      <c r="O6" s="1" t="str">
        <f t="shared" si="0"/>
        <v>YESIncandescent and HalogenLow-use InteriorDecorative and Mini-Base665 to 1439 lumens</v>
      </c>
      <c r="P6" s="1" t="str">
        <f t="shared" si="0"/>
        <v>YESIncandescent and HalogenExteriorDecorative and Mini-Base665 to 1439 lumens</v>
      </c>
      <c r="R6" s="1" t="str">
        <f t="shared" si="1"/>
        <v>Compact FluorescentDecorative and Mini-Base665 to 1439 lumens</v>
      </c>
      <c r="S6" s="1" t="str">
        <f t="shared" si="1"/>
        <v>Compact FluorescentDecorative and Mini-Base665 to 1439 lumens</v>
      </c>
      <c r="T6" s="1" t="str">
        <f t="shared" si="1"/>
        <v>LEDDecorative and Mini-Base665 to 1439 lumens</v>
      </c>
      <c r="U6" s="1" t="str">
        <f t="shared" si="1"/>
        <v>LEDDecorative and Mini-Base665 to 1439 lumens</v>
      </c>
    </row>
    <row r="7" spans="1:21" ht="13.5" thickBot="1">
      <c r="A7" s="174" t="s">
        <v>402</v>
      </c>
      <c r="B7" s="175" t="s">
        <v>408</v>
      </c>
      <c r="C7" s="532"/>
      <c r="D7" s="183" t="str">
        <f t="shared" si="2"/>
        <v>1440 to 2600 lumens</v>
      </c>
      <c r="E7" s="184">
        <v>11</v>
      </c>
      <c r="F7" s="185">
        <v>5</v>
      </c>
      <c r="G7" s="186">
        <v>1</v>
      </c>
      <c r="H7" s="184">
        <v>0</v>
      </c>
      <c r="I7" s="186">
        <v>0</v>
      </c>
      <c r="J7" s="184">
        <v>0</v>
      </c>
      <c r="K7" s="186">
        <v>0</v>
      </c>
      <c r="N7" s="1" t="str">
        <f t="shared" si="0"/>
        <v>YESIncandescent and HalogenModerate and High-use InteriorDecorative and Mini-Base1440 to 2600 lumens</v>
      </c>
      <c r="O7" s="1" t="str">
        <f t="shared" si="0"/>
        <v>YESIncandescent and HalogenLow-use InteriorDecorative and Mini-Base1440 to 2600 lumens</v>
      </c>
      <c r="P7" s="1" t="str">
        <f t="shared" si="0"/>
        <v>YESIncandescent and HalogenExteriorDecorative and Mini-Base1440 to 2600 lumens</v>
      </c>
      <c r="R7" s="1" t="str">
        <f t="shared" si="1"/>
        <v>Compact FluorescentDecorative and Mini-Base1440 to 2600 lumens</v>
      </c>
      <c r="S7" s="1" t="str">
        <f t="shared" si="1"/>
        <v>Compact FluorescentDecorative and Mini-Base1440 to 2600 lumens</v>
      </c>
      <c r="T7" s="1" t="str">
        <f t="shared" si="1"/>
        <v>LEDDecorative and Mini-Base1440 to 2600 lumens</v>
      </c>
      <c r="U7" s="1" t="str">
        <f t="shared" si="1"/>
        <v>LEDDecorative and Mini-Base1440 to 2600 lumens</v>
      </c>
    </row>
    <row r="8" spans="1:21">
      <c r="A8" s="174" t="s">
        <v>405</v>
      </c>
      <c r="B8" s="175" t="str">
        <f>B5</f>
        <v>250 to 664 lumens</v>
      </c>
      <c r="C8" s="530" t="str">
        <f>A8</f>
        <v>General Purpose and Dimmable</v>
      </c>
      <c r="D8" s="176" t="str">
        <f t="shared" si="2"/>
        <v>250 to 664 lumens</v>
      </c>
      <c r="E8" s="177">
        <v>1738</v>
      </c>
      <c r="F8" s="178">
        <v>934</v>
      </c>
      <c r="G8" s="179">
        <v>100</v>
      </c>
      <c r="H8" s="177">
        <v>73</v>
      </c>
      <c r="I8" s="179">
        <v>8813</v>
      </c>
      <c r="J8" s="177">
        <v>64</v>
      </c>
      <c r="K8" s="179">
        <v>497</v>
      </c>
      <c r="N8" s="1" t="str">
        <f t="shared" si="0"/>
        <v>YESIncandescent and HalogenModerate and High-use InteriorGeneral Purpose and Dimmable250 to 664 lumens</v>
      </c>
      <c r="O8" s="1" t="str">
        <f t="shared" si="0"/>
        <v>YESIncandescent and HalogenLow-use InteriorGeneral Purpose and Dimmable250 to 664 lumens</v>
      </c>
      <c r="P8" s="1" t="str">
        <f t="shared" si="0"/>
        <v>YESIncandescent and HalogenExteriorGeneral Purpose and Dimmable250 to 664 lumens</v>
      </c>
      <c r="R8" s="1" t="str">
        <f t="shared" si="1"/>
        <v>Compact FluorescentGeneral Purpose and Dimmable250 to 664 lumens</v>
      </c>
      <c r="S8" s="1" t="str">
        <f t="shared" si="1"/>
        <v>Compact FluorescentGeneral Purpose and Dimmable250 to 664 lumens</v>
      </c>
      <c r="T8" s="1" t="str">
        <f t="shared" si="1"/>
        <v>LEDGeneral Purpose and Dimmable250 to 664 lumens</v>
      </c>
      <c r="U8" s="1" t="str">
        <f t="shared" si="1"/>
        <v>LEDGeneral Purpose and Dimmable250 to 664 lumens</v>
      </c>
    </row>
    <row r="9" spans="1:21">
      <c r="A9" s="174" t="s">
        <v>405</v>
      </c>
      <c r="B9" s="175" t="str">
        <f t="shared" ref="B9:B19" si="3">B6</f>
        <v>665 to 1439 lumens</v>
      </c>
      <c r="C9" s="531"/>
      <c r="D9" s="175" t="str">
        <f t="shared" si="2"/>
        <v>665 to 1439 lumens</v>
      </c>
      <c r="E9" s="180">
        <v>7807</v>
      </c>
      <c r="F9" s="181">
        <v>4623</v>
      </c>
      <c r="G9" s="182">
        <v>1025</v>
      </c>
      <c r="H9" s="180">
        <v>313</v>
      </c>
      <c r="I9" s="182">
        <v>42110</v>
      </c>
      <c r="J9" s="180">
        <v>178</v>
      </c>
      <c r="K9" s="182">
        <v>844</v>
      </c>
      <c r="N9" s="1" t="str">
        <f t="shared" si="0"/>
        <v>YESIncandescent and HalogenModerate and High-use InteriorGeneral Purpose and Dimmable665 to 1439 lumens</v>
      </c>
      <c r="O9" s="1" t="str">
        <f t="shared" si="0"/>
        <v>YESIncandescent and HalogenLow-use InteriorGeneral Purpose and Dimmable665 to 1439 lumens</v>
      </c>
      <c r="P9" s="1" t="str">
        <f t="shared" si="0"/>
        <v>YESIncandescent and HalogenExteriorGeneral Purpose and Dimmable665 to 1439 lumens</v>
      </c>
      <c r="R9" s="1" t="str">
        <f t="shared" si="1"/>
        <v>Compact FluorescentGeneral Purpose and Dimmable665 to 1439 lumens</v>
      </c>
      <c r="S9" s="1" t="str">
        <f t="shared" si="1"/>
        <v>Compact FluorescentGeneral Purpose and Dimmable665 to 1439 lumens</v>
      </c>
      <c r="T9" s="1" t="str">
        <f t="shared" si="1"/>
        <v>LEDGeneral Purpose and Dimmable665 to 1439 lumens</v>
      </c>
      <c r="U9" s="1" t="str">
        <f t="shared" si="1"/>
        <v>LEDGeneral Purpose and Dimmable665 to 1439 lumens</v>
      </c>
    </row>
    <row r="10" spans="1:21" ht="13.5" thickBot="1">
      <c r="A10" s="174" t="s">
        <v>405</v>
      </c>
      <c r="B10" s="175" t="str">
        <f t="shared" si="3"/>
        <v>1440 to 2600 lumens</v>
      </c>
      <c r="C10" s="532"/>
      <c r="D10" s="183" t="str">
        <f t="shared" si="2"/>
        <v>1440 to 2600 lumens</v>
      </c>
      <c r="E10" s="184">
        <v>1190</v>
      </c>
      <c r="F10" s="185">
        <v>485</v>
      </c>
      <c r="G10" s="186">
        <v>153</v>
      </c>
      <c r="H10" s="184">
        <v>144</v>
      </c>
      <c r="I10" s="186">
        <v>20038</v>
      </c>
      <c r="J10" s="184">
        <v>23</v>
      </c>
      <c r="K10" s="186">
        <v>0</v>
      </c>
      <c r="N10" s="1" t="str">
        <f t="shared" si="0"/>
        <v>YESIncandescent and HalogenModerate and High-use InteriorGeneral Purpose and Dimmable1440 to 2600 lumens</v>
      </c>
      <c r="O10" s="1" t="str">
        <f t="shared" si="0"/>
        <v>YESIncandescent and HalogenLow-use InteriorGeneral Purpose and Dimmable1440 to 2600 lumens</v>
      </c>
      <c r="P10" s="1" t="str">
        <f t="shared" si="0"/>
        <v>YESIncandescent and HalogenExteriorGeneral Purpose and Dimmable1440 to 2600 lumens</v>
      </c>
      <c r="R10" s="1" t="str">
        <f t="shared" si="1"/>
        <v>Compact FluorescentGeneral Purpose and Dimmable1440 to 2600 lumens</v>
      </c>
      <c r="S10" s="1" t="str">
        <f t="shared" si="1"/>
        <v>Compact FluorescentGeneral Purpose and Dimmable1440 to 2600 lumens</v>
      </c>
      <c r="T10" s="1" t="str">
        <f t="shared" si="1"/>
        <v>LEDGeneral Purpose and Dimmable1440 to 2600 lumens</v>
      </c>
      <c r="U10" s="1" t="str">
        <f t="shared" si="1"/>
        <v>LEDGeneral Purpose and Dimmable1440 to 2600 lumens</v>
      </c>
    </row>
    <row r="11" spans="1:21">
      <c r="A11" s="174" t="s">
        <v>407</v>
      </c>
      <c r="B11" s="175" t="str">
        <f t="shared" si="3"/>
        <v>250 to 664 lumens</v>
      </c>
      <c r="C11" s="533" t="str">
        <f>A11</f>
        <v>Globe</v>
      </c>
      <c r="D11" s="187" t="str">
        <f t="shared" si="2"/>
        <v>250 to 664 lumens</v>
      </c>
      <c r="E11" s="188">
        <v>163</v>
      </c>
      <c r="F11" s="189">
        <v>691</v>
      </c>
      <c r="G11" s="190">
        <v>9</v>
      </c>
      <c r="H11" s="188">
        <v>19</v>
      </c>
      <c r="I11" s="190">
        <v>8940</v>
      </c>
      <c r="J11" s="188">
        <v>69</v>
      </c>
      <c r="K11" s="190">
        <v>144</v>
      </c>
      <c r="N11" s="1" t="str">
        <f t="shared" si="0"/>
        <v>YESIncandescent and HalogenModerate and High-use InteriorGlobe250 to 664 lumens</v>
      </c>
      <c r="O11" s="1" t="str">
        <f t="shared" si="0"/>
        <v>YESIncandescent and HalogenLow-use InteriorGlobe250 to 664 lumens</v>
      </c>
      <c r="P11" s="1" t="str">
        <f t="shared" si="0"/>
        <v>YESIncandescent and HalogenExteriorGlobe250 to 664 lumens</v>
      </c>
      <c r="R11" s="1" t="str">
        <f t="shared" si="1"/>
        <v>Compact FluorescentGlobe250 to 664 lumens</v>
      </c>
      <c r="S11" s="1" t="str">
        <f t="shared" si="1"/>
        <v>Compact FluorescentGlobe250 to 664 lumens</v>
      </c>
      <c r="T11" s="1" t="str">
        <f t="shared" si="1"/>
        <v>LEDGlobe250 to 664 lumens</v>
      </c>
      <c r="U11" s="1" t="str">
        <f t="shared" si="1"/>
        <v>LEDGlobe250 to 664 lumens</v>
      </c>
    </row>
    <row r="12" spans="1:21">
      <c r="A12" s="174" t="s">
        <v>407</v>
      </c>
      <c r="B12" s="175" t="str">
        <f t="shared" si="3"/>
        <v>665 to 1439 lumens</v>
      </c>
      <c r="C12" s="531"/>
      <c r="D12" s="175" t="str">
        <f t="shared" si="2"/>
        <v>665 to 1439 lumens</v>
      </c>
      <c r="E12" s="180">
        <v>143</v>
      </c>
      <c r="F12" s="181">
        <v>405</v>
      </c>
      <c r="G12" s="182">
        <v>8</v>
      </c>
      <c r="H12" s="180">
        <v>13</v>
      </c>
      <c r="I12" s="182">
        <v>4959</v>
      </c>
      <c r="J12" s="180">
        <v>3</v>
      </c>
      <c r="K12" s="182">
        <v>0</v>
      </c>
      <c r="N12" s="1" t="str">
        <f t="shared" si="0"/>
        <v>YESIncandescent and HalogenModerate and High-use InteriorGlobe665 to 1439 lumens</v>
      </c>
      <c r="O12" s="1" t="str">
        <f t="shared" si="0"/>
        <v>YESIncandescent and HalogenLow-use InteriorGlobe665 to 1439 lumens</v>
      </c>
      <c r="P12" s="1" t="str">
        <f t="shared" si="0"/>
        <v>YESIncandescent and HalogenExteriorGlobe665 to 1439 lumens</v>
      </c>
      <c r="R12" s="1" t="str">
        <f t="shared" si="1"/>
        <v>Compact FluorescentGlobe665 to 1439 lumens</v>
      </c>
      <c r="S12" s="1" t="str">
        <f t="shared" si="1"/>
        <v>Compact FluorescentGlobe665 to 1439 lumens</v>
      </c>
      <c r="T12" s="1" t="str">
        <f t="shared" si="1"/>
        <v>LEDGlobe665 to 1439 lumens</v>
      </c>
      <c r="U12" s="1" t="str">
        <f t="shared" si="1"/>
        <v>LEDGlobe665 to 1439 lumens</v>
      </c>
    </row>
    <row r="13" spans="1:21" ht="13.5" thickBot="1">
      <c r="A13" s="174" t="s">
        <v>407</v>
      </c>
      <c r="B13" s="175" t="str">
        <f t="shared" si="3"/>
        <v>1440 to 2600 lumens</v>
      </c>
      <c r="C13" s="539"/>
      <c r="D13" s="191" t="str">
        <f t="shared" si="2"/>
        <v>1440 to 2600 lumens</v>
      </c>
      <c r="E13" s="192">
        <v>42</v>
      </c>
      <c r="F13" s="193">
        <v>17</v>
      </c>
      <c r="G13" s="194">
        <v>1</v>
      </c>
      <c r="H13" s="192">
        <v>0</v>
      </c>
      <c r="I13" s="194">
        <v>0</v>
      </c>
      <c r="J13" s="192">
        <v>0</v>
      </c>
      <c r="K13" s="194">
        <v>0</v>
      </c>
      <c r="N13" s="1" t="str">
        <f t="shared" si="0"/>
        <v>YESIncandescent and HalogenModerate and High-use InteriorGlobe1440 to 2600 lumens</v>
      </c>
      <c r="O13" s="1" t="str">
        <f t="shared" si="0"/>
        <v>YESIncandescent and HalogenLow-use InteriorGlobe1440 to 2600 lumens</v>
      </c>
      <c r="P13" s="1" t="str">
        <f t="shared" si="0"/>
        <v>YESIncandescent and HalogenExteriorGlobe1440 to 2600 lumens</v>
      </c>
      <c r="R13" s="1" t="str">
        <f t="shared" si="1"/>
        <v>Compact FluorescentGlobe1440 to 2600 lumens</v>
      </c>
      <c r="S13" s="1" t="str">
        <f t="shared" si="1"/>
        <v>Compact FluorescentGlobe1440 to 2600 lumens</v>
      </c>
      <c r="T13" s="1" t="str">
        <f t="shared" si="1"/>
        <v>LEDGlobe1440 to 2600 lumens</v>
      </c>
      <c r="U13" s="1" t="str">
        <f t="shared" si="1"/>
        <v>LEDGlobe1440 to 2600 lumens</v>
      </c>
    </row>
    <row r="14" spans="1:21">
      <c r="A14" s="174" t="s">
        <v>409</v>
      </c>
      <c r="B14" s="175" t="str">
        <f t="shared" si="3"/>
        <v>250 to 664 lumens</v>
      </c>
      <c r="C14" s="530" t="str">
        <f>A14</f>
        <v>Reflectors and Outdoor</v>
      </c>
      <c r="D14" s="176" t="str">
        <f t="shared" si="2"/>
        <v>250 to 664 lumens</v>
      </c>
      <c r="E14" s="177">
        <v>235</v>
      </c>
      <c r="F14" s="178">
        <v>93</v>
      </c>
      <c r="G14" s="179">
        <v>16</v>
      </c>
      <c r="H14" s="177">
        <v>25</v>
      </c>
      <c r="I14" s="179">
        <v>11910</v>
      </c>
      <c r="J14" s="177">
        <v>460</v>
      </c>
      <c r="K14" s="179">
        <v>767</v>
      </c>
      <c r="N14" s="1" t="str">
        <f t="shared" si="0"/>
        <v>YESIncandescent and HalogenModerate and High-use InteriorReflectors and Outdoor250 to 664 lumens</v>
      </c>
      <c r="O14" s="1" t="str">
        <f t="shared" si="0"/>
        <v>YESIncandescent and HalogenLow-use InteriorReflectors and Outdoor250 to 664 lumens</v>
      </c>
      <c r="P14" s="1" t="str">
        <f t="shared" si="0"/>
        <v>YESIncandescent and HalogenExteriorReflectors and Outdoor250 to 664 lumens</v>
      </c>
      <c r="R14" s="1" t="str">
        <f t="shared" si="1"/>
        <v>Compact FluorescentReflectors and Outdoor250 to 664 lumens</v>
      </c>
      <c r="S14" s="1" t="str">
        <f t="shared" si="1"/>
        <v>Compact FluorescentReflectors and Outdoor250 to 664 lumens</v>
      </c>
      <c r="T14" s="1" t="str">
        <f t="shared" si="1"/>
        <v>LEDReflectors and Outdoor250 to 664 lumens</v>
      </c>
      <c r="U14" s="1" t="str">
        <f t="shared" si="1"/>
        <v>LEDReflectors and Outdoor250 to 664 lumens</v>
      </c>
    </row>
    <row r="15" spans="1:21">
      <c r="A15" s="174" t="s">
        <v>409</v>
      </c>
      <c r="B15" s="175" t="str">
        <f t="shared" si="3"/>
        <v>665 to 1439 lumens</v>
      </c>
      <c r="C15" s="531"/>
      <c r="D15" s="175" t="str">
        <f t="shared" si="2"/>
        <v>665 to 1439 lumens</v>
      </c>
      <c r="E15" s="180">
        <v>1395</v>
      </c>
      <c r="F15" s="181">
        <v>873</v>
      </c>
      <c r="G15" s="182">
        <v>442</v>
      </c>
      <c r="H15" s="180">
        <v>60</v>
      </c>
      <c r="I15" s="182">
        <v>35018</v>
      </c>
      <c r="J15" s="180">
        <v>998</v>
      </c>
      <c r="K15" s="182">
        <v>2217</v>
      </c>
      <c r="N15" s="1" t="str">
        <f t="shared" si="0"/>
        <v>YESIncandescent and HalogenModerate and High-use InteriorReflectors and Outdoor665 to 1439 lumens</v>
      </c>
      <c r="O15" s="1" t="str">
        <f t="shared" si="0"/>
        <v>YESIncandescent and HalogenLow-use InteriorReflectors and Outdoor665 to 1439 lumens</v>
      </c>
      <c r="P15" s="1" t="str">
        <f t="shared" si="0"/>
        <v>YESIncandescent and HalogenExteriorReflectors and Outdoor665 to 1439 lumens</v>
      </c>
      <c r="R15" s="1" t="str">
        <f t="shared" si="1"/>
        <v>Compact FluorescentReflectors and Outdoor665 to 1439 lumens</v>
      </c>
      <c r="S15" s="1" t="str">
        <f t="shared" si="1"/>
        <v>Compact FluorescentReflectors and Outdoor665 to 1439 lumens</v>
      </c>
      <c r="T15" s="1" t="str">
        <f t="shared" si="1"/>
        <v>LEDReflectors and Outdoor665 to 1439 lumens</v>
      </c>
      <c r="U15" s="1" t="str">
        <f t="shared" si="1"/>
        <v>LEDReflectors and Outdoor665 to 1439 lumens</v>
      </c>
    </row>
    <row r="16" spans="1:21" ht="13.5" thickBot="1">
      <c r="A16" s="174" t="s">
        <v>409</v>
      </c>
      <c r="B16" s="175" t="str">
        <f t="shared" si="3"/>
        <v>1440 to 2600 lumens</v>
      </c>
      <c r="C16" s="532"/>
      <c r="D16" s="183" t="str">
        <f t="shared" si="2"/>
        <v>1440 to 2600 lumens</v>
      </c>
      <c r="E16" s="184">
        <v>42</v>
      </c>
      <c r="F16" s="185">
        <v>80</v>
      </c>
      <c r="G16" s="186">
        <v>205</v>
      </c>
      <c r="H16" s="184">
        <v>0</v>
      </c>
      <c r="I16" s="186">
        <v>10</v>
      </c>
      <c r="J16" s="184">
        <v>17</v>
      </c>
      <c r="K16" s="186">
        <v>0</v>
      </c>
      <c r="N16" s="1" t="str">
        <f t="shared" si="0"/>
        <v>YESIncandescent and HalogenModerate and High-use InteriorReflectors and Outdoor1440 to 2600 lumens</v>
      </c>
      <c r="O16" s="1" t="str">
        <f t="shared" si="0"/>
        <v>YESIncandescent and HalogenLow-use InteriorReflectors and Outdoor1440 to 2600 lumens</v>
      </c>
      <c r="P16" s="1" t="str">
        <f t="shared" si="0"/>
        <v>YESIncandescent and HalogenExteriorReflectors and Outdoor1440 to 2600 lumens</v>
      </c>
      <c r="R16" s="1" t="str">
        <f t="shared" si="1"/>
        <v>Compact FluorescentReflectors and Outdoor1440 to 2600 lumens</v>
      </c>
      <c r="S16" s="1" t="str">
        <f t="shared" si="1"/>
        <v>Compact FluorescentReflectors and Outdoor1440 to 2600 lumens</v>
      </c>
      <c r="T16" s="1" t="str">
        <f t="shared" si="1"/>
        <v>LEDReflectors and Outdoor1440 to 2600 lumens</v>
      </c>
      <c r="U16" s="1" t="str">
        <f t="shared" si="1"/>
        <v>LEDReflectors and Outdoor1440 to 2600 lumens</v>
      </c>
    </row>
    <row r="17" spans="1:43">
      <c r="A17" s="174" t="s">
        <v>410</v>
      </c>
      <c r="B17" s="175" t="str">
        <f t="shared" si="3"/>
        <v>250 to 664 lumens</v>
      </c>
      <c r="C17" s="533" t="str">
        <f>A17</f>
        <v>Three-Way</v>
      </c>
      <c r="D17" s="187" t="str">
        <f t="shared" si="2"/>
        <v>250 to 664 lumens</v>
      </c>
      <c r="E17" s="188">
        <v>6</v>
      </c>
      <c r="F17" s="189">
        <v>1</v>
      </c>
      <c r="G17" s="195">
        <v>0</v>
      </c>
      <c r="H17" s="188">
        <v>0</v>
      </c>
      <c r="I17" s="190">
        <v>0</v>
      </c>
      <c r="J17" s="188">
        <v>0</v>
      </c>
      <c r="K17" s="190">
        <v>0</v>
      </c>
      <c r="N17" s="1" t="str">
        <f t="shared" si="0"/>
        <v>YESIncandescent and HalogenModerate and High-use InteriorThree-Way250 to 664 lumens</v>
      </c>
      <c r="O17" s="1" t="str">
        <f t="shared" si="0"/>
        <v>YESIncandescent and HalogenLow-use InteriorThree-Way250 to 664 lumens</v>
      </c>
      <c r="P17" s="1" t="str">
        <f t="shared" si="0"/>
        <v>YESIncandescent and HalogenExteriorThree-Way250 to 664 lumens</v>
      </c>
      <c r="R17" s="1" t="str">
        <f t="shared" si="1"/>
        <v>Compact FluorescentThree-Way250 to 664 lumens</v>
      </c>
      <c r="S17" s="1" t="str">
        <f t="shared" si="1"/>
        <v>Compact FluorescentThree-Way250 to 664 lumens</v>
      </c>
      <c r="T17" s="1" t="str">
        <f t="shared" si="1"/>
        <v>LEDThree-Way250 to 664 lumens</v>
      </c>
      <c r="U17" s="1" t="str">
        <f t="shared" si="1"/>
        <v>LEDThree-Way250 to 664 lumens</v>
      </c>
    </row>
    <row r="18" spans="1:43">
      <c r="A18" s="174" t="s">
        <v>410</v>
      </c>
      <c r="B18" s="175" t="str">
        <f t="shared" si="3"/>
        <v>665 to 1439 lumens</v>
      </c>
      <c r="C18" s="531"/>
      <c r="D18" s="175" t="str">
        <f t="shared" si="2"/>
        <v>665 to 1439 lumens</v>
      </c>
      <c r="E18" s="180">
        <v>105</v>
      </c>
      <c r="F18" s="181">
        <v>3</v>
      </c>
      <c r="G18" s="196">
        <v>0</v>
      </c>
      <c r="H18" s="180">
        <v>0</v>
      </c>
      <c r="I18" s="182">
        <v>4816</v>
      </c>
      <c r="J18" s="180">
        <v>0</v>
      </c>
      <c r="K18" s="182">
        <v>0</v>
      </c>
      <c r="N18" s="1" t="str">
        <f t="shared" si="0"/>
        <v>YESIncandescent and HalogenModerate and High-use InteriorThree-Way665 to 1439 lumens</v>
      </c>
      <c r="O18" s="1" t="str">
        <f t="shared" si="0"/>
        <v>YESIncandescent and HalogenLow-use InteriorThree-Way665 to 1439 lumens</v>
      </c>
      <c r="P18" s="1" t="str">
        <f t="shared" si="0"/>
        <v>YESIncandescent and HalogenExteriorThree-Way665 to 1439 lumens</v>
      </c>
      <c r="R18" s="1" t="str">
        <f t="shared" si="1"/>
        <v>Compact FluorescentThree-Way665 to 1439 lumens</v>
      </c>
      <c r="S18" s="1" t="str">
        <f t="shared" si="1"/>
        <v>Compact FluorescentThree-Way665 to 1439 lumens</v>
      </c>
      <c r="T18" s="1" t="str">
        <f t="shared" si="1"/>
        <v>LEDThree-Way665 to 1439 lumens</v>
      </c>
      <c r="U18" s="1" t="str">
        <f t="shared" si="1"/>
        <v>LEDThree-Way665 to 1439 lumens</v>
      </c>
    </row>
    <row r="19" spans="1:43" ht="13.5" thickBot="1">
      <c r="A19" s="174" t="s">
        <v>410</v>
      </c>
      <c r="B19" s="175" t="str">
        <f t="shared" si="3"/>
        <v>1440 to 2600 lumens</v>
      </c>
      <c r="C19" s="532"/>
      <c r="D19" s="183" t="str">
        <f t="shared" si="2"/>
        <v>1440 to 2600 lumens</v>
      </c>
      <c r="E19" s="184">
        <v>528</v>
      </c>
      <c r="F19" s="185">
        <v>46</v>
      </c>
      <c r="G19" s="186">
        <v>2</v>
      </c>
      <c r="H19" s="184">
        <v>9</v>
      </c>
      <c r="I19" s="186">
        <v>3810</v>
      </c>
      <c r="J19" s="184">
        <v>0</v>
      </c>
      <c r="K19" s="186">
        <v>0</v>
      </c>
      <c r="N19" s="1" t="str">
        <f t="shared" si="0"/>
        <v>YESIncandescent and HalogenModerate and High-use InteriorThree-Way1440 to 2600 lumens</v>
      </c>
      <c r="O19" s="1" t="str">
        <f t="shared" si="0"/>
        <v>YESIncandescent and HalogenLow-use InteriorThree-Way1440 to 2600 lumens</v>
      </c>
      <c r="P19" s="1" t="str">
        <f t="shared" si="0"/>
        <v>YESIncandescent and HalogenExteriorThree-Way1440 to 2600 lumens</v>
      </c>
      <c r="R19" s="1" t="str">
        <f t="shared" si="1"/>
        <v>Compact FluorescentThree-Way1440 to 2600 lumens</v>
      </c>
      <c r="S19" s="1" t="str">
        <f t="shared" si="1"/>
        <v>Compact FluorescentThree-Way1440 to 2600 lumens</v>
      </c>
      <c r="T19" s="1" t="str">
        <f t="shared" si="1"/>
        <v>LEDThree-Way1440 to 2600 lumens</v>
      </c>
      <c r="U19" s="1" t="str">
        <f t="shared" si="1"/>
        <v>LEDThree-Way1440 to 2600 lumens</v>
      </c>
    </row>
    <row r="20" spans="1:43">
      <c r="A20" s="2" t="s">
        <v>453</v>
      </c>
    </row>
    <row r="22" spans="1:43">
      <c r="B22" s="2"/>
      <c r="E22" s="197" t="s">
        <v>454</v>
      </c>
      <c r="F22" s="197"/>
      <c r="G22" s="197"/>
      <c r="I22" s="198" t="s">
        <v>455</v>
      </c>
      <c r="J22" s="198"/>
      <c r="K22" s="198"/>
      <c r="M22" s="199" t="s">
        <v>456</v>
      </c>
      <c r="N22" s="199"/>
      <c r="O22" s="199"/>
      <c r="Q22" s="153" t="s">
        <v>457</v>
      </c>
      <c r="R22" s="153"/>
      <c r="S22" s="153"/>
      <c r="U22" s="200" t="s">
        <v>458</v>
      </c>
      <c r="V22" s="200"/>
      <c r="W22" s="200"/>
      <c r="Y22" s="201" t="s">
        <v>459</v>
      </c>
      <c r="Z22" s="201"/>
      <c r="AA22" s="201"/>
      <c r="AB22" s="2"/>
      <c r="AC22" s="151" t="s">
        <v>460</v>
      </c>
      <c r="AD22" s="151"/>
      <c r="AE22" s="151"/>
      <c r="AF22" s="2"/>
      <c r="AG22" s="197" t="s">
        <v>461</v>
      </c>
      <c r="AH22" s="197"/>
      <c r="AI22" s="197"/>
      <c r="AJ22" s="2"/>
      <c r="AK22" s="2"/>
      <c r="AL22" s="2"/>
      <c r="AM22" s="2"/>
      <c r="AO22" s="154" t="s">
        <v>462</v>
      </c>
      <c r="AP22" s="202"/>
      <c r="AQ22" s="202"/>
    </row>
    <row r="23" spans="1:43">
      <c r="AO23" s="54" t="s">
        <v>463</v>
      </c>
    </row>
    <row r="24" spans="1:43" ht="38.25">
      <c r="A24" s="158" t="s">
        <v>397</v>
      </c>
      <c r="B24" s="54" t="s">
        <v>398</v>
      </c>
      <c r="C24" s="54" t="s">
        <v>464</v>
      </c>
      <c r="E24" s="158" t="str">
        <f>AO24</f>
        <v>250 to 664 lumens</v>
      </c>
      <c r="F24" s="158" t="str">
        <f>AP24</f>
        <v>665 to 1439 lumens</v>
      </c>
      <c r="G24" s="158" t="str">
        <f>AQ24</f>
        <v>1440 to 2600 lumens</v>
      </c>
      <c r="I24" s="158" t="str">
        <f>E24</f>
        <v>250 to 664 lumens</v>
      </c>
      <c r="J24" s="158" t="str">
        <f>F24</f>
        <v>665 to 1439 lumens</v>
      </c>
      <c r="K24" s="158" t="str">
        <f>G24</f>
        <v>1440 to 2600 lumens</v>
      </c>
      <c r="M24" s="158" t="str">
        <f>I24</f>
        <v>250 to 664 lumens</v>
      </c>
      <c r="N24" s="158" t="str">
        <f>J24</f>
        <v>665 to 1439 lumens</v>
      </c>
      <c r="O24" s="158" t="str">
        <f>K24</f>
        <v>1440 to 2600 lumens</v>
      </c>
      <c r="Q24" s="158" t="str">
        <f>M24</f>
        <v>250 to 664 lumens</v>
      </c>
      <c r="R24" s="158" t="str">
        <f>N24</f>
        <v>665 to 1439 lumens</v>
      </c>
      <c r="S24" s="158" t="str">
        <f>O24</f>
        <v>1440 to 2600 lumens</v>
      </c>
      <c r="U24" s="158" t="str">
        <f>Q24</f>
        <v>250 to 664 lumens</v>
      </c>
      <c r="V24" s="158" t="str">
        <f>R24</f>
        <v>665 to 1439 lumens</v>
      </c>
      <c r="W24" s="158" t="str">
        <f>S24</f>
        <v>1440 to 2600 lumens</v>
      </c>
      <c r="Y24" s="158" t="str">
        <f>U24</f>
        <v>250 to 664 lumens</v>
      </c>
      <c r="Z24" s="158" t="str">
        <f>V24</f>
        <v>665 to 1439 lumens</v>
      </c>
      <c r="AA24" s="158" t="str">
        <f>W24</f>
        <v>1440 to 2600 lumens</v>
      </c>
      <c r="AC24" s="158" t="str">
        <f>Y24</f>
        <v>250 to 664 lumens</v>
      </c>
      <c r="AD24" s="158" t="str">
        <f>Z24</f>
        <v>665 to 1439 lumens</v>
      </c>
      <c r="AE24" s="158" t="str">
        <f>AA24</f>
        <v>1440 to 2600 lumens</v>
      </c>
      <c r="AG24" s="158" t="str">
        <f>AC24</f>
        <v>250 to 664 lumens</v>
      </c>
      <c r="AH24" s="158" t="str">
        <f>AD24</f>
        <v>665 to 1439 lumens</v>
      </c>
      <c r="AI24" s="158" t="str">
        <f>AE24</f>
        <v>1440 to 2600 lumens</v>
      </c>
      <c r="AO24" s="54" t="s">
        <v>403</v>
      </c>
      <c r="AP24" s="54" t="s">
        <v>406</v>
      </c>
      <c r="AQ24" s="54" t="s">
        <v>408</v>
      </c>
    </row>
    <row r="25" spans="1:43">
      <c r="A25" s="2" t="s">
        <v>465</v>
      </c>
      <c r="B25" s="1" t="s">
        <v>402</v>
      </c>
      <c r="C25" s="1" t="s">
        <v>480</v>
      </c>
      <c r="D25" s="2" t="s">
        <v>466</v>
      </c>
      <c r="E25" s="203">
        <v>1386</v>
      </c>
      <c r="F25" s="203">
        <v>353</v>
      </c>
      <c r="G25" s="203">
        <v>11</v>
      </c>
      <c r="I25" s="203">
        <v>11776369.003051758</v>
      </c>
      <c r="J25" s="203">
        <v>3175719.436126709</v>
      </c>
      <c r="K25" s="203">
        <v>32662.220947265625</v>
      </c>
      <c r="M25" s="204">
        <f>I25/SUM($I$25:$K$39)</f>
        <v>7.1021317616213733E-2</v>
      </c>
      <c r="N25" s="204">
        <f t="shared" ref="N25:O39" si="4">J25/SUM($I$25:$K$39)</f>
        <v>1.9152234332559567E-2</v>
      </c>
      <c r="O25" s="204">
        <f t="shared" si="4"/>
        <v>1.969804077424514E-4</v>
      </c>
      <c r="Q25" s="205">
        <v>30.675077934847064</v>
      </c>
      <c r="R25" s="205">
        <v>51.04229769567479</v>
      </c>
      <c r="S25" s="205">
        <v>76.804923078620405</v>
      </c>
      <c r="U25" s="206">
        <v>1.6375533129989499</v>
      </c>
      <c r="V25" s="206">
        <v>2.3191607170177666</v>
      </c>
      <c r="W25" s="206">
        <v>1.9358048240815668</v>
      </c>
      <c r="Y25" s="207">
        <v>1.8778190742054386</v>
      </c>
      <c r="Z25" s="207">
        <v>1.8804218456730055</v>
      </c>
      <c r="AA25" s="207">
        <v>1.5547508661637728</v>
      </c>
      <c r="AC25" s="207">
        <v>1.5095454652747782</v>
      </c>
      <c r="AD25" s="207">
        <v>1.5058120967497639</v>
      </c>
      <c r="AE25" s="207">
        <v>1.7796066159004127</v>
      </c>
      <c r="AG25" s="204">
        <v>0.99872487388014086</v>
      </c>
      <c r="AH25" s="204">
        <v>0.99245798531212559</v>
      </c>
      <c r="AI25" s="204">
        <v>1</v>
      </c>
      <c r="AO25" s="1" t="str">
        <f t="shared" ref="AO25:AQ39" si="5">CONCATENATE("YES","Incandescent and Halogen",$C25,$B25,AO$24)</f>
        <v>YESIncandescent and HalogenModerate and High-use InteriorDecorative and Mini-Base250 to 664 lumens</v>
      </c>
      <c r="AP25" s="1" t="str">
        <f t="shared" si="5"/>
        <v>YESIncandescent and HalogenModerate and High-use InteriorDecorative and Mini-Base665 to 1439 lumens</v>
      </c>
      <c r="AQ25" s="1" t="str">
        <f t="shared" si="5"/>
        <v>YESIncandescent and HalogenModerate and High-use InteriorDecorative and Mini-Base1440 to 2600 lumens</v>
      </c>
    </row>
    <row r="26" spans="1:43">
      <c r="A26" s="2" t="s">
        <v>465</v>
      </c>
      <c r="B26" s="1" t="s">
        <v>402</v>
      </c>
      <c r="C26" s="1" t="s">
        <v>481</v>
      </c>
      <c r="D26" s="2" t="s">
        <v>466</v>
      </c>
      <c r="E26" s="203">
        <v>494</v>
      </c>
      <c r="F26" s="203">
        <v>179</v>
      </c>
      <c r="G26" s="203">
        <v>5</v>
      </c>
      <c r="I26" s="203">
        <v>6086875.352722168</v>
      </c>
      <c r="J26" s="203">
        <v>1474350.2520751953</v>
      </c>
      <c r="K26" s="203">
        <v>25515.093322753906</v>
      </c>
      <c r="M26" s="204">
        <f t="shared" ref="M26:M39" si="6">I26/SUM($I$25:$K$39)</f>
        <v>3.6708930197750879E-2</v>
      </c>
      <c r="N26" s="204">
        <f t="shared" si="4"/>
        <v>8.8915605058776884E-3</v>
      </c>
      <c r="O26" s="204">
        <f t="shared" si="4"/>
        <v>1.5387727290245773E-4</v>
      </c>
      <c r="Q26" s="205">
        <v>31.056288641409019</v>
      </c>
      <c r="R26" s="205">
        <v>51.344297637180865</v>
      </c>
      <c r="S26" s="205">
        <v>81.130253171012356</v>
      </c>
      <c r="U26" s="206">
        <v>1.5575459676625192</v>
      </c>
      <c r="V26" s="206">
        <v>2.3221059188713338</v>
      </c>
      <c r="W26" s="206">
        <v>2.0575519860417137</v>
      </c>
      <c r="Y26" s="207">
        <v>1.3229876854451406</v>
      </c>
      <c r="Z26" s="207">
        <v>1.3336464384083153</v>
      </c>
      <c r="AA26" s="207">
        <v>1.348912070558995</v>
      </c>
      <c r="AC26" s="207">
        <v>2.073532260621286</v>
      </c>
      <c r="AD26" s="207">
        <v>2.0584970385035781</v>
      </c>
      <c r="AE26" s="207">
        <v>2.0340950641098092</v>
      </c>
      <c r="AG26" s="204">
        <v>0.99647057209171652</v>
      </c>
      <c r="AH26" s="204">
        <v>0.99835685960665377</v>
      </c>
      <c r="AI26" s="204">
        <v>1</v>
      </c>
      <c r="AO26" s="1" t="str">
        <f t="shared" si="5"/>
        <v>YESIncandescent and HalogenLow-use InteriorDecorative and Mini-Base250 to 664 lumens</v>
      </c>
      <c r="AP26" s="1" t="str">
        <f t="shared" si="5"/>
        <v>YESIncandescent and HalogenLow-use InteriorDecorative and Mini-Base665 to 1439 lumens</v>
      </c>
      <c r="AQ26" s="1" t="str">
        <f t="shared" si="5"/>
        <v>YESIncandescent and HalogenLow-use InteriorDecorative and Mini-Base1440 to 2600 lumens</v>
      </c>
    </row>
    <row r="27" spans="1:43">
      <c r="A27" s="2" t="s">
        <v>465</v>
      </c>
      <c r="B27" s="1" t="s">
        <v>402</v>
      </c>
      <c r="C27" s="1" t="s">
        <v>482</v>
      </c>
      <c r="D27" s="2" t="s">
        <v>466</v>
      </c>
      <c r="E27" s="203">
        <v>70</v>
      </c>
      <c r="F27" s="203">
        <v>33</v>
      </c>
      <c r="G27" s="203">
        <v>1</v>
      </c>
      <c r="I27" s="203">
        <v>901802.85900878906</v>
      </c>
      <c r="J27" s="203">
        <v>442365.6650390625</v>
      </c>
      <c r="K27" s="203">
        <v>4956.49267578125</v>
      </c>
      <c r="M27" s="204">
        <f t="shared" si="6"/>
        <v>5.4386226569730833E-3</v>
      </c>
      <c r="N27" s="204">
        <f t="shared" si="4"/>
        <v>2.6678335564302791E-3</v>
      </c>
      <c r="O27" s="204">
        <f t="shared" si="4"/>
        <v>2.9891780777069292E-5</v>
      </c>
      <c r="Q27" s="205">
        <v>30.0120387457291</v>
      </c>
      <c r="R27" s="205">
        <v>49.025617616599845</v>
      </c>
      <c r="S27" s="205">
        <v>150</v>
      </c>
      <c r="U27" s="206">
        <v>1.8433087783360134</v>
      </c>
      <c r="V27" s="206">
        <v>2.3053102965627406</v>
      </c>
      <c r="W27" s="206">
        <v>2.4073553266397183</v>
      </c>
      <c r="Y27" s="207">
        <v>3.7999999999999989</v>
      </c>
      <c r="Z27" s="207">
        <v>3.7999999999999994</v>
      </c>
      <c r="AA27" s="207">
        <v>3.8000000000000003</v>
      </c>
      <c r="AC27" s="207">
        <v>0.72048704924528983</v>
      </c>
      <c r="AD27" s="207">
        <v>0.72048704924529017</v>
      </c>
      <c r="AE27" s="207">
        <v>0.72048704924528983</v>
      </c>
      <c r="AG27" s="204">
        <v>0</v>
      </c>
      <c r="AH27" s="204">
        <v>0</v>
      </c>
      <c r="AI27" s="204">
        <v>0</v>
      </c>
      <c r="AO27" s="1" t="str">
        <f t="shared" si="5"/>
        <v>YESIncandescent and HalogenExteriorDecorative and Mini-Base250 to 664 lumens</v>
      </c>
      <c r="AP27" s="1" t="str">
        <f t="shared" si="5"/>
        <v>YESIncandescent and HalogenExteriorDecorative and Mini-Base665 to 1439 lumens</v>
      </c>
      <c r="AQ27" s="1" t="str">
        <f t="shared" si="5"/>
        <v>YESIncandescent and HalogenExteriorDecorative and Mini-Base1440 to 2600 lumens</v>
      </c>
    </row>
    <row r="28" spans="1:43">
      <c r="A28" s="2" t="s">
        <v>465</v>
      </c>
      <c r="B28" s="1" t="s">
        <v>405</v>
      </c>
      <c r="C28" s="1" t="str">
        <f>C25</f>
        <v>Moderate and High-use Interior</v>
      </c>
      <c r="D28" s="2" t="s">
        <v>466</v>
      </c>
      <c r="E28" s="203">
        <v>1738</v>
      </c>
      <c r="F28" s="203">
        <v>7807</v>
      </c>
      <c r="G28" s="203">
        <v>1190</v>
      </c>
      <c r="I28" s="203">
        <v>8304890.3674621582</v>
      </c>
      <c r="J28" s="203">
        <v>39243611.453186035</v>
      </c>
      <c r="K28" s="203">
        <v>4833886.5715637207</v>
      </c>
      <c r="M28" s="204">
        <f t="shared" si="6"/>
        <v>5.0085408872846578E-2</v>
      </c>
      <c r="N28" s="204">
        <f t="shared" si="4"/>
        <v>0.23667167636321038</v>
      </c>
      <c r="O28" s="204">
        <f t="shared" si="4"/>
        <v>2.9152363808471991E-2</v>
      </c>
      <c r="Q28" s="205">
        <v>28.659934726296637</v>
      </c>
      <c r="R28" s="205">
        <v>44.044164513115831</v>
      </c>
      <c r="S28" s="205">
        <v>72.032332122946542</v>
      </c>
      <c r="U28" s="206">
        <v>2.3113818045229335</v>
      </c>
      <c r="V28" s="206">
        <v>2.263858399523309</v>
      </c>
      <c r="W28" s="206">
        <v>1.8882973008214836</v>
      </c>
      <c r="Y28" s="207">
        <v>1.875254299274449</v>
      </c>
      <c r="Z28" s="207">
        <v>1.8317154105384106</v>
      </c>
      <c r="AA28" s="207">
        <v>1.9142200018370514</v>
      </c>
      <c r="AC28" s="207">
        <v>1.5213775325809218</v>
      </c>
      <c r="AD28" s="207">
        <v>1.5547177883791552</v>
      </c>
      <c r="AE28" s="207">
        <v>1.4847518324649827</v>
      </c>
      <c r="AG28" s="204">
        <v>0.9440802050073801</v>
      </c>
      <c r="AH28" s="204">
        <v>0.90537835122374954</v>
      </c>
      <c r="AI28" s="204">
        <v>0.8530697008989776</v>
      </c>
      <c r="AO28" s="1" t="str">
        <f t="shared" si="5"/>
        <v>YESIncandescent and HalogenModerate and High-use InteriorGeneral Purpose and Dimmable250 to 664 lumens</v>
      </c>
      <c r="AP28" s="1" t="str">
        <f t="shared" si="5"/>
        <v>YESIncandescent and HalogenModerate and High-use InteriorGeneral Purpose and Dimmable665 to 1439 lumens</v>
      </c>
      <c r="AQ28" s="1" t="str">
        <f t="shared" si="5"/>
        <v>YESIncandescent and HalogenModerate and High-use InteriorGeneral Purpose and Dimmable1440 to 2600 lumens</v>
      </c>
    </row>
    <row r="29" spans="1:43">
      <c r="A29" s="2" t="s">
        <v>465</v>
      </c>
      <c r="B29" s="1" t="s">
        <v>405</v>
      </c>
      <c r="C29" s="1" t="str">
        <f t="shared" ref="C29:C39" si="7">C26</f>
        <v>Low-use Interior</v>
      </c>
      <c r="D29" s="2" t="s">
        <v>466</v>
      </c>
      <c r="E29" s="203">
        <v>934</v>
      </c>
      <c r="F29" s="203">
        <v>4623</v>
      </c>
      <c r="G29" s="203">
        <v>485</v>
      </c>
      <c r="I29" s="203">
        <v>5742786.5003356934</v>
      </c>
      <c r="J29" s="203">
        <v>23502341.87802124</v>
      </c>
      <c r="K29" s="203">
        <v>2083868.2407226563</v>
      </c>
      <c r="M29" s="204">
        <f t="shared" si="6"/>
        <v>3.4633787709671106E-2</v>
      </c>
      <c r="N29" s="204">
        <f t="shared" si="4"/>
        <v>0.14173870458808105</v>
      </c>
      <c r="O29" s="204">
        <f t="shared" si="4"/>
        <v>1.2567461851471489E-2</v>
      </c>
      <c r="Q29" s="205">
        <v>28.705298967647401</v>
      </c>
      <c r="R29" s="205">
        <v>44.015717484635118</v>
      </c>
      <c r="S29" s="205">
        <v>72</v>
      </c>
      <c r="U29" s="206">
        <v>2.3287270282193013</v>
      </c>
      <c r="V29" s="206">
        <v>2.2630954365249663</v>
      </c>
      <c r="W29" s="206">
        <v>1.8882973008214881</v>
      </c>
      <c r="Y29" s="207">
        <v>1.3231501920856423</v>
      </c>
      <c r="Z29" s="207">
        <v>1.3404906259685949</v>
      </c>
      <c r="AA29" s="207">
        <v>1.3590750905744515</v>
      </c>
      <c r="AC29" s="207">
        <v>2.0729918330982953</v>
      </c>
      <c r="AD29" s="207">
        <v>2.0482526878023872</v>
      </c>
      <c r="AE29" s="207">
        <v>2.0223214606050539</v>
      </c>
      <c r="AG29" s="204">
        <v>0.97031964935798609</v>
      </c>
      <c r="AH29" s="204">
        <v>0.97992771969263459</v>
      </c>
      <c r="AI29" s="204">
        <v>0.9381422804473778</v>
      </c>
      <c r="AO29" s="1" t="str">
        <f t="shared" si="5"/>
        <v>YESIncandescent and HalogenLow-use InteriorGeneral Purpose and Dimmable250 to 664 lumens</v>
      </c>
      <c r="AP29" s="1" t="str">
        <f t="shared" si="5"/>
        <v>YESIncandescent and HalogenLow-use InteriorGeneral Purpose and Dimmable665 to 1439 lumens</v>
      </c>
      <c r="AQ29" s="1" t="str">
        <f t="shared" si="5"/>
        <v>YESIncandescent and HalogenLow-use InteriorGeneral Purpose and Dimmable1440 to 2600 lumens</v>
      </c>
    </row>
    <row r="30" spans="1:43">
      <c r="A30" s="2" t="s">
        <v>465</v>
      </c>
      <c r="B30" s="1" t="s">
        <v>405</v>
      </c>
      <c r="C30" s="1" t="str">
        <f t="shared" si="7"/>
        <v>Exterior</v>
      </c>
      <c r="D30" s="2" t="s">
        <v>466</v>
      </c>
      <c r="E30" s="203">
        <v>100</v>
      </c>
      <c r="F30" s="203">
        <v>1025</v>
      </c>
      <c r="G30" s="203">
        <v>153</v>
      </c>
      <c r="I30" s="203">
        <v>596595.53149414063</v>
      </c>
      <c r="J30" s="203">
        <v>7086501.9652709961</v>
      </c>
      <c r="K30" s="203">
        <v>903905.42059326172</v>
      </c>
      <c r="M30" s="204">
        <f t="shared" si="6"/>
        <v>3.5979681614663295E-3</v>
      </c>
      <c r="N30" s="204">
        <f t="shared" si="4"/>
        <v>4.2737511599119364E-2</v>
      </c>
      <c r="O30" s="204">
        <f t="shared" si="4"/>
        <v>5.4513028552633878E-3</v>
      </c>
      <c r="Q30" s="205">
        <v>28.64730351737494</v>
      </c>
      <c r="R30" s="205">
        <v>44.825658620226143</v>
      </c>
      <c r="S30" s="205">
        <v>72.117270458728683</v>
      </c>
      <c r="U30" s="206">
        <v>2.305493958423809</v>
      </c>
      <c r="V30" s="206">
        <v>2.27399488321903</v>
      </c>
      <c r="W30" s="206">
        <v>1.8882973008214876</v>
      </c>
      <c r="Y30" s="207">
        <v>3.7999999999999985</v>
      </c>
      <c r="Z30" s="207">
        <v>3.8000000000000234</v>
      </c>
      <c r="AA30" s="207">
        <v>3.799999999999998</v>
      </c>
      <c r="AC30" s="207">
        <v>0.72048704924529039</v>
      </c>
      <c r="AD30" s="207">
        <v>0.72048704924528584</v>
      </c>
      <c r="AE30" s="207">
        <v>0.72048704924528872</v>
      </c>
      <c r="AG30" s="204">
        <v>0</v>
      </c>
      <c r="AH30" s="204">
        <v>0</v>
      </c>
      <c r="AI30" s="204">
        <v>0</v>
      </c>
      <c r="AO30" s="1" t="str">
        <f t="shared" si="5"/>
        <v>YESIncandescent and HalogenExteriorGeneral Purpose and Dimmable250 to 664 lumens</v>
      </c>
      <c r="AP30" s="1" t="str">
        <f t="shared" si="5"/>
        <v>YESIncandescent and HalogenExteriorGeneral Purpose and Dimmable665 to 1439 lumens</v>
      </c>
      <c r="AQ30" s="1" t="str">
        <f t="shared" si="5"/>
        <v>YESIncandescent and HalogenExteriorGeneral Purpose and Dimmable1440 to 2600 lumens</v>
      </c>
    </row>
    <row r="31" spans="1:43">
      <c r="A31" s="2" t="s">
        <v>465</v>
      </c>
      <c r="B31" s="1" t="s">
        <v>407</v>
      </c>
      <c r="C31" s="1" t="str">
        <f t="shared" si="7"/>
        <v>Moderate and High-use Interior</v>
      </c>
      <c r="D31" s="2" t="s">
        <v>466</v>
      </c>
      <c r="E31" s="203">
        <v>163</v>
      </c>
      <c r="F31" s="203">
        <v>143</v>
      </c>
      <c r="G31" s="203">
        <v>42</v>
      </c>
      <c r="I31" s="203">
        <v>1169879.102722168</v>
      </c>
      <c r="J31" s="203">
        <v>667544.07534790039</v>
      </c>
      <c r="K31" s="203">
        <v>246091.42346191406</v>
      </c>
      <c r="M31" s="204">
        <f t="shared" si="6"/>
        <v>7.0553457780977323E-3</v>
      </c>
      <c r="N31" s="204">
        <f t="shared" si="4"/>
        <v>4.0258469979854595E-3</v>
      </c>
      <c r="O31" s="204">
        <f t="shared" si="4"/>
        <v>1.4841363364026319E-3</v>
      </c>
      <c r="Q31" s="205">
        <v>28.584772966286732</v>
      </c>
      <c r="R31" s="205">
        <v>44.545756322255947</v>
      </c>
      <c r="S31" s="205">
        <v>72</v>
      </c>
      <c r="U31" s="206">
        <v>2.1746741426522349</v>
      </c>
      <c r="V31" s="206">
        <v>4.6901251814495462</v>
      </c>
      <c r="W31" s="206">
        <v>5.575399139392359</v>
      </c>
      <c r="Y31" s="207">
        <v>1.8922912764645765</v>
      </c>
      <c r="Z31" s="207">
        <v>1.9122475820063312</v>
      </c>
      <c r="AA31" s="207">
        <v>1.9830458721583719</v>
      </c>
      <c r="AC31" s="207">
        <v>1.5058790165203084</v>
      </c>
      <c r="AD31" s="207">
        <v>1.486945675141198</v>
      </c>
      <c r="AE31" s="207">
        <v>1.421815806184936</v>
      </c>
      <c r="AG31" s="204">
        <v>0.99111022069133803</v>
      </c>
      <c r="AH31" s="204">
        <v>0.97695829612860063</v>
      </c>
      <c r="AI31" s="204">
        <v>0.90083080453090458</v>
      </c>
      <c r="AO31" s="1" t="str">
        <f t="shared" si="5"/>
        <v>YESIncandescent and HalogenModerate and High-use InteriorGlobe250 to 664 lumens</v>
      </c>
      <c r="AP31" s="1" t="str">
        <f t="shared" si="5"/>
        <v>YESIncandescent and HalogenModerate and High-use InteriorGlobe665 to 1439 lumens</v>
      </c>
      <c r="AQ31" s="1" t="str">
        <f t="shared" si="5"/>
        <v>YESIncandescent and HalogenModerate and High-use InteriorGlobe1440 to 2600 lumens</v>
      </c>
    </row>
    <row r="32" spans="1:43">
      <c r="A32" s="2" t="s">
        <v>465</v>
      </c>
      <c r="B32" s="1" t="s">
        <v>407</v>
      </c>
      <c r="C32" s="1" t="str">
        <f t="shared" si="7"/>
        <v>Low-use Interior</v>
      </c>
      <c r="D32" s="2" t="s">
        <v>466</v>
      </c>
      <c r="E32" s="203">
        <v>691</v>
      </c>
      <c r="F32" s="203">
        <v>405</v>
      </c>
      <c r="G32" s="203">
        <v>17</v>
      </c>
      <c r="I32" s="203">
        <v>8717793.4221191406</v>
      </c>
      <c r="J32" s="203">
        <v>4553089.017578125</v>
      </c>
      <c r="K32" s="203">
        <v>143074.95886230469</v>
      </c>
      <c r="M32" s="204">
        <f t="shared" si="6"/>
        <v>5.2575558339282201E-2</v>
      </c>
      <c r="N32" s="204">
        <f t="shared" si="4"/>
        <v>2.7458920586516316E-2</v>
      </c>
      <c r="O32" s="204">
        <f t="shared" si="4"/>
        <v>8.6286121754958688E-4</v>
      </c>
      <c r="Q32" s="205">
        <v>28.714586615662693</v>
      </c>
      <c r="R32" s="205">
        <v>43.292879245169587</v>
      </c>
      <c r="S32" s="205">
        <v>72</v>
      </c>
      <c r="U32" s="206">
        <v>2.1746741426522327</v>
      </c>
      <c r="V32" s="206">
        <v>4.8056123158102535</v>
      </c>
      <c r="W32" s="206">
        <v>5.575399139392359</v>
      </c>
      <c r="Y32" s="207">
        <v>1.3034700502773071</v>
      </c>
      <c r="Z32" s="207">
        <v>1.3020853555886207</v>
      </c>
      <c r="AA32" s="207">
        <v>1.3116030166022594</v>
      </c>
      <c r="AC32" s="207">
        <v>2.1010788361014541</v>
      </c>
      <c r="AD32" s="207">
        <v>2.1030665428210464</v>
      </c>
      <c r="AE32" s="207">
        <v>2.089748129518231</v>
      </c>
      <c r="AG32" s="204">
        <v>0.99977015794259494</v>
      </c>
      <c r="AH32" s="204">
        <v>0.9965146316978637</v>
      </c>
      <c r="AI32" s="204">
        <v>0.9499854745458165</v>
      </c>
      <c r="AO32" s="1" t="str">
        <f t="shared" si="5"/>
        <v>YESIncandescent and HalogenLow-use InteriorGlobe250 to 664 lumens</v>
      </c>
      <c r="AP32" s="1" t="str">
        <f t="shared" si="5"/>
        <v>YESIncandescent and HalogenLow-use InteriorGlobe665 to 1439 lumens</v>
      </c>
      <c r="AQ32" s="1" t="str">
        <f t="shared" si="5"/>
        <v>YESIncandescent and HalogenLow-use InteriorGlobe1440 to 2600 lumens</v>
      </c>
    </row>
    <row r="33" spans="1:43">
      <c r="A33" s="2" t="s">
        <v>465</v>
      </c>
      <c r="B33" s="1" t="s">
        <v>407</v>
      </c>
      <c r="C33" s="1" t="str">
        <f t="shared" si="7"/>
        <v>Exterior</v>
      </c>
      <c r="D33" s="2" t="s">
        <v>466</v>
      </c>
      <c r="E33" s="203">
        <v>9</v>
      </c>
      <c r="F33" s="203">
        <v>8</v>
      </c>
      <c r="G33" s="203">
        <v>1</v>
      </c>
      <c r="I33" s="203">
        <v>19283.730834960938</v>
      </c>
      <c r="J33" s="203">
        <v>63775.004028320312</v>
      </c>
      <c r="K33" s="203">
        <v>41596.4296875</v>
      </c>
      <c r="M33" s="204">
        <f t="shared" si="6"/>
        <v>1.1629696488793999E-4</v>
      </c>
      <c r="N33" s="204">
        <f t="shared" si="4"/>
        <v>3.8461641409987159E-4</v>
      </c>
      <c r="O33" s="204">
        <f t="shared" si="4"/>
        <v>2.5086113077561273E-4</v>
      </c>
      <c r="Q33" s="205">
        <v>29</v>
      </c>
      <c r="R33" s="205">
        <v>43.652291109940023</v>
      </c>
      <c r="S33" s="205">
        <v>72</v>
      </c>
      <c r="U33" s="206">
        <v>2.1746741426522367</v>
      </c>
      <c r="V33" s="206">
        <v>4.7724826121252759</v>
      </c>
      <c r="W33" s="206">
        <v>5.575399139392359</v>
      </c>
      <c r="Y33" s="207">
        <v>3.8</v>
      </c>
      <c r="Z33" s="207">
        <v>3.8000000000000003</v>
      </c>
      <c r="AA33" s="207">
        <v>3.8</v>
      </c>
      <c r="AC33" s="207">
        <v>0.72048704924528983</v>
      </c>
      <c r="AD33" s="207">
        <v>0.72048704924528983</v>
      </c>
      <c r="AE33" s="207">
        <v>0.72048704924528983</v>
      </c>
      <c r="AG33" s="204">
        <v>0</v>
      </c>
      <c r="AH33" s="204">
        <v>0</v>
      </c>
      <c r="AI33" s="204">
        <v>0</v>
      </c>
      <c r="AO33" s="1" t="str">
        <f t="shared" si="5"/>
        <v>YESIncandescent and HalogenExteriorGlobe250 to 664 lumens</v>
      </c>
      <c r="AP33" s="1" t="str">
        <f t="shared" si="5"/>
        <v>YESIncandescent and HalogenExteriorGlobe665 to 1439 lumens</v>
      </c>
      <c r="AQ33" s="1" t="str">
        <f t="shared" si="5"/>
        <v>YESIncandescent and HalogenExteriorGlobe1440 to 2600 lumens</v>
      </c>
    </row>
    <row r="34" spans="1:43">
      <c r="A34" s="2" t="s">
        <v>465</v>
      </c>
      <c r="B34" s="1" t="s">
        <v>409</v>
      </c>
      <c r="C34" s="1" t="str">
        <f>C31</f>
        <v>Moderate and High-use Interior</v>
      </c>
      <c r="D34" s="2" t="s">
        <v>466</v>
      </c>
      <c r="E34" s="203">
        <v>235</v>
      </c>
      <c r="F34" s="203">
        <v>1395</v>
      </c>
      <c r="G34" s="203">
        <v>42</v>
      </c>
      <c r="I34" s="203">
        <v>2072726.7409362793</v>
      </c>
      <c r="J34" s="203">
        <v>15364103.476531982</v>
      </c>
      <c r="K34" s="203">
        <v>315609.35662841797</v>
      </c>
      <c r="M34" s="204">
        <f t="shared" si="6"/>
        <v>1.2500269324229501E-2</v>
      </c>
      <c r="N34" s="204">
        <f t="shared" si="4"/>
        <v>9.2658345930938524E-2</v>
      </c>
      <c r="O34" s="204">
        <f t="shared" si="4"/>
        <v>1.9033873984372488E-3</v>
      </c>
      <c r="Q34" s="205">
        <v>36.875192452490978</v>
      </c>
      <c r="R34" s="205">
        <v>63.750944757460118</v>
      </c>
      <c r="S34" s="205">
        <v>92.020786513107268</v>
      </c>
      <c r="U34" s="206">
        <v>4.831897288195707</v>
      </c>
      <c r="V34" s="206">
        <v>6.9970891834903597</v>
      </c>
      <c r="W34" s="206">
        <v>6.5116376476221518</v>
      </c>
      <c r="Y34" s="207">
        <v>2.0600961243557925</v>
      </c>
      <c r="Z34" s="207">
        <v>2.1474506598096346</v>
      </c>
      <c r="AA34" s="207">
        <v>1.9672684313246862</v>
      </c>
      <c r="AC34" s="207">
        <v>1.3870437704491934</v>
      </c>
      <c r="AD34" s="207">
        <v>1.3191523025903396</v>
      </c>
      <c r="AE34" s="207">
        <v>1.4493398606392756</v>
      </c>
      <c r="AG34" s="204">
        <v>0.98904120549169894</v>
      </c>
      <c r="AH34" s="204">
        <v>0.98021681861352861</v>
      </c>
      <c r="AI34" s="204">
        <v>0.89589865499713306</v>
      </c>
      <c r="AO34" s="1" t="str">
        <f t="shared" si="5"/>
        <v>YESIncandescent and HalogenModerate and High-use InteriorReflectors and Outdoor250 to 664 lumens</v>
      </c>
      <c r="AP34" s="1" t="str">
        <f t="shared" si="5"/>
        <v>YESIncandescent and HalogenModerate and High-use InteriorReflectors and Outdoor665 to 1439 lumens</v>
      </c>
      <c r="AQ34" s="1" t="str">
        <f t="shared" si="5"/>
        <v>YESIncandescent and HalogenModerate and High-use InteriorReflectors and Outdoor1440 to 2600 lumens</v>
      </c>
    </row>
    <row r="35" spans="1:43">
      <c r="A35" s="2" t="s">
        <v>465</v>
      </c>
      <c r="B35" s="1" t="s">
        <v>409</v>
      </c>
      <c r="C35" s="1" t="str">
        <f t="shared" si="7"/>
        <v>Low-use Interior</v>
      </c>
      <c r="D35" s="2" t="s">
        <v>466</v>
      </c>
      <c r="E35" s="203">
        <v>93</v>
      </c>
      <c r="F35" s="203">
        <v>873</v>
      </c>
      <c r="G35" s="203">
        <v>80</v>
      </c>
      <c r="I35" s="203">
        <v>822547.40454101563</v>
      </c>
      <c r="J35" s="203">
        <v>6432272.0572814941</v>
      </c>
      <c r="K35" s="203">
        <v>290967.13549804687</v>
      </c>
      <c r="M35" s="204">
        <f t="shared" si="6"/>
        <v>4.960646227811053E-3</v>
      </c>
      <c r="N35" s="204">
        <f t="shared" si="4"/>
        <v>3.8791960124186141E-2</v>
      </c>
      <c r="O35" s="204">
        <f t="shared" si="4"/>
        <v>1.7547742721658549E-3</v>
      </c>
      <c r="Q35" s="205">
        <v>39.453210971183672</v>
      </c>
      <c r="R35" s="205">
        <v>63.939537328237783</v>
      </c>
      <c r="S35" s="205">
        <v>99.373376669829881</v>
      </c>
      <c r="U35" s="206">
        <v>4.3801196336906862</v>
      </c>
      <c r="V35" s="206">
        <v>6.9569222855741462</v>
      </c>
      <c r="W35" s="206">
        <v>6.029503461851272</v>
      </c>
      <c r="Y35" s="207">
        <v>1.3224729084963405</v>
      </c>
      <c r="Z35" s="207">
        <v>1.3387862640853463</v>
      </c>
      <c r="AA35" s="207">
        <v>1.3091695226815501</v>
      </c>
      <c r="AC35" s="207">
        <v>2.0743106734736472</v>
      </c>
      <c r="AD35" s="207">
        <v>2.051205733325931</v>
      </c>
      <c r="AE35" s="207">
        <v>2.0931459436578796</v>
      </c>
      <c r="AG35" s="204">
        <v>0.99536978000486387</v>
      </c>
      <c r="AH35" s="204">
        <v>0.99470756145917694</v>
      </c>
      <c r="AI35" s="204">
        <v>0.97111658840517867</v>
      </c>
      <c r="AO35" s="1" t="str">
        <f t="shared" si="5"/>
        <v>YESIncandescent and HalogenLow-use InteriorReflectors and Outdoor250 to 664 lumens</v>
      </c>
      <c r="AP35" s="1" t="str">
        <f t="shared" si="5"/>
        <v>YESIncandescent and HalogenLow-use InteriorReflectors and Outdoor665 to 1439 lumens</v>
      </c>
      <c r="AQ35" s="1" t="str">
        <f t="shared" si="5"/>
        <v>YESIncandescent and HalogenLow-use InteriorReflectors and Outdoor1440 to 2600 lumens</v>
      </c>
    </row>
    <row r="36" spans="1:43">
      <c r="A36" s="2" t="s">
        <v>465</v>
      </c>
      <c r="B36" s="1" t="s">
        <v>409</v>
      </c>
      <c r="C36" s="1" t="str">
        <f t="shared" si="7"/>
        <v>Exterior</v>
      </c>
      <c r="D36" s="2" t="s">
        <v>466</v>
      </c>
      <c r="E36" s="203">
        <v>16</v>
      </c>
      <c r="F36" s="203">
        <v>442</v>
      </c>
      <c r="G36" s="203">
        <v>205</v>
      </c>
      <c r="I36" s="203">
        <v>110545.70971679687</v>
      </c>
      <c r="J36" s="203">
        <v>4386469.6231689453</v>
      </c>
      <c r="K36" s="203">
        <v>1784980.512512207</v>
      </c>
      <c r="M36" s="204">
        <f t="shared" si="6"/>
        <v>6.6668274056900232E-4</v>
      </c>
      <c r="N36" s="204">
        <f t="shared" si="4"/>
        <v>2.6454066804481383E-2</v>
      </c>
      <c r="O36" s="204">
        <f t="shared" si="4"/>
        <v>1.0764919805504522E-2</v>
      </c>
      <c r="Q36" s="205">
        <v>37.32050311563907</v>
      </c>
      <c r="R36" s="205">
        <v>66.054621266320538</v>
      </c>
      <c r="S36" s="205">
        <v>91.634076624729175</v>
      </c>
      <c r="U36" s="206">
        <v>4.2768615664851204</v>
      </c>
      <c r="V36" s="206">
        <v>6.6472734504829099</v>
      </c>
      <c r="W36" s="206">
        <v>6.5800745072035607</v>
      </c>
      <c r="Y36" s="207">
        <v>3.7999999999999994</v>
      </c>
      <c r="Z36" s="207">
        <v>3.8000000000000016</v>
      </c>
      <c r="AA36" s="207">
        <v>3.799999999999998</v>
      </c>
      <c r="AC36" s="207">
        <v>0.72048704924528972</v>
      </c>
      <c r="AD36" s="207">
        <v>0.72048704924529017</v>
      </c>
      <c r="AE36" s="207">
        <v>0.72048704924528972</v>
      </c>
      <c r="AG36" s="204">
        <v>0</v>
      </c>
      <c r="AH36" s="204">
        <v>0</v>
      </c>
      <c r="AI36" s="204">
        <v>0</v>
      </c>
      <c r="AO36" s="1" t="str">
        <f t="shared" si="5"/>
        <v>YESIncandescent and HalogenExteriorReflectors and Outdoor250 to 664 lumens</v>
      </c>
      <c r="AP36" s="1" t="str">
        <f t="shared" si="5"/>
        <v>YESIncandescent and HalogenExteriorReflectors and Outdoor665 to 1439 lumens</v>
      </c>
      <c r="AQ36" s="1" t="str">
        <f t="shared" si="5"/>
        <v>YESIncandescent and HalogenExteriorReflectors and Outdoor1440 to 2600 lumens</v>
      </c>
    </row>
    <row r="37" spans="1:43">
      <c r="A37" s="2" t="s">
        <v>465</v>
      </c>
      <c r="B37" s="1" t="s">
        <v>410</v>
      </c>
      <c r="C37" s="1" t="str">
        <f t="shared" si="7"/>
        <v>Moderate and High-use Interior</v>
      </c>
      <c r="D37" s="2" t="s">
        <v>466</v>
      </c>
      <c r="E37" s="203">
        <v>6</v>
      </c>
      <c r="F37" s="203">
        <v>105</v>
      </c>
      <c r="G37" s="203">
        <v>528</v>
      </c>
      <c r="I37" s="203">
        <v>27087.824340820313</v>
      </c>
      <c r="J37" s="203">
        <v>349497.16363525391</v>
      </c>
      <c r="K37" s="203">
        <v>1853391.0507507324</v>
      </c>
      <c r="M37" s="204">
        <f t="shared" si="6"/>
        <v>1.6336215140193576E-4</v>
      </c>
      <c r="N37" s="204">
        <f t="shared" si="4"/>
        <v>2.1077591113247912E-3</v>
      </c>
      <c r="O37" s="204">
        <f t="shared" si="4"/>
        <v>1.1177492353398986E-2</v>
      </c>
      <c r="Q37" s="205">
        <v>39.764738906253271</v>
      </c>
      <c r="R37" s="205">
        <v>74.48319691210024</v>
      </c>
      <c r="S37" s="205">
        <v>116.6279141100857</v>
      </c>
      <c r="U37" s="206">
        <v>2.1746741426522362</v>
      </c>
      <c r="V37" s="206">
        <v>4.2182051637414384</v>
      </c>
      <c r="W37" s="206">
        <v>5.5753991393923519</v>
      </c>
      <c r="Y37" s="207">
        <v>1.7840747704079254</v>
      </c>
      <c r="Z37" s="207">
        <v>1.9569961623937979</v>
      </c>
      <c r="AA37" s="207">
        <v>2.0072532026644549</v>
      </c>
      <c r="AC37" s="207">
        <v>1.5997978193153977</v>
      </c>
      <c r="AD37" s="207">
        <v>1.4625922178886739</v>
      </c>
      <c r="AE37" s="207">
        <v>1.4214224235126045</v>
      </c>
      <c r="AG37" s="204">
        <v>1</v>
      </c>
      <c r="AH37" s="204">
        <v>1</v>
      </c>
      <c r="AI37" s="204">
        <v>0.99920972224129778</v>
      </c>
      <c r="AO37" s="1" t="str">
        <f t="shared" si="5"/>
        <v>YESIncandescent and HalogenModerate and High-use InteriorThree-Way250 to 664 lumens</v>
      </c>
      <c r="AP37" s="1" t="str">
        <f t="shared" si="5"/>
        <v>YESIncandescent and HalogenModerate and High-use InteriorThree-Way665 to 1439 lumens</v>
      </c>
      <c r="AQ37" s="1" t="str">
        <f t="shared" si="5"/>
        <v>YESIncandescent and HalogenModerate and High-use InteriorThree-Way1440 to 2600 lumens</v>
      </c>
    </row>
    <row r="38" spans="1:43">
      <c r="A38" s="2" t="s">
        <v>465</v>
      </c>
      <c r="B38" s="1" t="s">
        <v>410</v>
      </c>
      <c r="C38" s="1" t="str">
        <f t="shared" si="7"/>
        <v>Low-use Interior</v>
      </c>
      <c r="D38" s="2" t="s">
        <v>466</v>
      </c>
      <c r="E38" s="203">
        <v>1</v>
      </c>
      <c r="F38" s="203">
        <v>3</v>
      </c>
      <c r="G38" s="203">
        <v>46</v>
      </c>
      <c r="I38" s="203">
        <v>14869.47802734375</v>
      </c>
      <c r="J38" s="203">
        <v>9804.8828125</v>
      </c>
      <c r="K38" s="203">
        <v>133030.56622314453</v>
      </c>
      <c r="M38" s="204">
        <f t="shared" si="6"/>
        <v>8.967534233120788E-5</v>
      </c>
      <c r="N38" s="204">
        <f t="shared" si="4"/>
        <v>5.9131613168359627E-5</v>
      </c>
      <c r="O38" s="204">
        <f t="shared" si="4"/>
        <v>8.0228516055758114E-4</v>
      </c>
      <c r="Q38" s="205">
        <v>30</v>
      </c>
      <c r="R38" s="205">
        <v>69.557144653492955</v>
      </c>
      <c r="S38" s="205">
        <v>119.76539013025679</v>
      </c>
      <c r="U38" s="206">
        <v>2.1746741426522362</v>
      </c>
      <c r="V38" s="206">
        <v>4.832609205893859</v>
      </c>
      <c r="W38" s="206">
        <v>5.5753991393923545</v>
      </c>
      <c r="Y38" s="207">
        <v>1.3</v>
      </c>
      <c r="Z38" s="207">
        <v>1.3000000000000003</v>
      </c>
      <c r="AA38" s="207">
        <v>1.3481100119456109</v>
      </c>
      <c r="AC38" s="207">
        <v>2.1060390670246933</v>
      </c>
      <c r="AD38" s="207">
        <v>2.1060390670246933</v>
      </c>
      <c r="AE38" s="207">
        <v>2.0384913572430383</v>
      </c>
      <c r="AG38" s="204">
        <v>1</v>
      </c>
      <c r="AH38" s="204">
        <v>1</v>
      </c>
      <c r="AI38" s="204">
        <v>1</v>
      </c>
      <c r="AO38" s="1" t="str">
        <f t="shared" si="5"/>
        <v>YESIncandescent and HalogenLow-use InteriorThree-Way250 to 664 lumens</v>
      </c>
      <c r="AP38" s="1" t="str">
        <f t="shared" si="5"/>
        <v>YESIncandescent and HalogenLow-use InteriorThree-Way665 to 1439 lumens</v>
      </c>
      <c r="AQ38" s="1" t="str">
        <f t="shared" si="5"/>
        <v>YESIncandescent and HalogenLow-use InteriorThree-Way1440 to 2600 lumens</v>
      </c>
    </row>
    <row r="39" spans="1:43">
      <c r="A39" s="2" t="s">
        <v>465</v>
      </c>
      <c r="B39" s="1" t="s">
        <v>410</v>
      </c>
      <c r="C39" s="1" t="str">
        <f t="shared" si="7"/>
        <v>Exterior</v>
      </c>
      <c r="D39" s="2" t="s">
        <v>466</v>
      </c>
      <c r="E39" s="203">
        <v>0</v>
      </c>
      <c r="F39" s="203">
        <v>0</v>
      </c>
      <c r="G39" s="203">
        <v>2</v>
      </c>
      <c r="I39" s="203">
        <v>0</v>
      </c>
      <c r="J39" s="203">
        <v>0</v>
      </c>
      <c r="K39" s="203">
        <v>5532.193603515625</v>
      </c>
      <c r="M39" s="204">
        <f t="shared" si="6"/>
        <v>0</v>
      </c>
      <c r="N39" s="204">
        <f t="shared" si="4"/>
        <v>0</v>
      </c>
      <c r="O39" s="204">
        <f t="shared" si="4"/>
        <v>3.3363737067669254E-5</v>
      </c>
      <c r="Q39" s="205" t="e">
        <v>#DIV/0!</v>
      </c>
      <c r="R39" s="205" t="e">
        <v>#DIV/0!</v>
      </c>
      <c r="S39" s="205">
        <v>150</v>
      </c>
      <c r="U39" s="206" t="e">
        <v>#DIV/0!</v>
      </c>
      <c r="V39" s="206" t="e">
        <v>#DIV/0!</v>
      </c>
      <c r="W39" s="206">
        <v>5.575399139392359</v>
      </c>
      <c r="Y39" s="207" t="e">
        <v>#DIV/0!</v>
      </c>
      <c r="Z39" s="207" t="e">
        <v>#DIV/0!</v>
      </c>
      <c r="AA39" s="207">
        <v>3.8</v>
      </c>
      <c r="AC39" s="207" t="e">
        <v>#DIV/0!</v>
      </c>
      <c r="AD39" s="207" t="e">
        <v>#DIV/0!</v>
      </c>
      <c r="AE39" s="207">
        <v>0.72048704924528983</v>
      </c>
      <c r="AG39" s="204" t="e">
        <v>#DIV/0!</v>
      </c>
      <c r="AH39" s="204" t="e">
        <v>#DIV/0!</v>
      </c>
      <c r="AI39" s="204">
        <v>0</v>
      </c>
      <c r="AO39" s="1" t="str">
        <f t="shared" si="5"/>
        <v>YESIncandescent and HalogenExteriorThree-Way250 to 664 lumens</v>
      </c>
      <c r="AP39" s="1" t="str">
        <f t="shared" si="5"/>
        <v>YESIncandescent and HalogenExteriorThree-Way665 to 1439 lumens</v>
      </c>
      <c r="AQ39" s="1" t="str">
        <f t="shared" si="5"/>
        <v>YESIncandescent and HalogenExteriorThree-Way1440 to 2600 lumens</v>
      </c>
    </row>
    <row r="40" spans="1:43">
      <c r="A40" s="2"/>
    </row>
    <row r="41" spans="1:43">
      <c r="A41" s="2" t="s">
        <v>467</v>
      </c>
      <c r="B41" s="1" t="str">
        <f>B25</f>
        <v>Decorative and Mini-Base</v>
      </c>
      <c r="C41" s="2" t="s">
        <v>468</v>
      </c>
    </row>
    <row r="42" spans="1:43">
      <c r="A42" s="2" t="s">
        <v>467</v>
      </c>
      <c r="B42" s="1" t="str">
        <f>B28</f>
        <v>General Purpose and Dimmable</v>
      </c>
      <c r="C42" s="2" t="s">
        <v>468</v>
      </c>
      <c r="AO42" s="2"/>
    </row>
    <row r="43" spans="1:43">
      <c r="A43" s="2" t="s">
        <v>467</v>
      </c>
      <c r="B43" s="1" t="str">
        <f>B31</f>
        <v>Globe</v>
      </c>
      <c r="C43" s="2" t="s">
        <v>468</v>
      </c>
      <c r="AO43" s="2"/>
    </row>
    <row r="44" spans="1:43">
      <c r="A44" s="2" t="s">
        <v>467</v>
      </c>
      <c r="B44" s="1" t="str">
        <f>B34</f>
        <v>Reflectors and Outdoor</v>
      </c>
      <c r="C44" s="2" t="s">
        <v>468</v>
      </c>
      <c r="AO44" s="2"/>
    </row>
    <row r="45" spans="1:43">
      <c r="A45" s="2" t="s">
        <v>467</v>
      </c>
      <c r="B45" s="1" t="str">
        <f>B37</f>
        <v>Three-Way</v>
      </c>
      <c r="C45" s="2" t="s">
        <v>468</v>
      </c>
      <c r="I45" s="1" t="s">
        <v>839</v>
      </c>
      <c r="AO45" s="2"/>
    </row>
    <row r="46" spans="1:43">
      <c r="A46" s="2"/>
      <c r="C46" s="2"/>
      <c r="I46" s="1" t="s">
        <v>840</v>
      </c>
      <c r="AO46" s="2"/>
    </row>
    <row r="47" spans="1:43">
      <c r="A47" s="54" t="s">
        <v>469</v>
      </c>
      <c r="C47" s="2"/>
      <c r="AO47" s="2"/>
    </row>
    <row r="48" spans="1:43" ht="38.25">
      <c r="A48" s="2"/>
      <c r="B48" s="174" t="s">
        <v>464</v>
      </c>
      <c r="C48" s="174" t="s">
        <v>398</v>
      </c>
      <c r="D48" s="174" t="s">
        <v>419</v>
      </c>
      <c r="E48" s="174" t="s">
        <v>470</v>
      </c>
      <c r="F48" s="208" t="s">
        <v>471</v>
      </c>
      <c r="G48" s="208" t="s">
        <v>472</v>
      </c>
      <c r="H48" s="208" t="s">
        <v>473</v>
      </c>
      <c r="I48" s="208" t="s">
        <v>474</v>
      </c>
      <c r="J48" s="208" t="s">
        <v>475</v>
      </c>
      <c r="K48" s="174" t="s">
        <v>424</v>
      </c>
      <c r="L48" s="174" t="s">
        <v>476</v>
      </c>
      <c r="M48" s="208" t="s">
        <v>477</v>
      </c>
      <c r="N48" s="209" t="s">
        <v>426</v>
      </c>
      <c r="AO48" s="2"/>
    </row>
    <row r="49" spans="1:41">
      <c r="A49" s="2"/>
      <c r="B49" s="210" t="s">
        <v>468</v>
      </c>
      <c r="C49" s="211" t="s">
        <v>402</v>
      </c>
      <c r="D49" s="211" t="s">
        <v>403</v>
      </c>
      <c r="E49" s="211" t="str">
        <f t="shared" ref="E49:E63" si="8">C49&amp;D49</f>
        <v>Decorative and Mini-Base250 to 664 lumens</v>
      </c>
      <c r="F49" s="212">
        <v>1992</v>
      </c>
      <c r="G49" s="203">
        <v>19146261.619720459</v>
      </c>
      <c r="H49" s="204">
        <f>G49/SUM($G$49:$G$63)</f>
        <v>8.1081096380314688E-2</v>
      </c>
      <c r="I49" s="213">
        <f>Stock!S16</f>
        <v>37</v>
      </c>
      <c r="J49" s="206">
        <v>1.6401583657682686</v>
      </c>
      <c r="K49" s="214">
        <v>1.7916917647822357</v>
      </c>
      <c r="L49" s="214">
        <v>1.7835655628514451</v>
      </c>
      <c r="M49" s="204">
        <v>0.95039973261931343</v>
      </c>
      <c r="N49" s="215">
        <v>416.60324051305236</v>
      </c>
      <c r="AO49" s="2"/>
    </row>
    <row r="50" spans="1:41">
      <c r="A50" s="2"/>
      <c r="B50" s="210" t="s">
        <v>468</v>
      </c>
      <c r="C50" s="211" t="s">
        <v>402</v>
      </c>
      <c r="D50" s="211" t="s">
        <v>406</v>
      </c>
      <c r="E50" s="211" t="str">
        <f t="shared" si="8"/>
        <v>Decorative and Mini-Base665 to 1439 lumens</v>
      </c>
      <c r="F50" s="212">
        <v>590</v>
      </c>
      <c r="G50" s="203">
        <v>5251290.0697937012</v>
      </c>
      <c r="H50" s="204">
        <f t="shared" ref="H50:H63" si="9">G50/SUM($G$49:$G$63)</f>
        <v>2.2238302428260096E-2</v>
      </c>
      <c r="I50" s="213">
        <f>Stock!S17</f>
        <v>31.100271002710024</v>
      </c>
      <c r="J50" s="206">
        <v>2.357302490345714</v>
      </c>
      <c r="K50" s="214">
        <v>1.8789514442368003</v>
      </c>
      <c r="L50" s="214">
        <v>1.7864498053021971</v>
      </c>
      <c r="M50" s="204">
        <v>0.91018036838446348</v>
      </c>
      <c r="N50" s="215">
        <v>857.43632997438363</v>
      </c>
      <c r="AO50" s="2"/>
    </row>
    <row r="51" spans="1:41">
      <c r="A51" s="2"/>
      <c r="B51" s="210" t="s">
        <v>468</v>
      </c>
      <c r="C51" s="211" t="s">
        <v>402</v>
      </c>
      <c r="D51" s="211" t="s">
        <v>408</v>
      </c>
      <c r="E51" s="211" t="str">
        <f t="shared" si="8"/>
        <v>Decorative and Mini-Base1440 to 2600 lumens</v>
      </c>
      <c r="F51" s="216">
        <v>21</v>
      </c>
      <c r="G51" s="203">
        <v>103169.34893798828</v>
      </c>
      <c r="H51" s="204">
        <f t="shared" si="9"/>
        <v>4.3690429447174121E-4</v>
      </c>
      <c r="I51" s="213">
        <f>Stock!S18</f>
        <v>37</v>
      </c>
      <c r="J51" s="206">
        <v>2.5719834880984087</v>
      </c>
      <c r="K51" s="214">
        <v>1.6305080727614385</v>
      </c>
      <c r="L51" s="214">
        <v>4.4344805227500377</v>
      </c>
      <c r="M51" s="204">
        <v>0.92758145848349127</v>
      </c>
      <c r="N51" s="215">
        <v>2095.7287821060968</v>
      </c>
      <c r="AO51" s="2"/>
    </row>
    <row r="52" spans="1:41">
      <c r="A52" s="2"/>
      <c r="B52" s="210" t="s">
        <v>468</v>
      </c>
      <c r="C52" s="211" t="s">
        <v>405</v>
      </c>
      <c r="D52" s="211" t="str">
        <f>D49</f>
        <v>250 to 664 lumens</v>
      </c>
      <c r="E52" s="211" t="str">
        <f t="shared" si="8"/>
        <v>General Purpose and Dimmable250 to 664 lumens</v>
      </c>
      <c r="F52" s="212">
        <v>3069</v>
      </c>
      <c r="G52" s="203">
        <v>15988071.154602051</v>
      </c>
      <c r="H52" s="204">
        <f t="shared" si="9"/>
        <v>6.7706707657562287E-2</v>
      </c>
      <c r="I52" s="213">
        <f>Stock!S19</f>
        <v>30</v>
      </c>
      <c r="J52" s="206">
        <v>2.2922322650479003</v>
      </c>
      <c r="K52" s="214">
        <v>1.7465101483744099</v>
      </c>
      <c r="L52" s="214">
        <v>2.2212671328668137</v>
      </c>
      <c r="M52" s="204">
        <v>0.91416456188155615</v>
      </c>
      <c r="N52" s="215">
        <v>473.98970089307483</v>
      </c>
      <c r="AO52" s="2"/>
    </row>
    <row r="53" spans="1:41">
      <c r="A53" s="2"/>
      <c r="B53" s="210" t="s">
        <v>468</v>
      </c>
      <c r="C53" s="211" t="s">
        <v>405</v>
      </c>
      <c r="D53" s="211" t="str">
        <f t="shared" ref="D53:D63" si="10">D50</f>
        <v>665 to 1439 lumens</v>
      </c>
      <c r="E53" s="211" t="str">
        <f t="shared" si="8"/>
        <v>General Purpose and Dimmable665 to 1439 lumens</v>
      </c>
      <c r="F53" s="212">
        <v>24073</v>
      </c>
      <c r="G53" s="203">
        <v>123371362.27828979</v>
      </c>
      <c r="H53" s="204">
        <f t="shared" si="9"/>
        <v>0.52245631623218058</v>
      </c>
      <c r="I53" s="213">
        <f>Stock!S20</f>
        <v>28.108457226419695</v>
      </c>
      <c r="J53" s="206">
        <v>1.8938582807005411</v>
      </c>
      <c r="K53" s="214">
        <v>1.8773637680174413</v>
      </c>
      <c r="L53" s="214">
        <v>4.3220699727314233</v>
      </c>
      <c r="M53" s="204">
        <v>0.85791980570535631</v>
      </c>
      <c r="N53" s="215">
        <v>949.2054457712826</v>
      </c>
      <c r="AO53" s="2"/>
    </row>
    <row r="54" spans="1:41">
      <c r="A54" s="2"/>
      <c r="B54" s="210" t="s">
        <v>468</v>
      </c>
      <c r="C54" s="211" t="s">
        <v>405</v>
      </c>
      <c r="D54" s="211" t="str">
        <f t="shared" si="10"/>
        <v>1440 to 2600 lumens</v>
      </c>
      <c r="E54" s="211" t="str">
        <f t="shared" si="8"/>
        <v>General Purpose and Dimmable1440 to 2600 lumens</v>
      </c>
      <c r="F54" s="212">
        <v>2951</v>
      </c>
      <c r="G54" s="203">
        <v>12300282.996917725</v>
      </c>
      <c r="H54" s="204">
        <f t="shared" si="9"/>
        <v>5.2089564583772424E-2</v>
      </c>
      <c r="I54" s="213">
        <f>Stock!S21</f>
        <v>37</v>
      </c>
      <c r="J54" s="206">
        <v>1.8248331017915318</v>
      </c>
      <c r="K54" s="214">
        <v>1.9918551210859123</v>
      </c>
      <c r="L54" s="214">
        <v>3.8347243817323542</v>
      </c>
      <c r="M54" s="204">
        <v>0.78917112934974476</v>
      </c>
      <c r="N54" s="215">
        <v>1747.5999304005293</v>
      </c>
      <c r="AO54" s="2"/>
    </row>
    <row r="55" spans="1:41">
      <c r="A55" s="2"/>
      <c r="B55" s="210" t="s">
        <v>468</v>
      </c>
      <c r="C55" s="211" t="s">
        <v>407</v>
      </c>
      <c r="D55" s="211" t="str">
        <f t="shared" si="10"/>
        <v>250 to 664 lumens</v>
      </c>
      <c r="E55" s="211" t="str">
        <f t="shared" si="8"/>
        <v>Globe250 to 664 lumens</v>
      </c>
      <c r="F55" s="212">
        <v>926</v>
      </c>
      <c r="G55" s="203">
        <v>10512756.317199707</v>
      </c>
      <c r="H55" s="204">
        <f t="shared" si="9"/>
        <v>4.4519699203299436E-2</v>
      </c>
      <c r="I55" s="213">
        <f>Stock!S22</f>
        <v>37</v>
      </c>
      <c r="J55" s="206">
        <v>2.1737529557872382</v>
      </c>
      <c r="K55" s="214">
        <v>1.3853142296217029</v>
      </c>
      <c r="L55" s="214">
        <v>2.2408705642884907</v>
      </c>
      <c r="M55" s="204">
        <v>0.99302587722156699</v>
      </c>
      <c r="N55" s="215">
        <v>474.28450426267824</v>
      </c>
      <c r="AO55" s="2"/>
    </row>
    <row r="56" spans="1:41">
      <c r="A56" s="2"/>
      <c r="B56" s="210" t="s">
        <v>468</v>
      </c>
      <c r="C56" s="211" t="s">
        <v>407</v>
      </c>
      <c r="D56" s="211" t="str">
        <f t="shared" si="10"/>
        <v>665 to 1439 lumens</v>
      </c>
      <c r="E56" s="211" t="str">
        <f t="shared" si="8"/>
        <v>Globe665 to 1439 lumens</v>
      </c>
      <c r="F56" s="212">
        <v>677</v>
      </c>
      <c r="G56" s="203">
        <v>6410410.1278991699</v>
      </c>
      <c r="H56" s="204">
        <f t="shared" si="9"/>
        <v>2.7146974784998612E-2</v>
      </c>
      <c r="I56" s="213">
        <f>Stock!S23</f>
        <v>31.100271002710024</v>
      </c>
      <c r="J56" s="206">
        <v>4.74556552718155</v>
      </c>
      <c r="K56" s="214">
        <v>1.4133478593569577</v>
      </c>
      <c r="L56" s="214">
        <v>2.7621105076077872</v>
      </c>
      <c r="M56" s="204">
        <v>0.97668256411584331</v>
      </c>
      <c r="N56" s="215">
        <v>854.01386924203234</v>
      </c>
      <c r="AO56" s="2"/>
    </row>
    <row r="57" spans="1:41">
      <c r="A57" s="2"/>
      <c r="B57" s="210" t="s">
        <v>468</v>
      </c>
      <c r="C57" s="211" t="s">
        <v>407</v>
      </c>
      <c r="D57" s="211" t="str">
        <f t="shared" si="10"/>
        <v>1440 to 2600 lumens</v>
      </c>
      <c r="E57" s="211" t="str">
        <f t="shared" si="8"/>
        <v>Globe1440 to 2600 lumens</v>
      </c>
      <c r="F57" s="212">
        <v>68</v>
      </c>
      <c r="G57" s="203">
        <v>483029.63061523437</v>
      </c>
      <c r="H57" s="204">
        <f t="shared" si="9"/>
        <v>2.0455466875122243E-3</v>
      </c>
      <c r="I57" s="213">
        <f>Stock!S24</f>
        <v>37</v>
      </c>
      <c r="J57" s="206">
        <v>5.4627245082786207</v>
      </c>
      <c r="K57" s="214">
        <v>1.8779135295448872</v>
      </c>
      <c r="L57" s="214">
        <v>2.0492242794119604</v>
      </c>
      <c r="M57" s="204">
        <v>0.84854563840574837</v>
      </c>
      <c r="N57" s="215">
        <v>1845.0029433386362</v>
      </c>
      <c r="AO57" s="2"/>
    </row>
    <row r="58" spans="1:41">
      <c r="A58" s="2"/>
      <c r="B58" s="210" t="s">
        <v>468</v>
      </c>
      <c r="C58" s="211" t="s">
        <v>409</v>
      </c>
      <c r="D58" s="211" t="str">
        <f t="shared" si="10"/>
        <v>250 to 664 lumens</v>
      </c>
      <c r="E58" s="211" t="str">
        <f t="shared" si="8"/>
        <v>Reflectors and Outdoor250 to 664 lumens</v>
      </c>
      <c r="F58" s="212">
        <v>370</v>
      </c>
      <c r="G58" s="203">
        <v>3343887.2616882324</v>
      </c>
      <c r="H58" s="204">
        <f t="shared" si="9"/>
        <v>1.4160782440713806E-2</v>
      </c>
      <c r="I58" s="213">
        <f>Stock!S25</f>
        <v>38</v>
      </c>
      <c r="J58" s="206">
        <v>4.6350044381489033</v>
      </c>
      <c r="K58" s="214">
        <v>1.9506803142955835</v>
      </c>
      <c r="L58" s="214">
        <v>2.1002897994909375</v>
      </c>
      <c r="M58" s="204">
        <v>0.94622699649287401</v>
      </c>
      <c r="N58" s="215">
        <v>479.73166573433264</v>
      </c>
      <c r="AO58" s="2"/>
    </row>
    <row r="59" spans="1:41">
      <c r="A59" s="2"/>
      <c r="B59" s="210" t="s">
        <v>468</v>
      </c>
      <c r="C59" s="211" t="s">
        <v>409</v>
      </c>
      <c r="D59" s="211" t="str">
        <f t="shared" si="10"/>
        <v>665 to 1439 lumens</v>
      </c>
      <c r="E59" s="211" t="str">
        <f t="shared" si="8"/>
        <v>Reflectors and Outdoor665 to 1439 lumens</v>
      </c>
      <c r="F59" s="212">
        <v>3398</v>
      </c>
      <c r="G59" s="203">
        <v>33788975.437652588</v>
      </c>
      <c r="H59" s="204">
        <f t="shared" si="9"/>
        <v>0.14309044911569505</v>
      </c>
      <c r="I59" s="213">
        <f>Stock!S26</f>
        <v>33.801608579088473</v>
      </c>
      <c r="J59" s="206">
        <v>6.0025868409413388</v>
      </c>
      <c r="K59" s="214">
        <v>2.2112998582903738</v>
      </c>
      <c r="L59" s="214">
        <v>2.7605785479478313</v>
      </c>
      <c r="M59" s="204">
        <v>0.82931998492682701</v>
      </c>
      <c r="N59" s="215">
        <v>972.55453255182397</v>
      </c>
      <c r="AO59" s="2"/>
    </row>
    <row r="60" spans="1:41">
      <c r="A60" s="2"/>
      <c r="B60" s="210" t="s">
        <v>468</v>
      </c>
      <c r="C60" s="211" t="s">
        <v>409</v>
      </c>
      <c r="D60" s="211" t="str">
        <f t="shared" si="10"/>
        <v>1440 to 2600 lumens</v>
      </c>
      <c r="E60" s="211" t="str">
        <f t="shared" si="8"/>
        <v>Reflectors and Outdoor1440 to 2600 lumens</v>
      </c>
      <c r="F60" s="212">
        <v>381</v>
      </c>
      <c r="G60" s="203">
        <v>2776687.5482788086</v>
      </c>
      <c r="H60" s="204">
        <f t="shared" si="9"/>
        <v>1.1758790054771059E-2</v>
      </c>
      <c r="I60" s="213">
        <f>Stock!S27</f>
        <v>92</v>
      </c>
      <c r="J60" s="206">
        <v>6.8379432184399001</v>
      </c>
      <c r="K60" s="214">
        <v>3.1412077290657425</v>
      </c>
      <c r="L60" s="214">
        <v>1.8152462117520278</v>
      </c>
      <c r="M60" s="204">
        <v>0.2985167573190915</v>
      </c>
      <c r="N60" s="215">
        <v>1835.2728077183538</v>
      </c>
      <c r="AO60" s="2"/>
    </row>
    <row r="61" spans="1:41">
      <c r="A61" s="2"/>
      <c r="B61" s="210" t="s">
        <v>468</v>
      </c>
      <c r="C61" s="211" t="s">
        <v>410</v>
      </c>
      <c r="D61" s="211" t="str">
        <f t="shared" si="10"/>
        <v>250 to 664 lumens</v>
      </c>
      <c r="E61" s="211" t="str">
        <f t="shared" si="8"/>
        <v>Three-Way250 to 664 lumens</v>
      </c>
      <c r="F61" s="212">
        <v>8</v>
      </c>
      <c r="G61" s="203">
        <v>43569.994140625</v>
      </c>
      <c r="H61" s="204">
        <f t="shared" si="9"/>
        <v>1.8451136646785988E-4</v>
      </c>
      <c r="I61" s="213">
        <f>Stock!S28</f>
        <v>91</v>
      </c>
      <c r="J61" s="206">
        <v>2.5086033161955381</v>
      </c>
      <c r="K61" s="214">
        <v>1.6416684714322591</v>
      </c>
      <c r="L61" s="214">
        <v>1.9664811264199897</v>
      </c>
      <c r="M61" s="204">
        <v>1</v>
      </c>
      <c r="N61" s="215">
        <v>415.0645318455953</v>
      </c>
      <c r="AO61" s="2"/>
    </row>
    <row r="62" spans="1:41">
      <c r="A62" s="2"/>
      <c r="B62" s="210" t="s">
        <v>468</v>
      </c>
      <c r="C62" s="211" t="s">
        <v>410</v>
      </c>
      <c r="D62" s="211" t="str">
        <f t="shared" si="10"/>
        <v>665 to 1439 lumens</v>
      </c>
      <c r="E62" s="211" t="str">
        <f t="shared" si="8"/>
        <v>Three-Way665 to 1439 lumens</v>
      </c>
      <c r="F62" s="212">
        <v>145</v>
      </c>
      <c r="G62" s="203">
        <v>537802.77087402344</v>
      </c>
      <c r="H62" s="204">
        <f t="shared" si="9"/>
        <v>2.2775014342185534E-3</v>
      </c>
      <c r="I62" s="213">
        <f>Stock!S29</f>
        <v>91</v>
      </c>
      <c r="J62" s="206">
        <v>6.020444707725451</v>
      </c>
      <c r="K62" s="214">
        <v>1.9012991277195712</v>
      </c>
      <c r="L62" s="214">
        <v>3.7098631590053808</v>
      </c>
      <c r="M62" s="204">
        <v>0.9977909622715454</v>
      </c>
      <c r="N62" s="215">
        <v>1132.8409655317996</v>
      </c>
      <c r="AO62" s="2"/>
    </row>
    <row r="63" spans="1:41">
      <c r="A63" s="2"/>
      <c r="B63" s="210" t="s">
        <v>468</v>
      </c>
      <c r="C63" s="211" t="s">
        <v>410</v>
      </c>
      <c r="D63" s="211" t="str">
        <f t="shared" si="10"/>
        <v>1440 to 2600 lumens</v>
      </c>
      <c r="E63" s="211" t="str">
        <f t="shared" si="8"/>
        <v>Three-Way1440 to 2600 lumens</v>
      </c>
      <c r="F63" s="212">
        <v>596</v>
      </c>
      <c r="G63" s="203">
        <v>2079625.5297546387</v>
      </c>
      <c r="H63" s="204">
        <f t="shared" si="9"/>
        <v>8.8068533357615695E-3</v>
      </c>
      <c r="I63" s="213">
        <f>Stock!S30</f>
        <v>91</v>
      </c>
      <c r="J63" s="206">
        <v>5.8123669887989093</v>
      </c>
      <c r="K63" s="214">
        <v>1.9748391432257275</v>
      </c>
      <c r="L63" s="214">
        <v>1.7652962324402386</v>
      </c>
      <c r="M63" s="204">
        <v>0.99652187968377692</v>
      </c>
      <c r="N63" s="215">
        <v>1994.6302871120699</v>
      </c>
      <c r="AO63" s="2"/>
    </row>
    <row r="64" spans="1:41">
      <c r="A64" s="2"/>
      <c r="C64" s="2"/>
      <c r="AO64" s="2"/>
    </row>
    <row r="65" spans="1:41">
      <c r="A65" s="54" t="s">
        <v>478</v>
      </c>
      <c r="C65" s="2"/>
      <c r="AO65" s="2"/>
    </row>
    <row r="66" spans="1:41" ht="38.25">
      <c r="A66" s="2"/>
      <c r="B66" s="174" t="s">
        <v>464</v>
      </c>
      <c r="C66" s="174" t="s">
        <v>398</v>
      </c>
      <c r="D66" s="174" t="s">
        <v>419</v>
      </c>
      <c r="E66" s="174" t="s">
        <v>479</v>
      </c>
      <c r="F66" s="208" t="s">
        <v>471</v>
      </c>
      <c r="G66" s="208" t="s">
        <v>472</v>
      </c>
      <c r="H66" s="208" t="s">
        <v>473</v>
      </c>
      <c r="I66" s="208" t="s">
        <v>474</v>
      </c>
      <c r="J66" s="208" t="s">
        <v>475</v>
      </c>
      <c r="K66" s="174" t="s">
        <v>424</v>
      </c>
      <c r="L66" s="174" t="s">
        <v>476</v>
      </c>
      <c r="M66" s="208" t="s">
        <v>477</v>
      </c>
      <c r="N66" s="209" t="s">
        <v>426</v>
      </c>
      <c r="AO66" s="2"/>
    </row>
    <row r="67" spans="1:41">
      <c r="A67" s="2"/>
      <c r="B67" s="210" t="s">
        <v>480</v>
      </c>
      <c r="C67" s="211" t="s">
        <v>402</v>
      </c>
      <c r="D67" s="211" t="s">
        <v>403</v>
      </c>
      <c r="E67" s="211" t="str">
        <f>CONCATENATE("YES","Incandescent and Halogen",B67,C67,D67)</f>
        <v>YESIncandescent and HalogenModerate and High-use InteriorDecorative and Mini-Base250 to 664 lumens</v>
      </c>
      <c r="F67" s="203">
        <v>1386</v>
      </c>
      <c r="G67" s="203">
        <v>11776369.003051758</v>
      </c>
      <c r="H67" s="204">
        <f>G67/SUM($G$67:$G$111)</f>
        <v>7.1021317616213733E-2</v>
      </c>
      <c r="I67" s="213">
        <v>30.675077934847064</v>
      </c>
      <c r="J67" s="206">
        <v>1.6375533129989499</v>
      </c>
      <c r="K67" s="214">
        <v>1.8778190742054386</v>
      </c>
      <c r="L67" s="214">
        <v>1.5095454652747782</v>
      </c>
      <c r="M67" s="204">
        <v>0.99872487388014086</v>
      </c>
      <c r="N67" s="215">
        <v>418.26528814377684</v>
      </c>
      <c r="AO67" s="2"/>
    </row>
    <row r="68" spans="1:41">
      <c r="A68" s="2"/>
      <c r="B68" s="210" t="s">
        <v>480</v>
      </c>
      <c r="C68" s="211" t="s">
        <v>402</v>
      </c>
      <c r="D68" s="211" t="s">
        <v>406</v>
      </c>
      <c r="E68" s="211" t="str">
        <f t="shared" ref="E68:E111" si="11">CONCATENATE("YES","Incandescent and Halogen",B68,C68,D68)</f>
        <v>YESIncandescent and HalogenModerate and High-use InteriorDecorative and Mini-Base665 to 1439 lumens</v>
      </c>
      <c r="F68" s="203">
        <v>353</v>
      </c>
      <c r="G68" s="203">
        <v>3175719.436126709</v>
      </c>
      <c r="H68" s="204">
        <f t="shared" ref="H68:H111" si="12">G68/SUM($G$67:$G$111)</f>
        <v>1.9152234332559567E-2</v>
      </c>
      <c r="I68" s="213">
        <v>51.04229769567479</v>
      </c>
      <c r="J68" s="206">
        <v>2.3191607170177666</v>
      </c>
      <c r="K68" s="214">
        <v>1.8804218456730055</v>
      </c>
      <c r="L68" s="214">
        <v>1.5058120967497639</v>
      </c>
      <c r="M68" s="204">
        <v>0.99245798531212559</v>
      </c>
      <c r="N68" s="215">
        <v>853.53211050442246</v>
      </c>
      <c r="AO68" s="2"/>
    </row>
    <row r="69" spans="1:41">
      <c r="A69" s="2"/>
      <c r="B69" s="210" t="s">
        <v>480</v>
      </c>
      <c r="C69" s="211" t="s">
        <v>402</v>
      </c>
      <c r="D69" s="211" t="s">
        <v>408</v>
      </c>
      <c r="E69" s="211" t="str">
        <f t="shared" si="11"/>
        <v>YESIncandescent and HalogenModerate and High-use InteriorDecorative and Mini-Base1440 to 2600 lumens</v>
      </c>
      <c r="F69" s="203">
        <v>11</v>
      </c>
      <c r="G69" s="203">
        <v>32662.220947265625</v>
      </c>
      <c r="H69" s="204">
        <f t="shared" si="12"/>
        <v>1.969804077424514E-4</v>
      </c>
      <c r="I69" s="213">
        <v>76.804923078620405</v>
      </c>
      <c r="J69" s="206">
        <v>1.9358048240815668</v>
      </c>
      <c r="K69" s="214">
        <v>1.5547508661637728</v>
      </c>
      <c r="L69" s="214">
        <v>1.7796066159004127</v>
      </c>
      <c r="M69" s="204">
        <v>1</v>
      </c>
      <c r="N69" s="215">
        <v>2009.252514251338</v>
      </c>
      <c r="AO69" s="2"/>
    </row>
    <row r="70" spans="1:41">
      <c r="A70" s="2"/>
      <c r="B70" s="210" t="s">
        <v>480</v>
      </c>
      <c r="C70" s="211" t="s">
        <v>405</v>
      </c>
      <c r="D70" s="211" t="str">
        <f>D67</f>
        <v>250 to 664 lumens</v>
      </c>
      <c r="E70" s="211" t="str">
        <f t="shared" si="11"/>
        <v>YESIncandescent and HalogenModerate and High-use InteriorGeneral Purpose and Dimmable250 to 664 lumens</v>
      </c>
      <c r="F70" s="203">
        <v>1738</v>
      </c>
      <c r="G70" s="203">
        <v>8304890.3674621582</v>
      </c>
      <c r="H70" s="204">
        <f t="shared" si="12"/>
        <v>5.0085408872846578E-2</v>
      </c>
      <c r="I70" s="213">
        <v>28.659934726296637</v>
      </c>
      <c r="J70" s="206">
        <v>2.3113818045229335</v>
      </c>
      <c r="K70" s="214">
        <v>1.875254299274449</v>
      </c>
      <c r="L70" s="214">
        <v>1.5213775325809218</v>
      </c>
      <c r="M70" s="204">
        <v>0.9440802050073801</v>
      </c>
      <c r="N70" s="215">
        <v>470.51330852315374</v>
      </c>
      <c r="AO70" s="2"/>
    </row>
    <row r="71" spans="1:41">
      <c r="A71" s="2"/>
      <c r="B71" s="210" t="s">
        <v>480</v>
      </c>
      <c r="C71" s="211" t="s">
        <v>405</v>
      </c>
      <c r="D71" s="211" t="str">
        <f t="shared" ref="D71:D81" si="13">D68</f>
        <v>665 to 1439 lumens</v>
      </c>
      <c r="E71" s="211" t="str">
        <f t="shared" si="11"/>
        <v>YESIncandescent and HalogenModerate and High-use InteriorGeneral Purpose and Dimmable665 to 1439 lumens</v>
      </c>
      <c r="F71" s="203">
        <v>7807</v>
      </c>
      <c r="G71" s="203">
        <v>39243611.453186035</v>
      </c>
      <c r="H71" s="204">
        <f t="shared" si="12"/>
        <v>0.23667167636321038</v>
      </c>
      <c r="I71" s="213">
        <v>44.044164513115831</v>
      </c>
      <c r="J71" s="206">
        <v>2.263858399523309</v>
      </c>
      <c r="K71" s="214">
        <v>1.8317154105384106</v>
      </c>
      <c r="L71" s="214">
        <v>1.5547177883791552</v>
      </c>
      <c r="M71" s="204">
        <v>0.90537835122374954</v>
      </c>
      <c r="N71" s="215">
        <v>881.40697863450475</v>
      </c>
      <c r="AO71" s="2"/>
    </row>
    <row r="72" spans="1:41">
      <c r="A72" s="2"/>
      <c r="B72" s="210" t="s">
        <v>480</v>
      </c>
      <c r="C72" s="211" t="s">
        <v>405</v>
      </c>
      <c r="D72" s="211" t="str">
        <f t="shared" si="13"/>
        <v>1440 to 2600 lumens</v>
      </c>
      <c r="E72" s="211" t="str">
        <f t="shared" si="11"/>
        <v>YESIncandescent and HalogenModerate and High-use InteriorGeneral Purpose and Dimmable1440 to 2600 lumens</v>
      </c>
      <c r="F72" s="203">
        <v>1190</v>
      </c>
      <c r="G72" s="203">
        <v>4833886.5715637207</v>
      </c>
      <c r="H72" s="204">
        <f t="shared" si="12"/>
        <v>2.9152363808471991E-2</v>
      </c>
      <c r="I72" s="213">
        <v>72.032332122946542</v>
      </c>
      <c r="J72" s="206">
        <v>1.8882973008214836</v>
      </c>
      <c r="K72" s="214">
        <v>1.9142200018370514</v>
      </c>
      <c r="L72" s="214">
        <v>1.4847518324649827</v>
      </c>
      <c r="M72" s="204">
        <v>0.8530697008989776</v>
      </c>
      <c r="N72" s="215">
        <v>1793.2601220189479</v>
      </c>
      <c r="AO72" s="2"/>
    </row>
    <row r="73" spans="1:41">
      <c r="A73" s="2"/>
      <c r="B73" s="210" t="s">
        <v>480</v>
      </c>
      <c r="C73" s="211" t="s">
        <v>407</v>
      </c>
      <c r="D73" s="211" t="str">
        <f t="shared" si="13"/>
        <v>250 to 664 lumens</v>
      </c>
      <c r="E73" s="211" t="str">
        <f t="shared" si="11"/>
        <v>YESIncandescent and HalogenModerate and High-use InteriorGlobe250 to 664 lumens</v>
      </c>
      <c r="F73" s="203">
        <v>163</v>
      </c>
      <c r="G73" s="203">
        <v>1169879.102722168</v>
      </c>
      <c r="H73" s="204">
        <f t="shared" si="12"/>
        <v>7.0553457780977323E-3</v>
      </c>
      <c r="I73" s="213">
        <v>28.584772966286732</v>
      </c>
      <c r="J73" s="206">
        <v>2.1746741426522349</v>
      </c>
      <c r="K73" s="214">
        <v>1.8922912764645765</v>
      </c>
      <c r="L73" s="214">
        <v>1.5058790165203084</v>
      </c>
      <c r="M73" s="204">
        <v>0.99111022069133803</v>
      </c>
      <c r="N73" s="215">
        <v>467.31436275597071</v>
      </c>
      <c r="AO73" s="2"/>
    </row>
    <row r="74" spans="1:41">
      <c r="A74" s="2"/>
      <c r="B74" s="210" t="s">
        <v>480</v>
      </c>
      <c r="C74" s="211" t="s">
        <v>407</v>
      </c>
      <c r="D74" s="211" t="str">
        <f t="shared" si="13"/>
        <v>665 to 1439 lumens</v>
      </c>
      <c r="E74" s="211" t="str">
        <f t="shared" si="11"/>
        <v>YESIncandescent and HalogenModerate and High-use InteriorGlobe665 to 1439 lumens</v>
      </c>
      <c r="F74" s="203">
        <v>143</v>
      </c>
      <c r="G74" s="203">
        <v>667544.07534790039</v>
      </c>
      <c r="H74" s="204">
        <f t="shared" si="12"/>
        <v>4.0258469979854595E-3</v>
      </c>
      <c r="I74" s="213">
        <v>44.545756322255947</v>
      </c>
      <c r="J74" s="206">
        <v>4.6901251814495462</v>
      </c>
      <c r="K74" s="214">
        <v>1.9122475820063312</v>
      </c>
      <c r="L74" s="214">
        <v>1.486945675141198</v>
      </c>
      <c r="M74" s="204">
        <v>0.97695829612860063</v>
      </c>
      <c r="N74" s="215">
        <v>898.47891425126659</v>
      </c>
      <c r="AO74" s="2"/>
    </row>
    <row r="75" spans="1:41">
      <c r="A75" s="2"/>
      <c r="B75" s="210" t="s">
        <v>480</v>
      </c>
      <c r="C75" s="211" t="s">
        <v>407</v>
      </c>
      <c r="D75" s="211" t="str">
        <f t="shared" si="13"/>
        <v>1440 to 2600 lumens</v>
      </c>
      <c r="E75" s="211" t="str">
        <f t="shared" si="11"/>
        <v>YESIncandescent and HalogenModerate and High-use InteriorGlobe1440 to 2600 lumens</v>
      </c>
      <c r="F75" s="203">
        <v>42</v>
      </c>
      <c r="G75" s="203">
        <v>246091.42346191406</v>
      </c>
      <c r="H75" s="204">
        <f t="shared" si="12"/>
        <v>1.4841363364026319E-3</v>
      </c>
      <c r="I75" s="213">
        <v>72</v>
      </c>
      <c r="J75" s="206">
        <v>5.575399139392359</v>
      </c>
      <c r="K75" s="214">
        <v>1.9830458721583719</v>
      </c>
      <c r="L75" s="214">
        <v>1.421815806184936</v>
      </c>
      <c r="M75" s="204">
        <v>0.90083080453090458</v>
      </c>
      <c r="N75" s="215">
        <v>1824.4768327911486</v>
      </c>
      <c r="AO75" s="2"/>
    </row>
    <row r="76" spans="1:41">
      <c r="A76" s="2"/>
      <c r="B76" s="210" t="s">
        <v>480</v>
      </c>
      <c r="C76" s="211" t="s">
        <v>409</v>
      </c>
      <c r="D76" s="211" t="str">
        <f t="shared" si="13"/>
        <v>250 to 664 lumens</v>
      </c>
      <c r="E76" s="211" t="str">
        <f t="shared" si="11"/>
        <v>YESIncandescent and HalogenModerate and High-use InteriorReflectors and Outdoor250 to 664 lumens</v>
      </c>
      <c r="F76" s="203">
        <v>235</v>
      </c>
      <c r="G76" s="203">
        <v>2072726.7409362793</v>
      </c>
      <c r="H76" s="204">
        <f t="shared" si="12"/>
        <v>1.2500269324229501E-2</v>
      </c>
      <c r="I76" s="213">
        <v>36.875192452490978</v>
      </c>
      <c r="J76" s="206">
        <v>4.831897288195707</v>
      </c>
      <c r="K76" s="214">
        <v>2.0600961243557925</v>
      </c>
      <c r="L76" s="214">
        <v>1.3870437704491934</v>
      </c>
      <c r="M76" s="204">
        <v>0.98904120549169894</v>
      </c>
      <c r="N76" s="215">
        <v>457.39190076663414</v>
      </c>
      <c r="AO76" s="2"/>
    </row>
    <row r="77" spans="1:41">
      <c r="A77" s="2"/>
      <c r="B77" s="210" t="s">
        <v>480</v>
      </c>
      <c r="C77" s="211" t="s">
        <v>409</v>
      </c>
      <c r="D77" s="211" t="str">
        <f t="shared" si="13"/>
        <v>665 to 1439 lumens</v>
      </c>
      <c r="E77" s="211" t="str">
        <f t="shared" si="11"/>
        <v>YESIncandescent and HalogenModerate and High-use InteriorReflectors and Outdoor665 to 1439 lumens</v>
      </c>
      <c r="F77" s="203">
        <v>1395</v>
      </c>
      <c r="G77" s="203">
        <v>15364103.476531982</v>
      </c>
      <c r="H77" s="204">
        <f t="shared" si="12"/>
        <v>9.2658345930938524E-2</v>
      </c>
      <c r="I77" s="213">
        <v>63.750944757460118</v>
      </c>
      <c r="J77" s="206">
        <v>6.9970891834903597</v>
      </c>
      <c r="K77" s="214">
        <v>2.1474506598096346</v>
      </c>
      <c r="L77" s="214">
        <v>1.3191523025903396</v>
      </c>
      <c r="M77" s="204">
        <v>0.98021681861352861</v>
      </c>
      <c r="N77" s="215">
        <v>964.92271751751707</v>
      </c>
      <c r="AO77" s="2"/>
    </row>
    <row r="78" spans="1:41">
      <c r="A78" s="2"/>
      <c r="B78" s="210" t="s">
        <v>480</v>
      </c>
      <c r="C78" s="211" t="s">
        <v>409</v>
      </c>
      <c r="D78" s="211" t="str">
        <f t="shared" si="13"/>
        <v>1440 to 2600 lumens</v>
      </c>
      <c r="E78" s="211" t="str">
        <f t="shared" si="11"/>
        <v>YESIncandescent and HalogenModerate and High-use InteriorReflectors and Outdoor1440 to 2600 lumens</v>
      </c>
      <c r="F78" s="203">
        <v>42</v>
      </c>
      <c r="G78" s="203">
        <v>315609.35662841797</v>
      </c>
      <c r="H78" s="204">
        <f t="shared" si="12"/>
        <v>1.9033873984372488E-3</v>
      </c>
      <c r="I78" s="213">
        <v>92.020786513107268</v>
      </c>
      <c r="J78" s="206">
        <v>6.5116376476221518</v>
      </c>
      <c r="K78" s="214">
        <v>1.9672684313246862</v>
      </c>
      <c r="L78" s="214">
        <v>1.4493398606392756</v>
      </c>
      <c r="M78" s="204">
        <v>0.89589865499713306</v>
      </c>
      <c r="N78" s="215">
        <v>1846.7761217535806</v>
      </c>
      <c r="AO78" s="2"/>
    </row>
    <row r="79" spans="1:41">
      <c r="A79" s="2"/>
      <c r="B79" s="210" t="s">
        <v>480</v>
      </c>
      <c r="C79" s="211" t="s">
        <v>410</v>
      </c>
      <c r="D79" s="211" t="str">
        <f t="shared" si="13"/>
        <v>250 to 664 lumens</v>
      </c>
      <c r="E79" s="211" t="str">
        <f t="shared" si="11"/>
        <v>YESIncandescent and HalogenModerate and High-use InteriorThree-Way250 to 664 lumens</v>
      </c>
      <c r="F79" s="203">
        <v>6</v>
      </c>
      <c r="G79" s="203">
        <v>27087.824340820313</v>
      </c>
      <c r="H79" s="204">
        <f t="shared" si="12"/>
        <v>1.6336215140193576E-4</v>
      </c>
      <c r="I79" s="213">
        <v>39.764738906253271</v>
      </c>
      <c r="J79" s="206">
        <v>2.1746741426522362</v>
      </c>
      <c r="K79" s="214">
        <v>1.7840747704079254</v>
      </c>
      <c r="L79" s="214">
        <v>1.5997978193153977</v>
      </c>
      <c r="M79" s="204">
        <v>1</v>
      </c>
      <c r="N79" s="215">
        <v>477.14153667962012</v>
      </c>
      <c r="AO79" s="2"/>
    </row>
    <row r="80" spans="1:41">
      <c r="A80" s="2"/>
      <c r="B80" s="210" t="s">
        <v>480</v>
      </c>
      <c r="C80" s="211" t="s">
        <v>410</v>
      </c>
      <c r="D80" s="211" t="str">
        <f t="shared" si="13"/>
        <v>665 to 1439 lumens</v>
      </c>
      <c r="E80" s="211" t="str">
        <f t="shared" si="11"/>
        <v>YESIncandescent and HalogenModerate and High-use InteriorThree-Way665 to 1439 lumens</v>
      </c>
      <c r="F80" s="203">
        <v>105</v>
      </c>
      <c r="G80" s="203">
        <v>349497.16363525391</v>
      </c>
      <c r="H80" s="204">
        <f t="shared" si="12"/>
        <v>2.1077591113247912E-3</v>
      </c>
      <c r="I80" s="213">
        <v>74.48319691210024</v>
      </c>
      <c r="J80" s="206">
        <v>4.2182051637414384</v>
      </c>
      <c r="K80" s="214">
        <v>1.9569961623937979</v>
      </c>
      <c r="L80" s="214">
        <v>1.4625922178886739</v>
      </c>
      <c r="M80" s="204">
        <v>1</v>
      </c>
      <c r="N80" s="215">
        <v>1138.390548368689</v>
      </c>
      <c r="AO80" s="2"/>
    </row>
    <row r="81" spans="1:41">
      <c r="A81" s="2"/>
      <c r="B81" s="210" t="s">
        <v>480</v>
      </c>
      <c r="C81" s="211" t="s">
        <v>410</v>
      </c>
      <c r="D81" s="211" t="str">
        <f t="shared" si="13"/>
        <v>1440 to 2600 lumens</v>
      </c>
      <c r="E81" s="211" t="str">
        <f t="shared" si="11"/>
        <v>YESIncandescent and HalogenModerate and High-use InteriorThree-Way1440 to 2600 lumens</v>
      </c>
      <c r="F81" s="203">
        <v>528</v>
      </c>
      <c r="G81" s="203">
        <v>1853391.0507507324</v>
      </c>
      <c r="H81" s="204">
        <f t="shared" si="12"/>
        <v>1.1177492353398986E-2</v>
      </c>
      <c r="I81" s="213">
        <v>116.6279141100857</v>
      </c>
      <c r="J81" s="206">
        <v>5.5753991393923519</v>
      </c>
      <c r="K81" s="214">
        <v>2.0072532026644549</v>
      </c>
      <c r="L81" s="214">
        <v>1.4214224235126045</v>
      </c>
      <c r="M81" s="204">
        <v>0.99920972224129778</v>
      </c>
      <c r="N81" s="215">
        <v>1991.7758559161432</v>
      </c>
      <c r="AO81" s="2"/>
    </row>
    <row r="82" spans="1:41">
      <c r="A82" s="2"/>
      <c r="B82" s="210" t="s">
        <v>481</v>
      </c>
      <c r="C82" s="211" t="s">
        <v>402</v>
      </c>
      <c r="D82" s="211" t="s">
        <v>403</v>
      </c>
      <c r="E82" s="211" t="str">
        <f t="shared" si="11"/>
        <v>YESIncandescent and HalogenLow-use InteriorDecorative and Mini-Base250 to 664 lumens</v>
      </c>
      <c r="F82" s="203">
        <v>494</v>
      </c>
      <c r="G82" s="203">
        <v>6086875.352722168</v>
      </c>
      <c r="H82" s="204">
        <f t="shared" si="12"/>
        <v>3.6708930197750879E-2</v>
      </c>
      <c r="I82" s="213">
        <v>31.056288641409019</v>
      </c>
      <c r="J82" s="206">
        <v>1.5575459676625192</v>
      </c>
      <c r="K82" s="214">
        <v>1.3229876854451406</v>
      </c>
      <c r="L82" s="214">
        <v>2.073532260621286</v>
      </c>
      <c r="M82" s="204">
        <v>0.99647057209171652</v>
      </c>
      <c r="N82" s="215">
        <v>413.51891373379578</v>
      </c>
      <c r="AO82" s="2"/>
    </row>
    <row r="83" spans="1:41">
      <c r="A83" s="2"/>
      <c r="B83" s="210" t="s">
        <v>481</v>
      </c>
      <c r="C83" s="211" t="s">
        <v>402</v>
      </c>
      <c r="D83" s="211" t="s">
        <v>406</v>
      </c>
      <c r="E83" s="211" t="str">
        <f t="shared" si="11"/>
        <v>YESIncandescent and HalogenLow-use InteriorDecorative and Mini-Base665 to 1439 lumens</v>
      </c>
      <c r="F83" s="203">
        <v>179</v>
      </c>
      <c r="G83" s="203">
        <v>1474350.2520751953</v>
      </c>
      <c r="H83" s="204">
        <f t="shared" si="12"/>
        <v>8.8915605058776884E-3</v>
      </c>
      <c r="I83" s="213">
        <v>51.344297637180865</v>
      </c>
      <c r="J83" s="206">
        <v>2.3221059188713338</v>
      </c>
      <c r="K83" s="214">
        <v>1.3336464384083153</v>
      </c>
      <c r="L83" s="214">
        <v>2.0584970385035781</v>
      </c>
      <c r="M83" s="204">
        <v>0.99835685960665377</v>
      </c>
      <c r="N83" s="215">
        <v>853.68747395828086</v>
      </c>
      <c r="AO83" s="2"/>
    </row>
    <row r="84" spans="1:41">
      <c r="A84" s="2"/>
      <c r="B84" s="210" t="s">
        <v>481</v>
      </c>
      <c r="C84" s="211" t="s">
        <v>402</v>
      </c>
      <c r="D84" s="211" t="s">
        <v>408</v>
      </c>
      <c r="E84" s="211" t="str">
        <f t="shared" si="11"/>
        <v>YESIncandescent and HalogenLow-use InteriorDecorative and Mini-Base1440 to 2600 lumens</v>
      </c>
      <c r="F84" s="203">
        <v>5</v>
      </c>
      <c r="G84" s="203">
        <v>25515.093322753906</v>
      </c>
      <c r="H84" s="204">
        <f t="shared" si="12"/>
        <v>1.5387727290245773E-4</v>
      </c>
      <c r="I84" s="213">
        <v>81.130253171012356</v>
      </c>
      <c r="J84" s="206">
        <v>2.0575519860417137</v>
      </c>
      <c r="K84" s="214">
        <v>1.348912070558995</v>
      </c>
      <c r="L84" s="214">
        <v>2.0340950641098092</v>
      </c>
      <c r="M84" s="204">
        <v>1</v>
      </c>
      <c r="N84" s="215">
        <v>1748.5925646572418</v>
      </c>
      <c r="AO84" s="2"/>
    </row>
    <row r="85" spans="1:41">
      <c r="A85" s="2"/>
      <c r="B85" s="210" t="s">
        <v>481</v>
      </c>
      <c r="C85" s="211" t="s">
        <v>405</v>
      </c>
      <c r="D85" s="211" t="str">
        <f>D82</f>
        <v>250 to 664 lumens</v>
      </c>
      <c r="E85" s="211" t="str">
        <f t="shared" si="11"/>
        <v>YESIncandescent and HalogenLow-use InteriorGeneral Purpose and Dimmable250 to 664 lumens</v>
      </c>
      <c r="F85" s="203">
        <v>934</v>
      </c>
      <c r="G85" s="203">
        <v>5742786.5003356934</v>
      </c>
      <c r="H85" s="204">
        <f t="shared" si="12"/>
        <v>3.4633787709671106E-2</v>
      </c>
      <c r="I85" s="213">
        <v>28.705298967647401</v>
      </c>
      <c r="J85" s="206">
        <v>2.3287270282193013</v>
      </c>
      <c r="K85" s="214">
        <v>1.3231501920856423</v>
      </c>
      <c r="L85" s="214">
        <v>2.0729918330982953</v>
      </c>
      <c r="M85" s="204">
        <v>0.97031964935798609</v>
      </c>
      <c r="N85" s="215">
        <v>473.42115259544403</v>
      </c>
      <c r="AO85" s="2"/>
    </row>
    <row r="86" spans="1:41">
      <c r="A86" s="2"/>
      <c r="B86" s="210" t="s">
        <v>481</v>
      </c>
      <c r="C86" s="211" t="s">
        <v>405</v>
      </c>
      <c r="D86" s="211" t="str">
        <f t="shared" ref="D86:D96" si="14">D83</f>
        <v>665 to 1439 lumens</v>
      </c>
      <c r="E86" s="211" t="str">
        <f t="shared" si="11"/>
        <v>YESIncandescent and HalogenLow-use InteriorGeneral Purpose and Dimmable665 to 1439 lumens</v>
      </c>
      <c r="F86" s="203">
        <v>4623</v>
      </c>
      <c r="G86" s="203">
        <v>23502341.87802124</v>
      </c>
      <c r="H86" s="204">
        <f t="shared" si="12"/>
        <v>0.14173870458808105</v>
      </c>
      <c r="I86" s="213">
        <v>44.015717484635118</v>
      </c>
      <c r="J86" s="206">
        <v>2.2630954365249663</v>
      </c>
      <c r="K86" s="214">
        <v>1.3404906259685949</v>
      </c>
      <c r="L86" s="214">
        <v>2.0482526878023872</v>
      </c>
      <c r="M86" s="204">
        <v>0.97992771969263459</v>
      </c>
      <c r="N86" s="215">
        <v>879.83667765238226</v>
      </c>
      <c r="AO86" s="2"/>
    </row>
    <row r="87" spans="1:41">
      <c r="A87" s="2"/>
      <c r="B87" s="210" t="s">
        <v>481</v>
      </c>
      <c r="C87" s="211" t="s">
        <v>405</v>
      </c>
      <c r="D87" s="211" t="str">
        <f t="shared" si="14"/>
        <v>1440 to 2600 lumens</v>
      </c>
      <c r="E87" s="211" t="str">
        <f t="shared" si="11"/>
        <v>YESIncandescent and HalogenLow-use InteriorGeneral Purpose and Dimmable1440 to 2600 lumens</v>
      </c>
      <c r="F87" s="203">
        <v>485</v>
      </c>
      <c r="G87" s="203">
        <v>2083868.2407226563</v>
      </c>
      <c r="H87" s="204">
        <f t="shared" si="12"/>
        <v>1.2567461851471489E-2</v>
      </c>
      <c r="I87" s="213">
        <v>72</v>
      </c>
      <c r="J87" s="206">
        <v>1.8882973008214881</v>
      </c>
      <c r="K87" s="214">
        <v>1.3590750905744515</v>
      </c>
      <c r="L87" s="214">
        <v>2.0223214606050539</v>
      </c>
      <c r="M87" s="204">
        <v>0.9381422804473778</v>
      </c>
      <c r="N87" s="215">
        <v>1716.6491033015288</v>
      </c>
      <c r="AO87" s="2"/>
    </row>
    <row r="88" spans="1:41">
      <c r="A88" s="2"/>
      <c r="B88" s="210" t="s">
        <v>481</v>
      </c>
      <c r="C88" s="211" t="s">
        <v>407</v>
      </c>
      <c r="D88" s="211" t="str">
        <f t="shared" si="14"/>
        <v>250 to 664 lumens</v>
      </c>
      <c r="E88" s="211" t="str">
        <f t="shared" si="11"/>
        <v>YESIncandescent and HalogenLow-use InteriorGlobe250 to 664 lumens</v>
      </c>
      <c r="F88" s="203">
        <v>691</v>
      </c>
      <c r="G88" s="203">
        <v>8717793.4221191406</v>
      </c>
      <c r="H88" s="204">
        <f t="shared" si="12"/>
        <v>5.2575558339282201E-2</v>
      </c>
      <c r="I88" s="213">
        <v>28.714586615662693</v>
      </c>
      <c r="J88" s="206">
        <v>2.1746741426522327</v>
      </c>
      <c r="K88" s="214">
        <v>1.3034700502773071</v>
      </c>
      <c r="L88" s="214">
        <v>2.1010788361014541</v>
      </c>
      <c r="M88" s="204">
        <v>0.99977015794259494</v>
      </c>
      <c r="N88" s="215">
        <v>473.32426901503334</v>
      </c>
      <c r="AO88" s="2"/>
    </row>
    <row r="89" spans="1:41">
      <c r="A89" s="2"/>
      <c r="B89" s="210" t="s">
        <v>481</v>
      </c>
      <c r="C89" s="211" t="s">
        <v>407</v>
      </c>
      <c r="D89" s="211" t="str">
        <f t="shared" si="14"/>
        <v>665 to 1439 lumens</v>
      </c>
      <c r="E89" s="211" t="str">
        <f t="shared" si="11"/>
        <v>YESIncandescent and HalogenLow-use InteriorGlobe665 to 1439 lumens</v>
      </c>
      <c r="F89" s="203">
        <v>405</v>
      </c>
      <c r="G89" s="203">
        <v>4553089.017578125</v>
      </c>
      <c r="H89" s="204">
        <f t="shared" si="12"/>
        <v>2.7458920586516316E-2</v>
      </c>
      <c r="I89" s="213">
        <v>43.292879245169587</v>
      </c>
      <c r="J89" s="206">
        <v>4.8056123158102535</v>
      </c>
      <c r="K89" s="214">
        <v>1.3020853555886207</v>
      </c>
      <c r="L89" s="214">
        <v>2.1030665428210464</v>
      </c>
      <c r="M89" s="204">
        <v>0.9965146316978637</v>
      </c>
      <c r="N89" s="215">
        <v>851.65750878425138</v>
      </c>
      <c r="AO89" s="2"/>
    </row>
    <row r="90" spans="1:41">
      <c r="A90" s="2"/>
      <c r="B90" s="210" t="s">
        <v>481</v>
      </c>
      <c r="C90" s="211" t="s">
        <v>407</v>
      </c>
      <c r="D90" s="211" t="str">
        <f t="shared" si="14"/>
        <v>1440 to 2600 lumens</v>
      </c>
      <c r="E90" s="211" t="str">
        <f t="shared" si="11"/>
        <v>YESIncandescent and HalogenLow-use InteriorGlobe1440 to 2600 lumens</v>
      </c>
      <c r="F90" s="203">
        <v>17</v>
      </c>
      <c r="G90" s="203">
        <v>143074.95886230469</v>
      </c>
      <c r="H90" s="204">
        <f t="shared" si="12"/>
        <v>8.6286121754958688E-4</v>
      </c>
      <c r="I90" s="213">
        <v>72</v>
      </c>
      <c r="J90" s="206">
        <v>5.575399139392359</v>
      </c>
      <c r="K90" s="214">
        <v>1.3116030166022594</v>
      </c>
      <c r="L90" s="214">
        <v>2.089748129518231</v>
      </c>
      <c r="M90" s="204">
        <v>0.9499854745458165</v>
      </c>
      <c r="N90" s="215">
        <v>1825.5679343172508</v>
      </c>
      <c r="AO90" s="2"/>
    </row>
    <row r="91" spans="1:41">
      <c r="A91" s="2"/>
      <c r="B91" s="210" t="s">
        <v>481</v>
      </c>
      <c r="C91" s="211" t="s">
        <v>409</v>
      </c>
      <c r="D91" s="211" t="str">
        <f t="shared" si="14"/>
        <v>250 to 664 lumens</v>
      </c>
      <c r="E91" s="211" t="str">
        <f t="shared" si="11"/>
        <v>YESIncandescent and HalogenLow-use InteriorReflectors and Outdoor250 to 664 lumens</v>
      </c>
      <c r="F91" s="203">
        <v>93</v>
      </c>
      <c r="G91" s="203">
        <v>822547.40454101563</v>
      </c>
      <c r="H91" s="204">
        <f t="shared" si="12"/>
        <v>4.960646227811053E-3</v>
      </c>
      <c r="I91" s="213">
        <v>39.453210971183672</v>
      </c>
      <c r="J91" s="206">
        <v>4.3801196336906862</v>
      </c>
      <c r="K91" s="214">
        <v>1.3224729084963405</v>
      </c>
      <c r="L91" s="214">
        <v>2.0743106734736472</v>
      </c>
      <c r="M91" s="204">
        <v>0.99536978000486387</v>
      </c>
      <c r="N91" s="215">
        <v>485.73742645429837</v>
      </c>
      <c r="AO91" s="2"/>
    </row>
    <row r="92" spans="1:41">
      <c r="A92" s="2"/>
      <c r="B92" s="210" t="s">
        <v>481</v>
      </c>
      <c r="C92" s="211" t="s">
        <v>409</v>
      </c>
      <c r="D92" s="211" t="str">
        <f t="shared" si="14"/>
        <v>665 to 1439 lumens</v>
      </c>
      <c r="E92" s="211" t="str">
        <f t="shared" si="11"/>
        <v>YESIncandescent and HalogenLow-use InteriorReflectors and Outdoor665 to 1439 lumens</v>
      </c>
      <c r="F92" s="203">
        <v>873</v>
      </c>
      <c r="G92" s="203">
        <v>6432272.0572814941</v>
      </c>
      <c r="H92" s="204">
        <f t="shared" si="12"/>
        <v>3.8791960124186141E-2</v>
      </c>
      <c r="I92" s="213">
        <v>63.939537328237783</v>
      </c>
      <c r="J92" s="206">
        <v>6.9569222855741462</v>
      </c>
      <c r="K92" s="214">
        <v>1.3387862640853463</v>
      </c>
      <c r="L92" s="214">
        <v>2.051205733325931</v>
      </c>
      <c r="M92" s="204">
        <v>0.99470756145917694</v>
      </c>
      <c r="N92" s="215">
        <v>972.36695879825027</v>
      </c>
      <c r="AO92" s="2"/>
    </row>
    <row r="93" spans="1:41">
      <c r="A93" s="2"/>
      <c r="B93" s="210" t="s">
        <v>481</v>
      </c>
      <c r="C93" s="211" t="s">
        <v>409</v>
      </c>
      <c r="D93" s="211" t="str">
        <f t="shared" si="14"/>
        <v>1440 to 2600 lumens</v>
      </c>
      <c r="E93" s="211" t="str">
        <f t="shared" si="11"/>
        <v>YESIncandescent and HalogenLow-use InteriorReflectors and Outdoor1440 to 2600 lumens</v>
      </c>
      <c r="F93" s="203">
        <v>80</v>
      </c>
      <c r="G93" s="203">
        <v>290967.13549804687</v>
      </c>
      <c r="H93" s="204">
        <f t="shared" si="12"/>
        <v>1.7547742721658549E-3</v>
      </c>
      <c r="I93" s="213">
        <v>99.373376669829881</v>
      </c>
      <c r="J93" s="206">
        <v>6.029503461851272</v>
      </c>
      <c r="K93" s="214">
        <v>1.3091695226815501</v>
      </c>
      <c r="L93" s="214">
        <v>2.0931459436578796</v>
      </c>
      <c r="M93" s="204">
        <v>0.97111658840517867</v>
      </c>
      <c r="N93" s="215">
        <v>2035.8316886932143</v>
      </c>
      <c r="AO93" s="2"/>
    </row>
    <row r="94" spans="1:41">
      <c r="A94" s="2"/>
      <c r="B94" s="210" t="s">
        <v>481</v>
      </c>
      <c r="C94" s="211" t="s">
        <v>410</v>
      </c>
      <c r="D94" s="211" t="str">
        <f t="shared" si="14"/>
        <v>250 to 664 lumens</v>
      </c>
      <c r="E94" s="211" t="str">
        <f t="shared" si="11"/>
        <v>YESIncandescent and HalogenLow-use InteriorThree-Way250 to 664 lumens</v>
      </c>
      <c r="F94" s="203">
        <v>1</v>
      </c>
      <c r="G94" s="203">
        <v>14869.47802734375</v>
      </c>
      <c r="H94" s="204">
        <f t="shared" si="12"/>
        <v>8.967534233120788E-5</v>
      </c>
      <c r="I94" s="213">
        <v>30</v>
      </c>
      <c r="J94" s="206">
        <v>2.1746741426522362</v>
      </c>
      <c r="K94" s="214">
        <v>1.3</v>
      </c>
      <c r="L94" s="214">
        <v>2.1060390670246933</v>
      </c>
      <c r="M94" s="204">
        <v>1</v>
      </c>
      <c r="N94" s="215">
        <v>300</v>
      </c>
      <c r="AO94" s="2"/>
    </row>
    <row r="95" spans="1:41">
      <c r="A95" s="2"/>
      <c r="B95" s="210" t="s">
        <v>481</v>
      </c>
      <c r="C95" s="211" t="s">
        <v>410</v>
      </c>
      <c r="D95" s="211" t="str">
        <f t="shared" si="14"/>
        <v>665 to 1439 lumens</v>
      </c>
      <c r="E95" s="211" t="str">
        <f t="shared" si="11"/>
        <v>YESIncandescent and HalogenLow-use InteriorThree-Way665 to 1439 lumens</v>
      </c>
      <c r="F95" s="203">
        <v>3</v>
      </c>
      <c r="G95" s="203">
        <v>9804.8828125</v>
      </c>
      <c r="H95" s="204">
        <f t="shared" si="12"/>
        <v>5.9131613168359627E-5</v>
      </c>
      <c r="I95" s="213">
        <v>69.557144653492955</v>
      </c>
      <c r="J95" s="206">
        <v>4.832609205893859</v>
      </c>
      <c r="K95" s="214">
        <v>1.3000000000000003</v>
      </c>
      <c r="L95" s="214">
        <v>2.1060390670246933</v>
      </c>
      <c r="M95" s="204">
        <v>1</v>
      </c>
      <c r="N95" s="215">
        <v>973.80002514890145</v>
      </c>
      <c r="AO95" s="2"/>
    </row>
    <row r="96" spans="1:41">
      <c r="A96" s="2"/>
      <c r="B96" s="210" t="s">
        <v>481</v>
      </c>
      <c r="C96" s="211" t="s">
        <v>410</v>
      </c>
      <c r="D96" s="211" t="str">
        <f t="shared" si="14"/>
        <v>1440 to 2600 lumens</v>
      </c>
      <c r="E96" s="211" t="str">
        <f t="shared" si="11"/>
        <v>YESIncandescent and HalogenLow-use InteriorThree-Way1440 to 2600 lumens</v>
      </c>
      <c r="F96" s="203">
        <v>46</v>
      </c>
      <c r="G96" s="203">
        <v>133030.56622314453</v>
      </c>
      <c r="H96" s="204">
        <f t="shared" si="12"/>
        <v>8.0228516055758114E-4</v>
      </c>
      <c r="I96" s="213">
        <v>119.76539013025679</v>
      </c>
      <c r="J96" s="206">
        <v>5.5753991393923545</v>
      </c>
      <c r="K96" s="214">
        <v>1.3481100119456109</v>
      </c>
      <c r="L96" s="214">
        <v>2.0384913572430383</v>
      </c>
      <c r="M96" s="204">
        <v>1</v>
      </c>
      <c r="N96" s="215">
        <v>2048.8052201222258</v>
      </c>
      <c r="AO96" s="2"/>
    </row>
    <row r="97" spans="1:41">
      <c r="A97" s="2"/>
      <c r="B97" s="210" t="s">
        <v>482</v>
      </c>
      <c r="C97" s="211" t="s">
        <v>402</v>
      </c>
      <c r="D97" s="211" t="s">
        <v>403</v>
      </c>
      <c r="E97" s="211" t="str">
        <f t="shared" si="11"/>
        <v>YESIncandescent and HalogenExteriorDecorative and Mini-Base250 to 664 lumens</v>
      </c>
      <c r="F97" s="203">
        <v>70</v>
      </c>
      <c r="G97" s="203">
        <v>901802.85900878906</v>
      </c>
      <c r="H97" s="204">
        <f t="shared" si="12"/>
        <v>5.4386226569730833E-3</v>
      </c>
      <c r="I97" s="213">
        <v>30.0120387457291</v>
      </c>
      <c r="J97" s="206">
        <v>1.8433087783360134</v>
      </c>
      <c r="K97" s="214">
        <v>3.7999999999999989</v>
      </c>
      <c r="L97" s="214">
        <v>0.72048704924528983</v>
      </c>
      <c r="M97" s="204">
        <v>0</v>
      </c>
      <c r="N97" s="215">
        <v>431.2793216108214</v>
      </c>
      <c r="AO97" s="2"/>
    </row>
    <row r="98" spans="1:41">
      <c r="A98" s="2"/>
      <c r="B98" s="210" t="s">
        <v>482</v>
      </c>
      <c r="C98" s="211" t="s">
        <v>402</v>
      </c>
      <c r="D98" s="211" t="s">
        <v>406</v>
      </c>
      <c r="E98" s="211" t="str">
        <f t="shared" si="11"/>
        <v>YESIncandescent and HalogenExteriorDecorative and Mini-Base665 to 1439 lumens</v>
      </c>
      <c r="F98" s="203">
        <v>33</v>
      </c>
      <c r="G98" s="203">
        <v>442365.6650390625</v>
      </c>
      <c r="H98" s="204">
        <f t="shared" si="12"/>
        <v>2.6678335564302791E-3</v>
      </c>
      <c r="I98" s="213">
        <v>49.025617616599845</v>
      </c>
      <c r="J98" s="206">
        <v>2.3053102965627406</v>
      </c>
      <c r="K98" s="214">
        <v>3.7999999999999994</v>
      </c>
      <c r="L98" s="214">
        <v>0.72048704924529017</v>
      </c>
      <c r="M98" s="204">
        <v>0</v>
      </c>
      <c r="N98" s="215">
        <v>852.04072746902193</v>
      </c>
      <c r="AO98" s="2"/>
    </row>
    <row r="99" spans="1:41">
      <c r="A99" s="2"/>
      <c r="B99" s="210" t="s">
        <v>482</v>
      </c>
      <c r="C99" s="211" t="s">
        <v>402</v>
      </c>
      <c r="D99" s="211" t="s">
        <v>408</v>
      </c>
      <c r="E99" s="211" t="str">
        <f t="shared" si="11"/>
        <v>YESIncandescent and HalogenExteriorDecorative and Mini-Base1440 to 2600 lumens</v>
      </c>
      <c r="F99" s="203">
        <v>1</v>
      </c>
      <c r="G99" s="203">
        <v>4956.49267578125</v>
      </c>
      <c r="H99" s="204">
        <f t="shared" si="12"/>
        <v>2.9891780777069292E-5</v>
      </c>
      <c r="I99" s="213">
        <v>150</v>
      </c>
      <c r="J99" s="206">
        <v>2.4073553266397183</v>
      </c>
      <c r="K99" s="214">
        <v>3.8000000000000003</v>
      </c>
      <c r="L99" s="214">
        <v>0.72048704924528983</v>
      </c>
      <c r="M99" s="204">
        <v>0</v>
      </c>
      <c r="N99" s="215">
        <v>2600</v>
      </c>
      <c r="AO99" s="2"/>
    </row>
    <row r="100" spans="1:41">
      <c r="A100" s="2"/>
      <c r="B100" s="210" t="s">
        <v>482</v>
      </c>
      <c r="C100" s="211" t="s">
        <v>405</v>
      </c>
      <c r="D100" s="211" t="str">
        <f>D97</f>
        <v>250 to 664 lumens</v>
      </c>
      <c r="E100" s="211" t="str">
        <f t="shared" si="11"/>
        <v>YESIncandescent and HalogenExteriorGeneral Purpose and Dimmable250 to 664 lumens</v>
      </c>
      <c r="F100" s="203">
        <v>100</v>
      </c>
      <c r="G100" s="203">
        <v>596595.53149414063</v>
      </c>
      <c r="H100" s="204">
        <f t="shared" si="12"/>
        <v>3.5979681614663295E-3</v>
      </c>
      <c r="I100" s="213">
        <v>28.64730351737494</v>
      </c>
      <c r="J100" s="206">
        <v>2.305493958423809</v>
      </c>
      <c r="K100" s="214">
        <v>3.7999999999999985</v>
      </c>
      <c r="L100" s="214">
        <v>0.72048704924529039</v>
      </c>
      <c r="M100" s="204">
        <v>0</v>
      </c>
      <c r="N100" s="215">
        <v>473.61875848482242</v>
      </c>
      <c r="AO100" s="2"/>
    </row>
    <row r="101" spans="1:41">
      <c r="A101" s="2"/>
      <c r="B101" s="210" t="s">
        <v>482</v>
      </c>
      <c r="C101" s="211" t="s">
        <v>405</v>
      </c>
      <c r="D101" s="211" t="str">
        <f t="shared" ref="D101:D111" si="15">D98</f>
        <v>665 to 1439 lumens</v>
      </c>
      <c r="E101" s="211" t="str">
        <f t="shared" si="11"/>
        <v>YESIncandescent and HalogenExteriorGeneral Purpose and Dimmable665 to 1439 lumens</v>
      </c>
      <c r="F101" s="203">
        <v>1025</v>
      </c>
      <c r="G101" s="203">
        <v>7086501.9652709961</v>
      </c>
      <c r="H101" s="204">
        <f t="shared" si="12"/>
        <v>4.2737511599119364E-2</v>
      </c>
      <c r="I101" s="213">
        <v>44.825658620226143</v>
      </c>
      <c r="J101" s="206">
        <v>2.27399488321903</v>
      </c>
      <c r="K101" s="214">
        <v>3.8000000000000234</v>
      </c>
      <c r="L101" s="214">
        <v>0.72048704924528584</v>
      </c>
      <c r="M101" s="204">
        <v>0</v>
      </c>
      <c r="N101" s="215">
        <v>902.33663901515467</v>
      </c>
      <c r="AO101" s="2"/>
    </row>
    <row r="102" spans="1:41">
      <c r="A102" s="2"/>
      <c r="B102" s="210" t="s">
        <v>482</v>
      </c>
      <c r="C102" s="211" t="s">
        <v>405</v>
      </c>
      <c r="D102" s="211" t="str">
        <f t="shared" si="15"/>
        <v>1440 to 2600 lumens</v>
      </c>
      <c r="E102" s="211" t="str">
        <f t="shared" si="11"/>
        <v>YESIncandescent and HalogenExteriorGeneral Purpose and Dimmable1440 to 2600 lumens</v>
      </c>
      <c r="F102" s="203">
        <v>153</v>
      </c>
      <c r="G102" s="203">
        <v>903905.42059326172</v>
      </c>
      <c r="H102" s="204">
        <f t="shared" si="12"/>
        <v>5.4513028552633878E-3</v>
      </c>
      <c r="I102" s="213">
        <v>72.117270458728683</v>
      </c>
      <c r="J102" s="206">
        <v>1.8882973008214876</v>
      </c>
      <c r="K102" s="214">
        <v>3.799999999999998</v>
      </c>
      <c r="L102" s="214">
        <v>0.72048704924528872</v>
      </c>
      <c r="M102" s="204">
        <v>0</v>
      </c>
      <c r="N102" s="215">
        <v>1715.8376861238867</v>
      </c>
      <c r="AO102" s="2"/>
    </row>
    <row r="103" spans="1:41">
      <c r="A103" s="2"/>
      <c r="B103" s="210" t="s">
        <v>482</v>
      </c>
      <c r="C103" s="211" t="s">
        <v>407</v>
      </c>
      <c r="D103" s="211" t="str">
        <f t="shared" si="15"/>
        <v>250 to 664 lumens</v>
      </c>
      <c r="E103" s="211" t="str">
        <f t="shared" si="11"/>
        <v>YESIncandescent and HalogenExteriorGlobe250 to 664 lumens</v>
      </c>
      <c r="F103" s="203">
        <v>9</v>
      </c>
      <c r="G103" s="203">
        <v>19283.730834960938</v>
      </c>
      <c r="H103" s="204">
        <f t="shared" si="12"/>
        <v>1.1629696488793999E-4</v>
      </c>
      <c r="I103" s="213">
        <v>29</v>
      </c>
      <c r="J103" s="206">
        <v>2.1746741426522367</v>
      </c>
      <c r="K103" s="214">
        <v>3.8</v>
      </c>
      <c r="L103" s="214">
        <v>0.72048704924528983</v>
      </c>
      <c r="M103" s="204">
        <v>0</v>
      </c>
      <c r="N103" s="215">
        <v>490</v>
      </c>
      <c r="AO103" s="2"/>
    </row>
    <row r="104" spans="1:41">
      <c r="A104" s="2"/>
      <c r="B104" s="210" t="s">
        <v>482</v>
      </c>
      <c r="C104" s="211" t="s">
        <v>407</v>
      </c>
      <c r="D104" s="211" t="str">
        <f t="shared" si="15"/>
        <v>665 to 1439 lumens</v>
      </c>
      <c r="E104" s="211" t="str">
        <f t="shared" si="11"/>
        <v>YESIncandescent and HalogenExteriorGlobe665 to 1439 lumens</v>
      </c>
      <c r="F104" s="203">
        <v>8</v>
      </c>
      <c r="G104" s="203">
        <v>63775.004028320312</v>
      </c>
      <c r="H104" s="204">
        <f t="shared" si="12"/>
        <v>3.8461641409987159E-4</v>
      </c>
      <c r="I104" s="213">
        <v>43.652291109940023</v>
      </c>
      <c r="J104" s="206">
        <v>4.7724826121252759</v>
      </c>
      <c r="K104" s="214">
        <v>3.8000000000000003</v>
      </c>
      <c r="L104" s="214">
        <v>0.72048704924528983</v>
      </c>
      <c r="M104" s="204">
        <v>0</v>
      </c>
      <c r="N104" s="215">
        <v>862.83018884790079</v>
      </c>
      <c r="AO104" s="2"/>
    </row>
    <row r="105" spans="1:41">
      <c r="A105" s="2"/>
      <c r="B105" s="210" t="s">
        <v>482</v>
      </c>
      <c r="C105" s="211" t="s">
        <v>407</v>
      </c>
      <c r="D105" s="211" t="str">
        <f t="shared" si="15"/>
        <v>1440 to 2600 lumens</v>
      </c>
      <c r="E105" s="211" t="str">
        <f t="shared" si="11"/>
        <v>YESIncandescent and HalogenExteriorGlobe1440 to 2600 lumens</v>
      </c>
      <c r="F105" s="203">
        <v>1</v>
      </c>
      <c r="G105" s="203">
        <v>41596.4296875</v>
      </c>
      <c r="H105" s="204">
        <f t="shared" si="12"/>
        <v>2.5086113077561273E-4</v>
      </c>
      <c r="I105" s="213">
        <v>72</v>
      </c>
      <c r="J105" s="206">
        <v>5.575399139392359</v>
      </c>
      <c r="K105" s="214">
        <v>3.8</v>
      </c>
      <c r="L105" s="214">
        <v>0.72048704924528983</v>
      </c>
      <c r="M105" s="204">
        <v>0</v>
      </c>
      <c r="N105" s="215">
        <v>1689.9999999999995</v>
      </c>
      <c r="AO105" s="2"/>
    </row>
    <row r="106" spans="1:41">
      <c r="A106" s="2"/>
      <c r="B106" s="210" t="s">
        <v>482</v>
      </c>
      <c r="C106" s="211" t="s">
        <v>409</v>
      </c>
      <c r="D106" s="211" t="str">
        <f t="shared" si="15"/>
        <v>250 to 664 lumens</v>
      </c>
      <c r="E106" s="211" t="str">
        <f t="shared" si="11"/>
        <v>YESIncandescent and HalogenExteriorReflectors and Outdoor250 to 664 lumens</v>
      </c>
      <c r="F106" s="203">
        <v>16</v>
      </c>
      <c r="G106" s="203">
        <v>110545.70971679687</v>
      </c>
      <c r="H106" s="204">
        <f t="shared" si="12"/>
        <v>6.6668274056900232E-4</v>
      </c>
      <c r="I106" s="213">
        <v>37.32050311563907</v>
      </c>
      <c r="J106" s="206">
        <v>4.2768615664851204</v>
      </c>
      <c r="K106" s="214">
        <v>3.7999999999999994</v>
      </c>
      <c r="L106" s="214">
        <v>0.72048704924528972</v>
      </c>
      <c r="M106" s="204">
        <v>0</v>
      </c>
      <c r="N106" s="215">
        <v>459.66160372960064</v>
      </c>
      <c r="AO106" s="2"/>
    </row>
    <row r="107" spans="1:41">
      <c r="A107" s="2"/>
      <c r="B107" s="210" t="s">
        <v>482</v>
      </c>
      <c r="C107" s="211" t="s">
        <v>409</v>
      </c>
      <c r="D107" s="211" t="str">
        <f t="shared" si="15"/>
        <v>665 to 1439 lumens</v>
      </c>
      <c r="E107" s="211" t="str">
        <f t="shared" si="11"/>
        <v>YESIncandescent and HalogenExteriorReflectors and Outdoor665 to 1439 lumens</v>
      </c>
      <c r="F107" s="203">
        <v>442</v>
      </c>
      <c r="G107" s="203">
        <v>4386469.6231689453</v>
      </c>
      <c r="H107" s="204">
        <f t="shared" si="12"/>
        <v>2.6454066804481383E-2</v>
      </c>
      <c r="I107" s="213">
        <v>66.054621266320538</v>
      </c>
      <c r="J107" s="206">
        <v>6.6472734504829099</v>
      </c>
      <c r="K107" s="214">
        <v>3.8000000000000016</v>
      </c>
      <c r="L107" s="214">
        <v>0.72048704924529017</v>
      </c>
      <c r="M107" s="204">
        <v>0</v>
      </c>
      <c r="N107" s="215">
        <v>1093.8325466483816</v>
      </c>
      <c r="AO107" s="2"/>
    </row>
    <row r="108" spans="1:41">
      <c r="A108" s="2"/>
      <c r="B108" s="210" t="s">
        <v>482</v>
      </c>
      <c r="C108" s="211" t="s">
        <v>409</v>
      </c>
      <c r="D108" s="211" t="str">
        <f t="shared" si="15"/>
        <v>1440 to 2600 lumens</v>
      </c>
      <c r="E108" s="211" t="str">
        <f t="shared" si="11"/>
        <v>YESIncandescent and HalogenExteriorReflectors and Outdoor1440 to 2600 lumens</v>
      </c>
      <c r="F108" s="203">
        <v>205</v>
      </c>
      <c r="G108" s="203">
        <v>1784980.512512207</v>
      </c>
      <c r="H108" s="204">
        <f t="shared" si="12"/>
        <v>1.0764919805504522E-2</v>
      </c>
      <c r="I108" s="213">
        <v>91.634076624729175</v>
      </c>
      <c r="J108" s="206">
        <v>6.5800745072035607</v>
      </c>
      <c r="K108" s="214">
        <v>3.799999999999998</v>
      </c>
      <c r="L108" s="214">
        <v>0.72048704924528972</v>
      </c>
      <c r="M108" s="204">
        <v>0</v>
      </c>
      <c r="N108" s="215">
        <v>1836.4674727990907</v>
      </c>
      <c r="AO108" s="2"/>
    </row>
    <row r="109" spans="1:41">
      <c r="A109" s="2"/>
      <c r="B109" s="210" t="s">
        <v>482</v>
      </c>
      <c r="C109" s="211" t="s">
        <v>410</v>
      </c>
      <c r="D109" s="211" t="str">
        <f t="shared" si="15"/>
        <v>250 to 664 lumens</v>
      </c>
      <c r="E109" s="211" t="str">
        <f t="shared" si="11"/>
        <v>YESIncandescent and HalogenExteriorThree-Way250 to 664 lumens</v>
      </c>
      <c r="F109" s="203">
        <v>0</v>
      </c>
      <c r="G109" s="203">
        <v>0</v>
      </c>
      <c r="H109" s="204">
        <f t="shared" si="12"/>
        <v>0</v>
      </c>
      <c r="I109" s="213" t="e">
        <v>#DIV/0!</v>
      </c>
      <c r="J109" s="206" t="e">
        <v>#DIV/0!</v>
      </c>
      <c r="K109" s="214" t="e">
        <v>#DIV/0!</v>
      </c>
      <c r="L109" s="214" t="e">
        <v>#DIV/0!</v>
      </c>
      <c r="M109" s="204" t="e">
        <v>#DIV/0!</v>
      </c>
      <c r="N109" s="215" t="e">
        <v>#DIV/0!</v>
      </c>
      <c r="AO109" s="2"/>
    </row>
    <row r="110" spans="1:41">
      <c r="A110" s="2"/>
      <c r="B110" s="210" t="s">
        <v>482</v>
      </c>
      <c r="C110" s="211" t="s">
        <v>410</v>
      </c>
      <c r="D110" s="211" t="str">
        <f t="shared" si="15"/>
        <v>665 to 1439 lumens</v>
      </c>
      <c r="E110" s="211" t="str">
        <f t="shared" si="11"/>
        <v>YESIncandescent and HalogenExteriorThree-Way665 to 1439 lumens</v>
      </c>
      <c r="F110" s="203">
        <v>0</v>
      </c>
      <c r="G110" s="203">
        <v>0</v>
      </c>
      <c r="H110" s="204">
        <f t="shared" si="12"/>
        <v>0</v>
      </c>
      <c r="I110" s="213" t="e">
        <v>#DIV/0!</v>
      </c>
      <c r="J110" s="206" t="e">
        <v>#DIV/0!</v>
      </c>
      <c r="K110" s="214" t="e">
        <v>#DIV/0!</v>
      </c>
      <c r="L110" s="214" t="e">
        <v>#DIV/0!</v>
      </c>
      <c r="M110" s="204" t="e">
        <v>#DIV/0!</v>
      </c>
      <c r="N110" s="215" t="e">
        <v>#DIV/0!</v>
      </c>
      <c r="AO110" s="2"/>
    </row>
    <row r="111" spans="1:41">
      <c r="A111" s="2"/>
      <c r="B111" s="210" t="s">
        <v>482</v>
      </c>
      <c r="C111" s="211" t="s">
        <v>410</v>
      </c>
      <c r="D111" s="211" t="str">
        <f t="shared" si="15"/>
        <v>1440 to 2600 lumens</v>
      </c>
      <c r="E111" s="211" t="str">
        <f t="shared" si="11"/>
        <v>YESIncandescent and HalogenExteriorThree-Way1440 to 2600 lumens</v>
      </c>
      <c r="F111" s="203">
        <v>2</v>
      </c>
      <c r="G111" s="203">
        <v>5532.193603515625</v>
      </c>
      <c r="H111" s="204">
        <f t="shared" si="12"/>
        <v>3.3363737067669254E-5</v>
      </c>
      <c r="I111" s="213">
        <v>150</v>
      </c>
      <c r="J111" s="206">
        <v>5.575399139392359</v>
      </c>
      <c r="K111" s="214">
        <v>3.8</v>
      </c>
      <c r="L111" s="214">
        <v>0.72048704924528983</v>
      </c>
      <c r="M111" s="204">
        <v>0</v>
      </c>
      <c r="N111" s="215">
        <v>2600</v>
      </c>
      <c r="AO111" s="2"/>
    </row>
    <row r="112" spans="1:41">
      <c r="A112" s="2"/>
      <c r="B112" s="54"/>
      <c r="C112" s="54"/>
      <c r="D112" s="54"/>
      <c r="AO112" s="2"/>
    </row>
    <row r="114" spans="1:13">
      <c r="A114" s="54" t="s">
        <v>483</v>
      </c>
    </row>
    <row r="116" spans="1:13" ht="38.25">
      <c r="A116" s="54" t="s">
        <v>484</v>
      </c>
      <c r="B116" s="54" t="s">
        <v>398</v>
      </c>
      <c r="C116" s="54" t="s">
        <v>419</v>
      </c>
      <c r="E116" s="158" t="s">
        <v>470</v>
      </c>
      <c r="F116" s="158" t="s">
        <v>471</v>
      </c>
      <c r="G116" s="158" t="s">
        <v>472</v>
      </c>
      <c r="H116" s="158" t="s">
        <v>473</v>
      </c>
      <c r="I116" s="158" t="s">
        <v>474</v>
      </c>
      <c r="J116" s="158" t="s">
        <v>485</v>
      </c>
      <c r="K116" s="158" t="s">
        <v>475</v>
      </c>
      <c r="L116" s="54" t="s">
        <v>476</v>
      </c>
      <c r="M116" s="158" t="s">
        <v>429</v>
      </c>
    </row>
    <row r="117" spans="1:13">
      <c r="A117" s="2" t="s">
        <v>404</v>
      </c>
      <c r="B117" s="1" t="s">
        <v>402</v>
      </c>
      <c r="C117" s="1" t="s">
        <v>403</v>
      </c>
      <c r="E117" s="1" t="str">
        <f>CONCATENATE(A117,B117,C117)</f>
        <v>Compact FluorescentDecorative and Mini-Base250 to 664 lumens</v>
      </c>
      <c r="F117" s="1">
        <v>4332</v>
      </c>
      <c r="G117" s="1">
        <v>95182</v>
      </c>
      <c r="H117" s="163">
        <f>G117/SUM($G$117:$G$146)</f>
        <v>3.6426887514542892E-3</v>
      </c>
      <c r="I117" s="31">
        <v>7.1775335672711229</v>
      </c>
      <c r="J117" s="31">
        <v>354.88122754302282</v>
      </c>
      <c r="K117" s="165">
        <v>3.458278035762985</v>
      </c>
      <c r="M117" s="31">
        <f>J117/I117</f>
        <v>49.443339305475043</v>
      </c>
    </row>
    <row r="118" spans="1:13">
      <c r="A118" s="2" t="s">
        <v>404</v>
      </c>
      <c r="B118" s="1" t="s">
        <v>402</v>
      </c>
      <c r="C118" s="1" t="s">
        <v>406</v>
      </c>
      <c r="E118" s="1" t="str">
        <f t="shared" ref="E118:E146" si="16">CONCATENATE(A118,B118,C118)</f>
        <v>Compact FluorescentDecorative and Mini-Base665 to 1439 lumens</v>
      </c>
      <c r="F118" s="1">
        <v>2572</v>
      </c>
      <c r="G118" s="1">
        <v>61071</v>
      </c>
      <c r="H118" s="163">
        <f t="shared" ref="H118:H146" si="17">G118/SUM($G$117:$G$146)</f>
        <v>2.337234400832772E-3</v>
      </c>
      <c r="I118" s="31">
        <v>13.238149039642384</v>
      </c>
      <c r="J118" s="31">
        <v>826.85235218024923</v>
      </c>
      <c r="K118" s="165">
        <v>2.4211814117993882</v>
      </c>
      <c r="M118" s="31">
        <f t="shared" ref="M118:M146" si="18">J118/I118</f>
        <v>62.459815923222592</v>
      </c>
    </row>
    <row r="119" spans="1:13">
      <c r="A119" s="2" t="s">
        <v>404</v>
      </c>
      <c r="B119" s="1" t="s">
        <v>402</v>
      </c>
      <c r="C119" s="1" t="s">
        <v>408</v>
      </c>
      <c r="E119" s="1" t="str">
        <f t="shared" si="16"/>
        <v>Compact FluorescentDecorative and Mini-Base1440 to 2600 lumens</v>
      </c>
      <c r="F119" s="1">
        <v>0</v>
      </c>
      <c r="G119" s="1">
        <v>0</v>
      </c>
      <c r="H119" s="163">
        <f t="shared" si="17"/>
        <v>0</v>
      </c>
      <c r="I119" s="31" t="e">
        <v>#DIV/0!</v>
      </c>
      <c r="J119" s="31" t="e">
        <v>#DIV/0!</v>
      </c>
      <c r="K119" s="165" t="e">
        <v>#DIV/0!</v>
      </c>
      <c r="M119" s="31" t="e">
        <f t="shared" si="18"/>
        <v>#DIV/0!</v>
      </c>
    </row>
    <row r="120" spans="1:13">
      <c r="A120" s="2" t="s">
        <v>404</v>
      </c>
      <c r="B120" s="1" t="s">
        <v>405</v>
      </c>
      <c r="C120" s="1" t="str">
        <f>C117</f>
        <v>250 to 664 lumens</v>
      </c>
      <c r="E120" s="1" t="str">
        <f t="shared" si="16"/>
        <v>Compact FluorescentGeneral Purpose and Dimmable250 to 664 lumens</v>
      </c>
      <c r="F120" s="1">
        <v>8813</v>
      </c>
      <c r="G120" s="1">
        <v>356464</v>
      </c>
      <c r="H120" s="163">
        <f t="shared" si="17"/>
        <v>1.3642152960627029E-2</v>
      </c>
      <c r="I120" s="31">
        <v>9.1826103056690158</v>
      </c>
      <c r="J120" s="31">
        <v>538.96401880694827</v>
      </c>
      <c r="K120" s="165">
        <v>2.1898859912922237</v>
      </c>
      <c r="M120" s="31">
        <f t="shared" si="18"/>
        <v>58.693987969217332</v>
      </c>
    </row>
    <row r="121" spans="1:13">
      <c r="A121" s="2" t="s">
        <v>404</v>
      </c>
      <c r="B121" s="1" t="s">
        <v>405</v>
      </c>
      <c r="C121" s="1" t="str">
        <f>C118</f>
        <v>665 to 1439 lumens</v>
      </c>
      <c r="E121" s="1" t="str">
        <f t="shared" si="16"/>
        <v>Compact FluorescentGeneral Purpose and Dimmable665 to 1439 lumens</v>
      </c>
      <c r="F121" s="1">
        <v>42110</v>
      </c>
      <c r="G121" s="1">
        <v>10453405</v>
      </c>
      <c r="H121" s="163">
        <f t="shared" si="17"/>
        <v>0.40005989376033313</v>
      </c>
      <c r="I121" s="31">
        <v>13.941581809946138</v>
      </c>
      <c r="J121" s="31">
        <v>906.35927001775974</v>
      </c>
      <c r="K121" s="165">
        <v>1.4728992237857326</v>
      </c>
      <c r="M121" s="31">
        <f t="shared" si="18"/>
        <v>65.011221995709931</v>
      </c>
    </row>
    <row r="122" spans="1:13">
      <c r="A122" s="2" t="s">
        <v>404</v>
      </c>
      <c r="B122" s="1" t="s">
        <v>405</v>
      </c>
      <c r="C122" s="1" t="str">
        <f>C119</f>
        <v>1440 to 2600 lumens</v>
      </c>
      <c r="E122" s="1" t="str">
        <f t="shared" si="16"/>
        <v>Compact FluorescentGeneral Purpose and Dimmable1440 to 2600 lumens</v>
      </c>
      <c r="F122" s="1">
        <v>20038</v>
      </c>
      <c r="G122" s="1">
        <v>3771785</v>
      </c>
      <c r="H122" s="163">
        <f t="shared" si="17"/>
        <v>0.14434912895719798</v>
      </c>
      <c r="I122" s="31">
        <v>23.08340957928408</v>
      </c>
      <c r="J122" s="31">
        <v>1604.129105980325</v>
      </c>
      <c r="K122" s="165">
        <v>1.9179627808849677</v>
      </c>
      <c r="M122" s="31">
        <f t="shared" si="18"/>
        <v>69.492728120196375</v>
      </c>
    </row>
    <row r="123" spans="1:13">
      <c r="A123" s="2" t="s">
        <v>404</v>
      </c>
      <c r="B123" s="1" t="s">
        <v>407</v>
      </c>
      <c r="C123" s="1" t="str">
        <f>C120</f>
        <v>250 to 664 lumens</v>
      </c>
      <c r="E123" s="1" t="str">
        <f t="shared" si="16"/>
        <v>Compact FluorescentGlobe250 to 664 lumens</v>
      </c>
      <c r="F123" s="1">
        <v>8940</v>
      </c>
      <c r="G123" s="1">
        <v>6204740</v>
      </c>
      <c r="H123" s="163">
        <f t="shared" si="17"/>
        <v>0.23746019839568919</v>
      </c>
      <c r="I123" s="31">
        <v>10.991723102015555</v>
      </c>
      <c r="J123" s="31">
        <v>554.51393934314729</v>
      </c>
      <c r="K123" s="165">
        <v>1.7146760251034388</v>
      </c>
      <c r="M123" s="31">
        <f t="shared" si="18"/>
        <v>50.448317720218583</v>
      </c>
    </row>
    <row r="124" spans="1:13">
      <c r="A124" s="2" t="s">
        <v>404</v>
      </c>
      <c r="B124" s="1" t="s">
        <v>407</v>
      </c>
      <c r="C124" s="1" t="str">
        <f t="shared" ref="C124:C131" si="19">C121</f>
        <v>665 to 1439 lumens</v>
      </c>
      <c r="E124" s="1" t="str">
        <f t="shared" si="16"/>
        <v>Compact FluorescentGlobe665 to 1439 lumens</v>
      </c>
      <c r="F124" s="1">
        <v>4959</v>
      </c>
      <c r="G124" s="1">
        <v>60339</v>
      </c>
      <c r="H124" s="163">
        <f t="shared" si="17"/>
        <v>2.3092201947216948E-3</v>
      </c>
      <c r="I124" s="31">
        <v>14.235486169807256</v>
      </c>
      <c r="J124" s="31">
        <v>796.7965992144384</v>
      </c>
      <c r="K124" s="165">
        <v>5.0829624289431434</v>
      </c>
      <c r="M124" s="31">
        <f t="shared" si="18"/>
        <v>55.972559680076365</v>
      </c>
    </row>
    <row r="125" spans="1:13">
      <c r="A125" s="2" t="s">
        <v>404</v>
      </c>
      <c r="B125" s="1" t="s">
        <v>407</v>
      </c>
      <c r="C125" s="1" t="str">
        <f t="shared" si="19"/>
        <v>1440 to 2600 lumens</v>
      </c>
      <c r="E125" s="1" t="str">
        <f t="shared" si="16"/>
        <v>Compact FluorescentGlobe1440 to 2600 lumens</v>
      </c>
      <c r="F125" s="1">
        <v>0</v>
      </c>
      <c r="G125" s="1">
        <v>0</v>
      </c>
      <c r="H125" s="163">
        <f t="shared" si="17"/>
        <v>0</v>
      </c>
      <c r="I125" s="31" t="e">
        <v>#DIV/0!</v>
      </c>
      <c r="J125" s="31" t="e">
        <v>#DIV/0!</v>
      </c>
      <c r="K125" s="165" t="e">
        <v>#DIV/0!</v>
      </c>
      <c r="M125" s="31" t="e">
        <f t="shared" si="18"/>
        <v>#DIV/0!</v>
      </c>
    </row>
    <row r="126" spans="1:13">
      <c r="A126" s="2" t="s">
        <v>404</v>
      </c>
      <c r="B126" s="1" t="s">
        <v>409</v>
      </c>
      <c r="C126" s="1" t="str">
        <f t="shared" si="19"/>
        <v>250 to 664 lumens</v>
      </c>
      <c r="E126" s="1" t="str">
        <f t="shared" si="16"/>
        <v>Compact FluorescentReflectors and Outdoor250 to 664 lumens</v>
      </c>
      <c r="F126" s="1">
        <v>11910</v>
      </c>
      <c r="G126" s="1">
        <v>394333</v>
      </c>
      <c r="H126" s="163">
        <f t="shared" si="17"/>
        <v>1.5091428877594758E-2</v>
      </c>
      <c r="I126" s="31">
        <v>14.119104918939069</v>
      </c>
      <c r="J126" s="31">
        <v>629.24200865765738</v>
      </c>
      <c r="K126" s="165">
        <v>4.6692910687159506</v>
      </c>
      <c r="M126" s="31">
        <f t="shared" si="18"/>
        <v>44.566706761531705</v>
      </c>
    </row>
    <row r="127" spans="1:13">
      <c r="A127" s="2" t="s">
        <v>404</v>
      </c>
      <c r="B127" s="1" t="s">
        <v>409</v>
      </c>
      <c r="C127" s="1" t="str">
        <f t="shared" si="19"/>
        <v>665 to 1439 lumens</v>
      </c>
      <c r="E127" s="1" t="str">
        <f t="shared" si="16"/>
        <v>Compact FluorescentReflectors and Outdoor665 to 1439 lumens</v>
      </c>
      <c r="F127" s="1">
        <v>35018</v>
      </c>
      <c r="G127" s="1">
        <v>4129463</v>
      </c>
      <c r="H127" s="163">
        <f t="shared" si="17"/>
        <v>0.1580377426367032</v>
      </c>
      <c r="I127" s="31">
        <v>15.334836757224849</v>
      </c>
      <c r="J127" s="31">
        <v>755.99466565023101</v>
      </c>
      <c r="K127" s="165">
        <v>3.1556293233529593</v>
      </c>
      <c r="M127" s="31">
        <f t="shared" si="18"/>
        <v>49.299166180823669</v>
      </c>
    </row>
    <row r="128" spans="1:13">
      <c r="A128" s="2" t="s">
        <v>404</v>
      </c>
      <c r="B128" s="1" t="s">
        <v>409</v>
      </c>
      <c r="C128" s="1" t="str">
        <f t="shared" si="19"/>
        <v>1440 to 2600 lumens</v>
      </c>
      <c r="E128" s="1" t="str">
        <f t="shared" si="16"/>
        <v>Compact FluorescentReflectors and Outdoor1440 to 2600 lumens</v>
      </c>
      <c r="F128" s="1">
        <v>10</v>
      </c>
      <c r="G128" s="1">
        <v>6</v>
      </c>
      <c r="H128" s="163">
        <f t="shared" si="17"/>
        <v>2.2962464025473027E-7</v>
      </c>
      <c r="I128" s="31">
        <v>26</v>
      </c>
      <c r="J128" s="31">
        <v>1750</v>
      </c>
      <c r="K128" s="165">
        <v>9.99</v>
      </c>
      <c r="M128" s="31">
        <f t="shared" si="18"/>
        <v>67.307692307692307</v>
      </c>
    </row>
    <row r="129" spans="1:13">
      <c r="A129" s="2" t="s">
        <v>404</v>
      </c>
      <c r="B129" s="1" t="s">
        <v>410</v>
      </c>
      <c r="C129" s="1" t="str">
        <f t="shared" si="19"/>
        <v>250 to 664 lumens</v>
      </c>
      <c r="E129" s="1" t="str">
        <f t="shared" si="16"/>
        <v>Compact FluorescentThree-Way250 to 664 lumens</v>
      </c>
      <c r="F129" s="1">
        <v>0</v>
      </c>
      <c r="G129" s="1">
        <v>0</v>
      </c>
      <c r="H129" s="163">
        <f t="shared" si="17"/>
        <v>0</v>
      </c>
      <c r="I129" s="31" t="e">
        <v>#DIV/0!</v>
      </c>
      <c r="J129" s="31" t="e">
        <v>#DIV/0!</v>
      </c>
      <c r="K129" s="165" t="e">
        <v>#DIV/0!</v>
      </c>
      <c r="M129" s="31" t="e">
        <f t="shared" si="18"/>
        <v>#DIV/0!</v>
      </c>
    </row>
    <row r="130" spans="1:13">
      <c r="A130" s="2" t="s">
        <v>404</v>
      </c>
      <c r="B130" s="1" t="s">
        <v>410</v>
      </c>
      <c r="C130" s="1" t="str">
        <f t="shared" si="19"/>
        <v>665 to 1439 lumens</v>
      </c>
      <c r="E130" s="1" t="str">
        <f t="shared" si="16"/>
        <v>Compact FluorescentThree-Way665 to 1439 lumens</v>
      </c>
      <c r="F130" s="1">
        <v>4816</v>
      </c>
      <c r="G130" s="1">
        <v>9374</v>
      </c>
      <c r="H130" s="163">
        <f t="shared" si="17"/>
        <v>3.5875022962464023E-4</v>
      </c>
      <c r="I130" s="31">
        <v>30.59142308512908</v>
      </c>
      <c r="J130" s="31">
        <v>1291.2950714742906</v>
      </c>
      <c r="K130" s="165">
        <v>10.778237678685738</v>
      </c>
      <c r="M130" s="31">
        <f t="shared" si="18"/>
        <v>42.211016724553993</v>
      </c>
    </row>
    <row r="131" spans="1:13">
      <c r="A131" s="2" t="s">
        <v>404</v>
      </c>
      <c r="B131" s="1" t="s">
        <v>410</v>
      </c>
      <c r="C131" s="1" t="str">
        <f t="shared" si="19"/>
        <v>1440 to 2600 lumens</v>
      </c>
      <c r="E131" s="1" t="str">
        <f t="shared" si="16"/>
        <v>Compact FluorescentThree-Way1440 to 2600 lumens</v>
      </c>
      <c r="F131" s="1">
        <v>3810</v>
      </c>
      <c r="G131" s="1">
        <v>8138</v>
      </c>
      <c r="H131" s="163">
        <f t="shared" si="17"/>
        <v>3.1144755373216582E-4</v>
      </c>
      <c r="I131" s="31">
        <v>30.62202015237159</v>
      </c>
      <c r="J131" s="31">
        <v>1543.1543376751044</v>
      </c>
      <c r="K131" s="165">
        <v>12.551757188498522</v>
      </c>
      <c r="M131" s="31">
        <f t="shared" si="18"/>
        <v>50.393616423624209</v>
      </c>
    </row>
    <row r="132" spans="1:13">
      <c r="A132" s="2" t="s">
        <v>401</v>
      </c>
      <c r="B132" s="1" t="str">
        <f t="shared" ref="B132:C146" si="20">B117</f>
        <v>Decorative and Mini-Base</v>
      </c>
      <c r="C132" s="1" t="str">
        <f t="shared" si="20"/>
        <v>250 to 664 lumens</v>
      </c>
      <c r="E132" s="1" t="str">
        <f t="shared" si="16"/>
        <v>LEDDecorative and Mini-Base250 to 664 lumens</v>
      </c>
      <c r="F132" s="1">
        <v>0</v>
      </c>
      <c r="G132" s="1">
        <v>0</v>
      </c>
      <c r="H132" s="163">
        <f t="shared" si="17"/>
        <v>0</v>
      </c>
      <c r="I132" s="31" t="e">
        <v>#DIV/0!</v>
      </c>
      <c r="J132" s="31" t="e">
        <v>#DIV/0!</v>
      </c>
      <c r="K132" s="165" t="e">
        <v>#DIV/0!</v>
      </c>
      <c r="M132" s="31" t="e">
        <f t="shared" si="18"/>
        <v>#DIV/0!</v>
      </c>
    </row>
    <row r="133" spans="1:13">
      <c r="A133" s="2" t="s">
        <v>401</v>
      </c>
      <c r="B133" s="1" t="str">
        <f t="shared" si="20"/>
        <v>Decorative and Mini-Base</v>
      </c>
      <c r="C133" s="1" t="str">
        <f t="shared" si="20"/>
        <v>665 to 1439 lumens</v>
      </c>
      <c r="E133" s="1" t="str">
        <f t="shared" si="16"/>
        <v>LEDDecorative and Mini-Base665 to 1439 lumens</v>
      </c>
      <c r="F133" s="1">
        <v>0</v>
      </c>
      <c r="G133" s="1">
        <v>0</v>
      </c>
      <c r="H133" s="163">
        <f t="shared" si="17"/>
        <v>0</v>
      </c>
      <c r="I133" s="31" t="e">
        <v>#DIV/0!</v>
      </c>
      <c r="J133" s="31" t="e">
        <v>#DIV/0!</v>
      </c>
      <c r="K133" s="165" t="e">
        <v>#DIV/0!</v>
      </c>
      <c r="M133" s="31" t="e">
        <f t="shared" si="18"/>
        <v>#DIV/0!</v>
      </c>
    </row>
    <row r="134" spans="1:13">
      <c r="A134" s="2" t="s">
        <v>401</v>
      </c>
      <c r="B134" s="1" t="str">
        <f t="shared" si="20"/>
        <v>Decorative and Mini-Base</v>
      </c>
      <c r="C134" s="1" t="str">
        <f t="shared" si="20"/>
        <v>1440 to 2600 lumens</v>
      </c>
      <c r="E134" s="1" t="str">
        <f t="shared" si="16"/>
        <v>LEDDecorative and Mini-Base1440 to 2600 lumens</v>
      </c>
      <c r="F134" s="1">
        <v>0</v>
      </c>
      <c r="G134" s="1">
        <v>0</v>
      </c>
      <c r="H134" s="163">
        <f t="shared" si="17"/>
        <v>0</v>
      </c>
      <c r="I134" s="31" t="e">
        <v>#DIV/0!</v>
      </c>
      <c r="J134" s="31" t="e">
        <v>#DIV/0!</v>
      </c>
      <c r="K134" s="165" t="e">
        <v>#DIV/0!</v>
      </c>
      <c r="M134" s="31" t="e">
        <f t="shared" si="18"/>
        <v>#DIV/0!</v>
      </c>
    </row>
    <row r="135" spans="1:13">
      <c r="A135" s="2" t="s">
        <v>401</v>
      </c>
      <c r="B135" s="1" t="str">
        <f t="shared" si="20"/>
        <v>General Purpose and Dimmable</v>
      </c>
      <c r="C135" s="1" t="str">
        <f t="shared" si="20"/>
        <v>250 to 664 lumens</v>
      </c>
      <c r="E135" s="1" t="str">
        <f t="shared" si="16"/>
        <v>LEDGeneral Purpose and Dimmable250 to 664 lumens</v>
      </c>
      <c r="F135" s="1">
        <v>497</v>
      </c>
      <c r="G135" s="1">
        <v>341984</v>
      </c>
      <c r="H135" s="163">
        <f t="shared" si="17"/>
        <v>1.3087992162145613E-2</v>
      </c>
      <c r="I135" s="31">
        <v>7.9600917001965001</v>
      </c>
      <c r="J135" s="31">
        <v>498.98255473940299</v>
      </c>
      <c r="K135" s="165">
        <v>6.7335047253672657</v>
      </c>
      <c r="M135" s="31">
        <f t="shared" si="18"/>
        <v>62.685528450267135</v>
      </c>
    </row>
    <row r="136" spans="1:13">
      <c r="A136" s="2" t="s">
        <v>401</v>
      </c>
      <c r="B136" s="1" t="str">
        <f t="shared" si="20"/>
        <v>General Purpose and Dimmable</v>
      </c>
      <c r="C136" s="1" t="str">
        <f t="shared" si="20"/>
        <v>665 to 1439 lumens</v>
      </c>
      <c r="E136" s="1" t="str">
        <f t="shared" si="16"/>
        <v>LEDGeneral Purpose and Dimmable665 to 1439 lumens</v>
      </c>
      <c r="F136" s="1">
        <v>844</v>
      </c>
      <c r="G136" s="1">
        <v>53257</v>
      </c>
      <c r="H136" s="163">
        <f t="shared" si="17"/>
        <v>2.0381865776743615E-3</v>
      </c>
      <c r="I136" s="31">
        <v>12.19914565221473</v>
      </c>
      <c r="J136" s="31">
        <v>834.35484537243929</v>
      </c>
      <c r="K136" s="165">
        <v>12.053647595621213</v>
      </c>
      <c r="M136" s="31">
        <f t="shared" si="18"/>
        <v>68.394530990861966</v>
      </c>
    </row>
    <row r="137" spans="1:13">
      <c r="A137" s="2" t="s">
        <v>401</v>
      </c>
      <c r="B137" s="1" t="str">
        <f t="shared" si="20"/>
        <v>General Purpose and Dimmable</v>
      </c>
      <c r="C137" s="1" t="str">
        <f t="shared" si="20"/>
        <v>1440 to 2600 lumens</v>
      </c>
      <c r="E137" s="1" t="str">
        <f t="shared" si="16"/>
        <v>LEDGeneral Purpose and Dimmable1440 to 2600 lumens</v>
      </c>
      <c r="F137" s="1">
        <v>0</v>
      </c>
      <c r="G137" s="1">
        <v>0</v>
      </c>
      <c r="H137" s="163">
        <f t="shared" si="17"/>
        <v>0</v>
      </c>
      <c r="I137" s="31" t="e">
        <v>#DIV/0!</v>
      </c>
      <c r="J137" s="31" t="e">
        <v>#DIV/0!</v>
      </c>
      <c r="K137" s="165" t="e">
        <v>#DIV/0!</v>
      </c>
      <c r="M137" s="31" t="e">
        <f t="shared" si="18"/>
        <v>#DIV/0!</v>
      </c>
    </row>
    <row r="138" spans="1:13">
      <c r="A138" s="2" t="s">
        <v>401</v>
      </c>
      <c r="B138" s="1" t="str">
        <f t="shared" si="20"/>
        <v>Globe</v>
      </c>
      <c r="C138" s="1" t="str">
        <f t="shared" si="20"/>
        <v>250 to 664 lumens</v>
      </c>
      <c r="E138" s="1" t="str">
        <f t="shared" si="16"/>
        <v>LEDGlobe250 to 664 lumens</v>
      </c>
      <c r="F138" s="1">
        <v>144</v>
      </c>
      <c r="G138" s="1">
        <v>79897</v>
      </c>
      <c r="H138" s="163">
        <f t="shared" si="17"/>
        <v>3.0577199804053641E-3</v>
      </c>
      <c r="I138" s="31">
        <v>8.0046059301350496</v>
      </c>
      <c r="J138" s="31">
        <v>500.02302965067526</v>
      </c>
      <c r="K138" s="165">
        <v>6.6824863261449128</v>
      </c>
      <c r="M138" s="31">
        <f t="shared" si="18"/>
        <v>62.466913926172396</v>
      </c>
    </row>
    <row r="139" spans="1:13">
      <c r="A139" s="2" t="s">
        <v>401</v>
      </c>
      <c r="B139" s="1" t="str">
        <f t="shared" si="20"/>
        <v>Globe</v>
      </c>
      <c r="C139" s="1" t="str">
        <f t="shared" si="20"/>
        <v>665 to 1439 lumens</v>
      </c>
      <c r="E139" s="1" t="str">
        <f t="shared" si="16"/>
        <v>LEDGlobe665 to 1439 lumens</v>
      </c>
      <c r="F139" s="1">
        <v>0</v>
      </c>
      <c r="G139" s="1">
        <v>0</v>
      </c>
      <c r="H139" s="163">
        <f t="shared" si="17"/>
        <v>0</v>
      </c>
      <c r="I139" s="31" t="e">
        <v>#DIV/0!</v>
      </c>
      <c r="J139" s="31" t="e">
        <v>#DIV/0!</v>
      </c>
      <c r="K139" s="165" t="e">
        <v>#DIV/0!</v>
      </c>
      <c r="M139" s="31" t="e">
        <f t="shared" si="18"/>
        <v>#DIV/0!</v>
      </c>
    </row>
    <row r="140" spans="1:13">
      <c r="A140" s="2" t="s">
        <v>401</v>
      </c>
      <c r="B140" s="1" t="str">
        <f t="shared" si="20"/>
        <v>Globe</v>
      </c>
      <c r="C140" s="1" t="str">
        <f t="shared" si="20"/>
        <v>1440 to 2600 lumens</v>
      </c>
      <c r="E140" s="1" t="str">
        <f t="shared" si="16"/>
        <v>LEDGlobe1440 to 2600 lumens</v>
      </c>
      <c r="F140" s="1">
        <v>0</v>
      </c>
      <c r="G140" s="1">
        <v>0</v>
      </c>
      <c r="H140" s="163">
        <f t="shared" si="17"/>
        <v>0</v>
      </c>
      <c r="I140" s="31" t="e">
        <v>#DIV/0!</v>
      </c>
      <c r="J140" s="31" t="e">
        <v>#DIV/0!</v>
      </c>
      <c r="K140" s="165" t="e">
        <v>#DIV/0!</v>
      </c>
      <c r="M140" s="31" t="e">
        <f t="shared" si="18"/>
        <v>#DIV/0!</v>
      </c>
    </row>
    <row r="141" spans="1:13">
      <c r="A141" s="2" t="s">
        <v>401</v>
      </c>
      <c r="B141" s="1" t="str">
        <f t="shared" si="20"/>
        <v>Reflectors and Outdoor</v>
      </c>
      <c r="C141" s="1" t="str">
        <f t="shared" si="20"/>
        <v>250 to 664 lumens</v>
      </c>
      <c r="E141" s="1" t="str">
        <f t="shared" si="16"/>
        <v>LEDReflectors and Outdoor250 to 664 lumens</v>
      </c>
      <c r="F141" s="1">
        <v>767</v>
      </c>
      <c r="G141" s="1">
        <v>5043</v>
      </c>
      <c r="H141" s="163">
        <f t="shared" si="17"/>
        <v>1.929995101341008E-4</v>
      </c>
      <c r="I141" s="31">
        <v>11.133948046797542</v>
      </c>
      <c r="J141" s="31">
        <v>589.63712076145157</v>
      </c>
      <c r="K141" s="165">
        <v>21.496385088241176</v>
      </c>
      <c r="M141" s="31">
        <f t="shared" si="18"/>
        <v>52.95849399360624</v>
      </c>
    </row>
    <row r="142" spans="1:13">
      <c r="A142" s="2" t="s">
        <v>401</v>
      </c>
      <c r="B142" s="1" t="str">
        <f t="shared" si="20"/>
        <v>Reflectors and Outdoor</v>
      </c>
      <c r="C142" s="1" t="str">
        <f t="shared" si="20"/>
        <v>665 to 1439 lumens</v>
      </c>
      <c r="E142" s="1" t="str">
        <f t="shared" si="16"/>
        <v>LEDReflectors and Outdoor665 to 1439 lumens</v>
      </c>
      <c r="F142" s="1">
        <v>2217</v>
      </c>
      <c r="G142" s="1">
        <v>105119</v>
      </c>
      <c r="H142" s="163">
        <f t="shared" si="17"/>
        <v>4.0229854264894989E-3</v>
      </c>
      <c r="I142" s="31">
        <v>14.955084237863755</v>
      </c>
      <c r="J142" s="31">
        <v>851.95321492784365</v>
      </c>
      <c r="K142" s="165">
        <v>18.190142600291061</v>
      </c>
      <c r="M142" s="31">
        <f t="shared" si="18"/>
        <v>56.967463464421122</v>
      </c>
    </row>
    <row r="143" spans="1:13">
      <c r="A143" s="2" t="s">
        <v>401</v>
      </c>
      <c r="B143" s="1" t="str">
        <f t="shared" si="20"/>
        <v>Reflectors and Outdoor</v>
      </c>
      <c r="C143" s="1" t="str">
        <f t="shared" si="20"/>
        <v>1440 to 2600 lumens</v>
      </c>
      <c r="E143" s="1" t="str">
        <f t="shared" si="16"/>
        <v>LEDReflectors and Outdoor1440 to 2600 lumens</v>
      </c>
      <c r="F143" s="1">
        <v>0</v>
      </c>
      <c r="G143" s="1">
        <v>0</v>
      </c>
      <c r="H143" s="163">
        <f t="shared" si="17"/>
        <v>0</v>
      </c>
      <c r="I143" s="31" t="e">
        <v>#DIV/0!</v>
      </c>
      <c r="J143" s="31" t="e">
        <v>#DIV/0!</v>
      </c>
      <c r="K143" s="165" t="e">
        <v>#DIV/0!</v>
      </c>
      <c r="M143" s="31" t="e">
        <f t="shared" si="18"/>
        <v>#DIV/0!</v>
      </c>
    </row>
    <row r="144" spans="1:13">
      <c r="A144" s="2" t="s">
        <v>401</v>
      </c>
      <c r="B144" s="1" t="str">
        <f t="shared" si="20"/>
        <v>Three-Way</v>
      </c>
      <c r="C144" s="1" t="str">
        <f t="shared" si="20"/>
        <v>250 to 664 lumens</v>
      </c>
      <c r="E144" s="1" t="str">
        <f t="shared" si="16"/>
        <v>LEDThree-Way250 to 664 lumens</v>
      </c>
      <c r="F144" s="1">
        <v>0</v>
      </c>
      <c r="G144" s="1">
        <v>0</v>
      </c>
      <c r="H144" s="163">
        <f t="shared" si="17"/>
        <v>0</v>
      </c>
      <c r="I144" s="31" t="e">
        <v>#DIV/0!</v>
      </c>
      <c r="J144" s="31" t="e">
        <v>#DIV/0!</v>
      </c>
      <c r="K144" s="165" t="e">
        <v>#DIV/0!</v>
      </c>
      <c r="M144" s="31" t="e">
        <f t="shared" si="18"/>
        <v>#DIV/0!</v>
      </c>
    </row>
    <row r="145" spans="1:13">
      <c r="A145" s="2" t="s">
        <v>401</v>
      </c>
      <c r="B145" s="1" t="str">
        <f t="shared" si="20"/>
        <v>Three-Way</v>
      </c>
      <c r="C145" s="1" t="str">
        <f t="shared" si="20"/>
        <v>665 to 1439 lumens</v>
      </c>
      <c r="E145" s="1" t="str">
        <f t="shared" si="16"/>
        <v>LEDThree-Way665 to 1439 lumens</v>
      </c>
      <c r="F145" s="1">
        <v>0</v>
      </c>
      <c r="G145" s="1">
        <v>0</v>
      </c>
      <c r="H145" s="163">
        <f t="shared" si="17"/>
        <v>0</v>
      </c>
      <c r="I145" s="31" t="e">
        <v>#DIV/0!</v>
      </c>
      <c r="J145" s="31" t="e">
        <v>#DIV/0!</v>
      </c>
      <c r="K145" s="165" t="e">
        <v>#DIV/0!</v>
      </c>
      <c r="M145" s="31" t="e">
        <f t="shared" si="18"/>
        <v>#DIV/0!</v>
      </c>
    </row>
    <row r="146" spans="1:13">
      <c r="A146" s="2" t="s">
        <v>401</v>
      </c>
      <c r="B146" s="1" t="str">
        <f t="shared" si="20"/>
        <v>Three-Way</v>
      </c>
      <c r="C146" s="1" t="str">
        <f t="shared" si="20"/>
        <v>1440 to 2600 lumens</v>
      </c>
      <c r="E146" s="1" t="str">
        <f t="shared" si="16"/>
        <v>LEDThree-Way1440 to 2600 lumens</v>
      </c>
      <c r="F146" s="1">
        <v>0</v>
      </c>
      <c r="G146" s="1">
        <v>0</v>
      </c>
      <c r="H146" s="163">
        <f t="shared" si="17"/>
        <v>0</v>
      </c>
      <c r="I146" s="31" t="e">
        <v>#DIV/0!</v>
      </c>
      <c r="J146" s="31" t="e">
        <v>#DIV/0!</v>
      </c>
      <c r="K146" s="165" t="e">
        <v>#DIV/0!</v>
      </c>
      <c r="M146" s="31" t="e">
        <f t="shared" si="18"/>
        <v>#DIV/0!</v>
      </c>
    </row>
    <row r="147" spans="1:13">
      <c r="A147" s="2"/>
    </row>
    <row r="148" spans="1:13" ht="25.5">
      <c r="A148" s="54" t="s">
        <v>486</v>
      </c>
      <c r="F148" s="158" t="s">
        <v>471</v>
      </c>
      <c r="G148" s="158" t="s">
        <v>472</v>
      </c>
      <c r="H148" s="158" t="s">
        <v>2</v>
      </c>
      <c r="I148" s="158" t="s">
        <v>474</v>
      </c>
      <c r="J148" s="158" t="s">
        <v>485</v>
      </c>
      <c r="K148" s="158" t="s">
        <v>475</v>
      </c>
      <c r="L148" s="54" t="s">
        <v>476</v>
      </c>
      <c r="M148" s="158" t="s">
        <v>429</v>
      </c>
    </row>
    <row r="149" spans="1:13">
      <c r="A149" s="2" t="str">
        <f t="shared" ref="A149:C164" si="21">A117</f>
        <v>Compact Fluorescent</v>
      </c>
      <c r="B149" s="2" t="str">
        <f t="shared" si="21"/>
        <v>Decorative and Mini-Base</v>
      </c>
      <c r="C149" s="2" t="str">
        <f t="shared" si="21"/>
        <v>250 to 664 lumens</v>
      </c>
      <c r="E149" s="1" t="str">
        <f>CONCATENATE(A149,B149,C149)</f>
        <v>Compact FluorescentDecorative and Mini-Base250 to 664 lumens</v>
      </c>
      <c r="F149" s="1">
        <v>13</v>
      </c>
      <c r="G149" s="1">
        <f>F149</f>
        <v>13</v>
      </c>
      <c r="H149" s="163"/>
      <c r="I149" s="31">
        <v>7.7076923076923078</v>
      </c>
      <c r="J149" s="31">
        <v>348.46153846153845</v>
      </c>
      <c r="K149" s="31"/>
      <c r="L149" s="31">
        <v>9076.9230769230762</v>
      </c>
      <c r="M149" s="31">
        <f>J149/I149</f>
        <v>45.209580838323355</v>
      </c>
    </row>
    <row r="150" spans="1:13">
      <c r="A150" s="2" t="str">
        <f t="shared" si="21"/>
        <v>Compact Fluorescent</v>
      </c>
      <c r="B150" s="2" t="str">
        <f t="shared" si="21"/>
        <v>Decorative and Mini-Base</v>
      </c>
      <c r="C150" s="2" t="str">
        <f t="shared" si="21"/>
        <v>665 to 1439 lumens</v>
      </c>
      <c r="E150" s="1" t="str">
        <f t="shared" ref="E150:E178" si="22">CONCATENATE(A150,B150,C150)</f>
        <v>Compact FluorescentDecorative and Mini-Base665 to 1439 lumens</v>
      </c>
      <c r="F150" s="1">
        <v>1</v>
      </c>
      <c r="G150" s="1">
        <f t="shared" ref="G150:G178" si="23">F150</f>
        <v>1</v>
      </c>
      <c r="H150" s="163"/>
      <c r="I150" s="31">
        <v>17.100000000000001</v>
      </c>
      <c r="J150" s="31">
        <v>1100</v>
      </c>
      <c r="K150" s="31"/>
      <c r="L150" s="31">
        <v>8000</v>
      </c>
      <c r="M150" s="31">
        <f t="shared" ref="M150:M178" si="24">J150/I150</f>
        <v>64.327485380116954</v>
      </c>
    </row>
    <row r="151" spans="1:13">
      <c r="A151" s="2" t="str">
        <f t="shared" si="21"/>
        <v>Compact Fluorescent</v>
      </c>
      <c r="B151" s="2" t="str">
        <f t="shared" si="21"/>
        <v>Decorative and Mini-Base</v>
      </c>
      <c r="C151" s="2" t="str">
        <f t="shared" si="21"/>
        <v>1440 to 2600 lumens</v>
      </c>
      <c r="E151" s="1" t="str">
        <f t="shared" si="22"/>
        <v>Compact FluorescentDecorative and Mini-Base1440 to 2600 lumens</v>
      </c>
      <c r="F151" s="1">
        <v>0</v>
      </c>
      <c r="G151" s="1">
        <f t="shared" si="23"/>
        <v>0</v>
      </c>
      <c r="H151" s="163"/>
      <c r="I151" s="31" t="e">
        <v>#DIV/0!</v>
      </c>
      <c r="J151" s="31" t="e">
        <v>#DIV/0!</v>
      </c>
      <c r="K151" s="31"/>
      <c r="L151" s="31" t="e">
        <v>#DIV/0!</v>
      </c>
      <c r="M151" s="31" t="e">
        <f t="shared" si="24"/>
        <v>#DIV/0!</v>
      </c>
    </row>
    <row r="152" spans="1:13">
      <c r="A152" s="2" t="str">
        <f t="shared" si="21"/>
        <v>Compact Fluorescent</v>
      </c>
      <c r="B152" s="2" t="str">
        <f t="shared" si="21"/>
        <v>General Purpose and Dimmable</v>
      </c>
      <c r="C152" s="2" t="str">
        <f t="shared" si="21"/>
        <v>250 to 664 lumens</v>
      </c>
      <c r="E152" s="1" t="str">
        <f t="shared" si="22"/>
        <v>Compact FluorescentGeneral Purpose and Dimmable250 to 664 lumens</v>
      </c>
      <c r="F152" s="1">
        <v>73</v>
      </c>
      <c r="G152" s="1">
        <f t="shared" si="23"/>
        <v>73</v>
      </c>
      <c r="H152" s="163"/>
      <c r="I152" s="31">
        <v>9.5547945205479419</v>
      </c>
      <c r="J152" s="31">
        <v>541.36986301369859</v>
      </c>
      <c r="K152" s="31"/>
      <c r="L152" s="31">
        <v>10273.972602739726</v>
      </c>
      <c r="M152" s="31">
        <f t="shared" si="24"/>
        <v>56.659498207885321</v>
      </c>
    </row>
    <row r="153" spans="1:13">
      <c r="A153" s="2" t="str">
        <f t="shared" si="21"/>
        <v>Compact Fluorescent</v>
      </c>
      <c r="B153" s="2" t="str">
        <f t="shared" si="21"/>
        <v>General Purpose and Dimmable</v>
      </c>
      <c r="C153" s="2" t="str">
        <f t="shared" si="21"/>
        <v>665 to 1439 lumens</v>
      </c>
      <c r="E153" s="1" t="str">
        <f t="shared" si="22"/>
        <v>Compact FluorescentGeneral Purpose and Dimmable665 to 1439 lumens</v>
      </c>
      <c r="F153" s="1">
        <v>313</v>
      </c>
      <c r="G153" s="1">
        <f t="shared" si="23"/>
        <v>313</v>
      </c>
      <c r="H153" s="163"/>
      <c r="I153" s="31">
        <v>14.846006389776353</v>
      </c>
      <c r="J153" s="31">
        <v>952.75399361022369</v>
      </c>
      <c r="K153" s="31"/>
      <c r="L153" s="31">
        <v>10511.182108626199</v>
      </c>
      <c r="M153" s="31">
        <f t="shared" si="24"/>
        <v>64.175776878712256</v>
      </c>
    </row>
    <row r="154" spans="1:13">
      <c r="A154" s="2" t="str">
        <f t="shared" si="21"/>
        <v>Compact Fluorescent</v>
      </c>
      <c r="B154" s="2" t="str">
        <f t="shared" si="21"/>
        <v>General Purpose and Dimmable</v>
      </c>
      <c r="C154" s="2" t="str">
        <f t="shared" si="21"/>
        <v>1440 to 2600 lumens</v>
      </c>
      <c r="E154" s="1" t="str">
        <f t="shared" si="22"/>
        <v>Compact FluorescentGeneral Purpose and Dimmable1440 to 2600 lumens</v>
      </c>
      <c r="F154" s="1">
        <v>144</v>
      </c>
      <c r="G154" s="1">
        <f t="shared" si="23"/>
        <v>144</v>
      </c>
      <c r="H154" s="163"/>
      <c r="I154" s="31">
        <v>24.238194444444439</v>
      </c>
      <c r="J154" s="31">
        <v>1677.5833333333333</v>
      </c>
      <c r="K154" s="31"/>
      <c r="L154" s="31">
        <v>11291.666666666666</v>
      </c>
      <c r="M154" s="31">
        <f t="shared" si="24"/>
        <v>69.212388619889424</v>
      </c>
    </row>
    <row r="155" spans="1:13">
      <c r="A155" s="2" t="str">
        <f t="shared" si="21"/>
        <v>Compact Fluorescent</v>
      </c>
      <c r="B155" s="2" t="str">
        <f t="shared" si="21"/>
        <v>Globe</v>
      </c>
      <c r="C155" s="2" t="str">
        <f t="shared" si="21"/>
        <v>250 to 664 lumens</v>
      </c>
      <c r="E155" s="1" t="str">
        <f t="shared" si="22"/>
        <v>Compact FluorescentGlobe250 to 664 lumens</v>
      </c>
      <c r="F155" s="1">
        <v>19</v>
      </c>
      <c r="G155" s="1">
        <f t="shared" si="23"/>
        <v>19</v>
      </c>
      <c r="H155" s="163"/>
      <c r="I155" s="31">
        <v>9.8684210526315788</v>
      </c>
      <c r="J155" s="31">
        <v>535.52631578947364</v>
      </c>
      <c r="K155" s="31"/>
      <c r="L155" s="31">
        <v>9578.9473684210534</v>
      </c>
      <c r="M155" s="31">
        <f t="shared" si="24"/>
        <v>54.266666666666666</v>
      </c>
    </row>
    <row r="156" spans="1:13">
      <c r="A156" s="2" t="str">
        <f t="shared" si="21"/>
        <v>Compact Fluorescent</v>
      </c>
      <c r="B156" s="2" t="str">
        <f t="shared" si="21"/>
        <v>Globe</v>
      </c>
      <c r="C156" s="2" t="str">
        <f t="shared" si="21"/>
        <v>665 to 1439 lumens</v>
      </c>
      <c r="E156" s="1" t="str">
        <f t="shared" si="22"/>
        <v>Compact FluorescentGlobe665 to 1439 lumens</v>
      </c>
      <c r="F156" s="1">
        <v>13</v>
      </c>
      <c r="G156" s="1">
        <f t="shared" si="23"/>
        <v>13</v>
      </c>
      <c r="H156" s="163"/>
      <c r="I156" s="31">
        <v>14.092307692307692</v>
      </c>
      <c r="J156" s="31">
        <v>797.69230769230774</v>
      </c>
      <c r="K156" s="31"/>
      <c r="L156" s="31">
        <v>8461.538461538461</v>
      </c>
      <c r="M156" s="31">
        <f t="shared" si="24"/>
        <v>56.604803493449786</v>
      </c>
    </row>
    <row r="157" spans="1:13">
      <c r="A157" s="2" t="str">
        <f t="shared" si="21"/>
        <v>Compact Fluorescent</v>
      </c>
      <c r="B157" s="2" t="str">
        <f t="shared" si="21"/>
        <v>Globe</v>
      </c>
      <c r="C157" s="2" t="str">
        <f t="shared" si="21"/>
        <v>1440 to 2600 lumens</v>
      </c>
      <c r="E157" s="1" t="str">
        <f t="shared" si="22"/>
        <v>Compact FluorescentGlobe1440 to 2600 lumens</v>
      </c>
      <c r="F157" s="1">
        <v>0</v>
      </c>
      <c r="G157" s="1">
        <f t="shared" si="23"/>
        <v>0</v>
      </c>
      <c r="H157" s="163"/>
      <c r="I157" s="31" t="e">
        <v>#DIV/0!</v>
      </c>
      <c r="J157" s="31" t="e">
        <v>#DIV/0!</v>
      </c>
      <c r="K157" s="31"/>
      <c r="L157" s="31" t="e">
        <v>#DIV/0!</v>
      </c>
      <c r="M157" s="31" t="e">
        <f t="shared" si="24"/>
        <v>#DIV/0!</v>
      </c>
    </row>
    <row r="158" spans="1:13">
      <c r="A158" s="2" t="str">
        <f t="shared" si="21"/>
        <v>Compact Fluorescent</v>
      </c>
      <c r="B158" s="2" t="str">
        <f t="shared" si="21"/>
        <v>Reflectors and Outdoor</v>
      </c>
      <c r="C158" s="2" t="str">
        <f t="shared" si="21"/>
        <v>250 to 664 lumens</v>
      </c>
      <c r="E158" s="1" t="str">
        <f t="shared" si="22"/>
        <v>Compact FluorescentReflectors and Outdoor250 to 664 lumens</v>
      </c>
      <c r="F158" s="1">
        <v>25</v>
      </c>
      <c r="G158" s="1">
        <f t="shared" si="23"/>
        <v>25</v>
      </c>
      <c r="H158" s="163"/>
      <c r="I158" s="31">
        <v>13.412000000000001</v>
      </c>
      <c r="J158" s="31">
        <v>573.20000000000005</v>
      </c>
      <c r="K158" s="31"/>
      <c r="L158" s="31">
        <v>8400</v>
      </c>
      <c r="M158" s="31">
        <f t="shared" si="24"/>
        <v>42.737846704443783</v>
      </c>
    </row>
    <row r="159" spans="1:13">
      <c r="A159" s="2" t="str">
        <f t="shared" si="21"/>
        <v>Compact Fluorescent</v>
      </c>
      <c r="B159" s="2" t="str">
        <f t="shared" si="21"/>
        <v>Reflectors and Outdoor</v>
      </c>
      <c r="C159" s="2" t="str">
        <f t="shared" si="21"/>
        <v>665 to 1439 lumens</v>
      </c>
      <c r="E159" s="1" t="str">
        <f t="shared" si="22"/>
        <v>Compact FluorescentReflectors and Outdoor665 to 1439 lumens</v>
      </c>
      <c r="F159" s="1">
        <v>60</v>
      </c>
      <c r="G159" s="1">
        <f t="shared" si="23"/>
        <v>60</v>
      </c>
      <c r="H159" s="163"/>
      <c r="I159" s="31">
        <v>17.653333333333329</v>
      </c>
      <c r="J159" s="31">
        <v>905.33333333333337</v>
      </c>
      <c r="K159" s="31"/>
      <c r="L159" s="31">
        <v>9333.3333333333339</v>
      </c>
      <c r="M159" s="31">
        <f t="shared" si="24"/>
        <v>51.28398791540787</v>
      </c>
    </row>
    <row r="160" spans="1:13">
      <c r="A160" s="2" t="str">
        <f t="shared" si="21"/>
        <v>Compact Fluorescent</v>
      </c>
      <c r="B160" s="2" t="str">
        <f t="shared" si="21"/>
        <v>Reflectors and Outdoor</v>
      </c>
      <c r="C160" s="2" t="str">
        <f t="shared" si="21"/>
        <v>1440 to 2600 lumens</v>
      </c>
      <c r="E160" s="1" t="str">
        <f t="shared" si="22"/>
        <v>Compact FluorescentReflectors and Outdoor1440 to 2600 lumens</v>
      </c>
      <c r="F160" s="1">
        <v>0</v>
      </c>
      <c r="G160" s="1">
        <f t="shared" si="23"/>
        <v>0</v>
      </c>
      <c r="H160" s="163"/>
      <c r="I160" s="31" t="e">
        <v>#DIV/0!</v>
      </c>
      <c r="J160" s="31" t="e">
        <v>#DIV/0!</v>
      </c>
      <c r="K160" s="31"/>
      <c r="L160" s="31" t="e">
        <v>#DIV/0!</v>
      </c>
      <c r="M160" s="31" t="e">
        <f t="shared" si="24"/>
        <v>#DIV/0!</v>
      </c>
    </row>
    <row r="161" spans="1:13">
      <c r="A161" s="2" t="str">
        <f t="shared" si="21"/>
        <v>Compact Fluorescent</v>
      </c>
      <c r="B161" s="2" t="str">
        <f t="shared" si="21"/>
        <v>Three-Way</v>
      </c>
      <c r="C161" s="2" t="str">
        <f t="shared" si="21"/>
        <v>250 to 664 lumens</v>
      </c>
      <c r="E161" s="1" t="str">
        <f t="shared" si="22"/>
        <v>Compact FluorescentThree-Way250 to 664 lumens</v>
      </c>
      <c r="F161" s="1">
        <v>0</v>
      </c>
      <c r="G161" s="1">
        <f t="shared" si="23"/>
        <v>0</v>
      </c>
      <c r="H161" s="163"/>
      <c r="I161" s="31" t="e">
        <v>#DIV/0!</v>
      </c>
      <c r="J161" s="31" t="e">
        <v>#DIV/0!</v>
      </c>
      <c r="K161" s="31"/>
      <c r="L161" s="31" t="e">
        <v>#DIV/0!</v>
      </c>
      <c r="M161" s="31" t="e">
        <f t="shared" si="24"/>
        <v>#DIV/0!</v>
      </c>
    </row>
    <row r="162" spans="1:13">
      <c r="A162" s="2" t="str">
        <f t="shared" si="21"/>
        <v>Compact Fluorescent</v>
      </c>
      <c r="B162" s="2" t="str">
        <f t="shared" si="21"/>
        <v>Three-Way</v>
      </c>
      <c r="C162" s="2" t="str">
        <f t="shared" si="21"/>
        <v>665 to 1439 lumens</v>
      </c>
      <c r="E162" s="1" t="str">
        <f t="shared" si="22"/>
        <v>Compact FluorescentThree-Way665 to 1439 lumens</v>
      </c>
      <c r="F162" s="1">
        <v>0</v>
      </c>
      <c r="G162" s="1">
        <f t="shared" si="23"/>
        <v>0</v>
      </c>
      <c r="H162" s="163"/>
      <c r="I162" s="31" t="e">
        <v>#DIV/0!</v>
      </c>
      <c r="J162" s="31" t="e">
        <v>#DIV/0!</v>
      </c>
      <c r="K162" s="31"/>
      <c r="L162" s="31" t="e">
        <v>#DIV/0!</v>
      </c>
      <c r="M162" s="31" t="e">
        <f t="shared" si="24"/>
        <v>#DIV/0!</v>
      </c>
    </row>
    <row r="163" spans="1:13">
      <c r="A163" s="2" t="str">
        <f t="shared" si="21"/>
        <v>Compact Fluorescent</v>
      </c>
      <c r="B163" s="2" t="str">
        <f t="shared" si="21"/>
        <v>Three-Way</v>
      </c>
      <c r="C163" s="2" t="str">
        <f t="shared" si="21"/>
        <v>1440 to 2600 lumens</v>
      </c>
      <c r="E163" s="1" t="str">
        <f t="shared" si="22"/>
        <v>Compact FluorescentThree-Way1440 to 2600 lumens</v>
      </c>
      <c r="F163" s="1">
        <v>9</v>
      </c>
      <c r="G163" s="1">
        <f t="shared" si="23"/>
        <v>9</v>
      </c>
      <c r="H163" s="163"/>
      <c r="I163" s="31">
        <v>39.666666666666664</v>
      </c>
      <c r="J163" s="31">
        <v>1977.7777777777778</v>
      </c>
      <c r="K163" s="31"/>
      <c r="L163" s="31">
        <v>10000</v>
      </c>
      <c r="M163" s="31">
        <f t="shared" si="24"/>
        <v>49.859943977591044</v>
      </c>
    </row>
    <row r="164" spans="1:13">
      <c r="A164" s="2" t="str">
        <f t="shared" si="21"/>
        <v>LED</v>
      </c>
      <c r="B164" s="2" t="str">
        <f t="shared" si="21"/>
        <v>Decorative and Mini-Base</v>
      </c>
      <c r="C164" s="2" t="str">
        <f t="shared" si="21"/>
        <v>250 to 664 lumens</v>
      </c>
      <c r="E164" s="1" t="str">
        <f t="shared" si="22"/>
        <v>LEDDecorative and Mini-Base250 to 664 lumens</v>
      </c>
      <c r="F164" s="1">
        <v>74</v>
      </c>
      <c r="G164" s="1">
        <f t="shared" si="23"/>
        <v>74</v>
      </c>
      <c r="H164" s="163"/>
      <c r="I164" s="31">
        <v>4.9824324324324314</v>
      </c>
      <c r="J164" s="31">
        <v>311.48648648648651</v>
      </c>
      <c r="K164" s="31"/>
      <c r="L164" s="31">
        <v>22162.162162162163</v>
      </c>
      <c r="M164" s="31">
        <f t="shared" si="24"/>
        <v>62.516951451044228</v>
      </c>
    </row>
    <row r="165" spans="1:13">
      <c r="A165" s="2" t="str">
        <f t="shared" ref="A165:C178" si="25">A133</f>
        <v>LED</v>
      </c>
      <c r="B165" s="2" t="str">
        <f t="shared" si="25"/>
        <v>Decorative and Mini-Base</v>
      </c>
      <c r="C165" s="2" t="str">
        <f t="shared" si="25"/>
        <v>665 to 1439 lumens</v>
      </c>
      <c r="E165" s="1" t="str">
        <f t="shared" si="22"/>
        <v>LEDDecorative and Mini-Base665 to 1439 lumens</v>
      </c>
      <c r="F165" s="1">
        <v>0</v>
      </c>
      <c r="G165" s="1">
        <f t="shared" si="23"/>
        <v>0</v>
      </c>
      <c r="H165" s="163"/>
      <c r="I165" s="31" t="e">
        <v>#DIV/0!</v>
      </c>
      <c r="J165" s="31" t="e">
        <v>#DIV/0!</v>
      </c>
      <c r="K165" s="31"/>
      <c r="L165" s="31" t="e">
        <v>#DIV/0!</v>
      </c>
      <c r="M165" s="31" t="e">
        <f t="shared" si="24"/>
        <v>#DIV/0!</v>
      </c>
    </row>
    <row r="166" spans="1:13">
      <c r="A166" s="2" t="str">
        <f t="shared" si="25"/>
        <v>LED</v>
      </c>
      <c r="B166" s="2" t="str">
        <f t="shared" si="25"/>
        <v>Decorative and Mini-Base</v>
      </c>
      <c r="C166" s="2" t="str">
        <f t="shared" si="25"/>
        <v>1440 to 2600 lumens</v>
      </c>
      <c r="E166" s="1" t="str">
        <f t="shared" si="22"/>
        <v>LEDDecorative and Mini-Base1440 to 2600 lumens</v>
      </c>
      <c r="F166" s="1">
        <v>0</v>
      </c>
      <c r="G166" s="1">
        <f t="shared" si="23"/>
        <v>0</v>
      </c>
      <c r="H166" s="163"/>
      <c r="I166" s="31" t="e">
        <v>#DIV/0!</v>
      </c>
      <c r="J166" s="31" t="e">
        <v>#DIV/0!</v>
      </c>
      <c r="K166" s="31"/>
      <c r="L166" s="31" t="e">
        <v>#DIV/0!</v>
      </c>
      <c r="M166" s="31" t="e">
        <f t="shared" si="24"/>
        <v>#DIV/0!</v>
      </c>
    </row>
    <row r="167" spans="1:13">
      <c r="A167" s="2" t="str">
        <f t="shared" si="25"/>
        <v>LED</v>
      </c>
      <c r="B167" s="2" t="str">
        <f t="shared" si="25"/>
        <v>General Purpose and Dimmable</v>
      </c>
      <c r="C167" s="2" t="str">
        <f t="shared" si="25"/>
        <v>250 to 664 lumens</v>
      </c>
      <c r="E167" s="1" t="str">
        <f t="shared" si="22"/>
        <v>LEDGeneral Purpose and Dimmable250 to 664 lumens</v>
      </c>
      <c r="F167" s="1">
        <v>64</v>
      </c>
      <c r="G167" s="1">
        <f t="shared" si="23"/>
        <v>64</v>
      </c>
      <c r="H167" s="163"/>
      <c r="I167" s="31">
        <v>7.5687499999999996</v>
      </c>
      <c r="J167" s="31">
        <v>470.96875</v>
      </c>
      <c r="K167" s="31"/>
      <c r="L167" s="31">
        <v>27187.5</v>
      </c>
      <c r="M167" s="31">
        <f t="shared" si="24"/>
        <v>62.225433526011564</v>
      </c>
    </row>
    <row r="168" spans="1:13">
      <c r="A168" s="2" t="str">
        <f t="shared" si="25"/>
        <v>LED</v>
      </c>
      <c r="B168" s="2" t="str">
        <f t="shared" si="25"/>
        <v>General Purpose and Dimmable</v>
      </c>
      <c r="C168" s="2" t="str">
        <f t="shared" si="25"/>
        <v>665 to 1439 lumens</v>
      </c>
      <c r="E168" s="1" t="str">
        <f t="shared" si="22"/>
        <v>LEDGeneral Purpose and Dimmable665 to 1439 lumens</v>
      </c>
      <c r="F168" s="1">
        <v>178</v>
      </c>
      <c r="G168" s="1">
        <f t="shared" si="23"/>
        <v>178</v>
      </c>
      <c r="H168" s="163"/>
      <c r="I168" s="31">
        <v>12.280337078651684</v>
      </c>
      <c r="J168" s="31">
        <v>862.41573033707868</v>
      </c>
      <c r="K168" s="31"/>
      <c r="L168" s="31">
        <v>28483.146067415732</v>
      </c>
      <c r="M168" s="31">
        <f t="shared" si="24"/>
        <v>70.227366302209631</v>
      </c>
    </row>
    <row r="169" spans="1:13">
      <c r="A169" s="2" t="str">
        <f t="shared" si="25"/>
        <v>LED</v>
      </c>
      <c r="B169" s="2" t="str">
        <f t="shared" si="25"/>
        <v>General Purpose and Dimmable</v>
      </c>
      <c r="C169" s="2" t="str">
        <f t="shared" si="25"/>
        <v>1440 to 2600 lumens</v>
      </c>
      <c r="E169" s="1" t="str">
        <f t="shared" si="22"/>
        <v>LEDGeneral Purpose and Dimmable1440 to 2600 lumens</v>
      </c>
      <c r="F169" s="1">
        <v>23</v>
      </c>
      <c r="G169" s="1">
        <f t="shared" si="23"/>
        <v>23</v>
      </c>
      <c r="H169" s="163"/>
      <c r="I169" s="31">
        <v>22.243478260869566</v>
      </c>
      <c r="J169" s="31">
        <v>1640.6521739130435</v>
      </c>
      <c r="K169" s="31"/>
      <c r="L169" s="31">
        <v>25000</v>
      </c>
      <c r="M169" s="31">
        <f t="shared" si="24"/>
        <v>73.758795934323686</v>
      </c>
    </row>
    <row r="170" spans="1:13">
      <c r="A170" s="2" t="str">
        <f t="shared" si="25"/>
        <v>LED</v>
      </c>
      <c r="B170" s="2" t="str">
        <f t="shared" si="25"/>
        <v>Globe</v>
      </c>
      <c r="C170" s="2" t="str">
        <f t="shared" si="25"/>
        <v>250 to 664 lumens</v>
      </c>
      <c r="E170" s="1" t="str">
        <f t="shared" si="22"/>
        <v>LEDGlobe250 to 664 lumens</v>
      </c>
      <c r="F170" s="1">
        <v>69</v>
      </c>
      <c r="G170" s="1">
        <f t="shared" si="23"/>
        <v>69</v>
      </c>
      <c r="H170" s="163"/>
      <c r="I170" s="31">
        <v>6.494202898550725</v>
      </c>
      <c r="J170" s="31">
        <v>420.36231884057969</v>
      </c>
      <c r="K170" s="31"/>
      <c r="L170" s="31">
        <v>26086.956521739132</v>
      </c>
      <c r="M170" s="31">
        <f t="shared" si="24"/>
        <v>64.728855166257532</v>
      </c>
    </row>
    <row r="171" spans="1:13">
      <c r="A171" s="2" t="str">
        <f t="shared" si="25"/>
        <v>LED</v>
      </c>
      <c r="B171" s="2" t="str">
        <f t="shared" si="25"/>
        <v>Globe</v>
      </c>
      <c r="C171" s="2" t="str">
        <f t="shared" si="25"/>
        <v>665 to 1439 lumens</v>
      </c>
      <c r="E171" s="1" t="str">
        <f t="shared" si="22"/>
        <v>LEDGlobe665 to 1439 lumens</v>
      </c>
      <c r="F171" s="1">
        <v>3</v>
      </c>
      <c r="G171" s="1">
        <f t="shared" si="23"/>
        <v>3</v>
      </c>
      <c r="H171" s="163"/>
      <c r="I171" s="31">
        <v>10.5</v>
      </c>
      <c r="J171" s="31">
        <v>820</v>
      </c>
      <c r="K171" s="31"/>
      <c r="L171" s="31">
        <v>26666.666666666668</v>
      </c>
      <c r="M171" s="31">
        <f t="shared" si="24"/>
        <v>78.095238095238102</v>
      </c>
    </row>
    <row r="172" spans="1:13">
      <c r="A172" s="2" t="str">
        <f t="shared" si="25"/>
        <v>LED</v>
      </c>
      <c r="B172" s="2" t="str">
        <f t="shared" si="25"/>
        <v>Globe</v>
      </c>
      <c r="C172" s="2" t="str">
        <f t="shared" si="25"/>
        <v>1440 to 2600 lumens</v>
      </c>
      <c r="E172" s="1" t="str">
        <f t="shared" si="22"/>
        <v>LEDGlobe1440 to 2600 lumens</v>
      </c>
      <c r="F172" s="1">
        <v>0</v>
      </c>
      <c r="G172" s="1">
        <f t="shared" si="23"/>
        <v>0</v>
      </c>
      <c r="H172" s="163"/>
      <c r="I172" s="31" t="e">
        <v>#DIV/0!</v>
      </c>
      <c r="J172" s="31" t="e">
        <v>#DIV/0!</v>
      </c>
      <c r="K172" s="31"/>
      <c r="L172" s="31" t="e">
        <v>#DIV/0!</v>
      </c>
      <c r="M172" s="31" t="e">
        <f t="shared" si="24"/>
        <v>#DIV/0!</v>
      </c>
    </row>
    <row r="173" spans="1:13">
      <c r="A173" s="2" t="str">
        <f t="shared" si="25"/>
        <v>LED</v>
      </c>
      <c r="B173" s="2" t="str">
        <f t="shared" si="25"/>
        <v>Reflectors and Outdoor</v>
      </c>
      <c r="C173" s="2" t="str">
        <f t="shared" si="25"/>
        <v>250 to 664 lumens</v>
      </c>
      <c r="E173" s="1" t="str">
        <f t="shared" si="22"/>
        <v>LEDReflectors and Outdoor250 to 664 lumens</v>
      </c>
      <c r="F173" s="1">
        <v>460</v>
      </c>
      <c r="G173" s="1">
        <f t="shared" si="23"/>
        <v>460</v>
      </c>
      <c r="H173" s="163"/>
      <c r="I173" s="31">
        <v>7.8447826086956489</v>
      </c>
      <c r="J173" s="31">
        <v>468.28043478260872</v>
      </c>
      <c r="K173" s="31"/>
      <c r="L173" s="31">
        <v>29847.82608695652</v>
      </c>
      <c r="M173" s="31">
        <f t="shared" si="24"/>
        <v>59.693232832677523</v>
      </c>
    </row>
    <row r="174" spans="1:13">
      <c r="A174" s="2" t="str">
        <f t="shared" si="25"/>
        <v>LED</v>
      </c>
      <c r="B174" s="2" t="str">
        <f t="shared" si="25"/>
        <v>Reflectors and Outdoor</v>
      </c>
      <c r="C174" s="2" t="str">
        <f t="shared" si="25"/>
        <v>665 to 1439 lumens</v>
      </c>
      <c r="E174" s="1" t="str">
        <f t="shared" si="22"/>
        <v>LEDReflectors and Outdoor665 to 1439 lumens</v>
      </c>
      <c r="F174" s="1">
        <v>998</v>
      </c>
      <c r="G174" s="1">
        <f t="shared" si="23"/>
        <v>998</v>
      </c>
      <c r="H174" s="163"/>
      <c r="I174" s="31">
        <v>15.160721442885766</v>
      </c>
      <c r="J174" s="31">
        <v>966.46993987975952</v>
      </c>
      <c r="K174" s="31"/>
      <c r="L174" s="31">
        <v>29834.669338677355</v>
      </c>
      <c r="M174" s="31">
        <f t="shared" si="24"/>
        <v>63.74828160524509</v>
      </c>
    </row>
    <row r="175" spans="1:13">
      <c r="A175" s="2" t="str">
        <f t="shared" si="25"/>
        <v>LED</v>
      </c>
      <c r="B175" s="2" t="str">
        <f t="shared" si="25"/>
        <v>Reflectors and Outdoor</v>
      </c>
      <c r="C175" s="2" t="str">
        <f t="shared" si="25"/>
        <v>1440 to 2600 lumens</v>
      </c>
      <c r="E175" s="1" t="str">
        <f t="shared" si="22"/>
        <v>LEDReflectors and Outdoor1440 to 2600 lumens</v>
      </c>
      <c r="F175" s="1">
        <v>17</v>
      </c>
      <c r="G175" s="1">
        <f t="shared" si="23"/>
        <v>17</v>
      </c>
      <c r="H175" s="163"/>
      <c r="I175" s="31">
        <v>20.735294117647058</v>
      </c>
      <c r="J175" s="31">
        <v>1648.5294117647059</v>
      </c>
      <c r="K175" s="31"/>
      <c r="L175" s="31">
        <v>30882.352941176472</v>
      </c>
      <c r="M175" s="31">
        <f t="shared" si="24"/>
        <v>79.503546099290787</v>
      </c>
    </row>
    <row r="176" spans="1:13">
      <c r="A176" s="2" t="str">
        <f t="shared" si="25"/>
        <v>LED</v>
      </c>
      <c r="B176" s="2" t="str">
        <f t="shared" si="25"/>
        <v>Three-Way</v>
      </c>
      <c r="C176" s="2" t="str">
        <f t="shared" si="25"/>
        <v>250 to 664 lumens</v>
      </c>
      <c r="E176" s="1" t="str">
        <f t="shared" si="22"/>
        <v>LEDThree-Way250 to 664 lumens</v>
      </c>
      <c r="F176" s="1">
        <v>0</v>
      </c>
      <c r="G176" s="1">
        <f t="shared" si="23"/>
        <v>0</v>
      </c>
      <c r="H176" s="163"/>
      <c r="I176" s="31" t="e">
        <v>#DIV/0!</v>
      </c>
      <c r="J176" s="31" t="e">
        <v>#DIV/0!</v>
      </c>
      <c r="K176" s="31"/>
      <c r="L176" s="31" t="e">
        <v>#DIV/0!</v>
      </c>
      <c r="M176" s="31" t="e">
        <f t="shared" si="24"/>
        <v>#DIV/0!</v>
      </c>
    </row>
    <row r="177" spans="1:13">
      <c r="A177" s="2" t="str">
        <f t="shared" si="25"/>
        <v>LED</v>
      </c>
      <c r="B177" s="2" t="str">
        <f t="shared" si="25"/>
        <v>Three-Way</v>
      </c>
      <c r="C177" s="2" t="str">
        <f t="shared" si="25"/>
        <v>665 to 1439 lumens</v>
      </c>
      <c r="E177" s="1" t="str">
        <f t="shared" si="22"/>
        <v>LEDThree-Way665 to 1439 lumens</v>
      </c>
      <c r="F177" s="1">
        <v>0</v>
      </c>
      <c r="G177" s="1">
        <f t="shared" si="23"/>
        <v>0</v>
      </c>
      <c r="H177" s="163"/>
      <c r="I177" s="31" t="e">
        <v>#DIV/0!</v>
      </c>
      <c r="J177" s="31" t="e">
        <v>#DIV/0!</v>
      </c>
      <c r="K177" s="31"/>
      <c r="L177" s="31" t="e">
        <v>#DIV/0!</v>
      </c>
      <c r="M177" s="31" t="e">
        <f t="shared" si="24"/>
        <v>#DIV/0!</v>
      </c>
    </row>
    <row r="178" spans="1:13">
      <c r="A178" s="2" t="str">
        <f t="shared" si="25"/>
        <v>LED</v>
      </c>
      <c r="B178" s="2" t="str">
        <f t="shared" si="25"/>
        <v>Three-Way</v>
      </c>
      <c r="C178" s="2" t="str">
        <f t="shared" si="25"/>
        <v>1440 to 2600 lumens</v>
      </c>
      <c r="E178" s="1" t="str">
        <f t="shared" si="22"/>
        <v>LEDThree-Way1440 to 2600 lumens</v>
      </c>
      <c r="F178" s="1">
        <v>0</v>
      </c>
      <c r="G178" s="1">
        <f t="shared" si="23"/>
        <v>0</v>
      </c>
      <c r="H178" s="163"/>
      <c r="I178" s="31" t="e">
        <v>#DIV/0!</v>
      </c>
      <c r="J178" s="31" t="e">
        <v>#DIV/0!</v>
      </c>
      <c r="K178" s="31"/>
      <c r="L178" s="31" t="e">
        <v>#DIV/0!</v>
      </c>
      <c r="M178" s="31" t="e">
        <f t="shared" si="24"/>
        <v>#DIV/0!</v>
      </c>
    </row>
    <row r="179" spans="1:13">
      <c r="A179" s="2"/>
      <c r="B179" s="2"/>
      <c r="C179" s="2"/>
      <c r="H179" s="163"/>
      <c r="I179" s="31"/>
      <c r="J179" s="31"/>
      <c r="K179" s="31"/>
      <c r="L179" s="31"/>
      <c r="M179" s="31"/>
    </row>
    <row r="180" spans="1:13">
      <c r="A180" s="33"/>
      <c r="B180" s="33"/>
      <c r="C180" s="2"/>
      <c r="D180" s="217"/>
      <c r="E180" s="217"/>
      <c r="F180" s="217"/>
    </row>
    <row r="181" spans="1:13">
      <c r="A181" s="33"/>
      <c r="B181" s="33"/>
      <c r="C181" s="2"/>
      <c r="D181" s="217"/>
      <c r="E181" s="217"/>
      <c r="F181" s="217"/>
    </row>
    <row r="182" spans="1:13">
      <c r="A182" s="33"/>
      <c r="B182" s="33"/>
      <c r="C182" s="2"/>
      <c r="D182" s="217"/>
      <c r="E182" s="217"/>
      <c r="F182" s="217"/>
    </row>
    <row r="183" spans="1:13">
      <c r="A183" s="33"/>
      <c r="B183" s="33"/>
      <c r="C183" s="2"/>
      <c r="D183" s="217"/>
      <c r="E183" s="217"/>
      <c r="F183" s="217"/>
    </row>
    <row r="184" spans="1:13">
      <c r="A184" s="33"/>
      <c r="B184" s="33"/>
      <c r="C184" s="2"/>
      <c r="D184" s="217"/>
      <c r="E184" s="217"/>
      <c r="F184" s="217"/>
    </row>
    <row r="185" spans="1:13">
      <c r="A185" s="33"/>
      <c r="B185" s="33"/>
      <c r="C185" s="2"/>
      <c r="D185" s="217"/>
      <c r="E185" s="217"/>
      <c r="F185" s="217"/>
    </row>
    <row r="186" spans="1:13">
      <c r="A186" s="33"/>
      <c r="B186" s="33"/>
      <c r="C186" s="2"/>
      <c r="D186" s="217"/>
      <c r="E186" s="217"/>
      <c r="F186" s="217"/>
    </row>
    <row r="187" spans="1:13">
      <c r="A187" s="33"/>
      <c r="B187" s="33"/>
      <c r="C187" s="2"/>
      <c r="D187" s="217"/>
      <c r="E187" s="217"/>
      <c r="F187" s="217"/>
    </row>
    <row r="188" spans="1:13">
      <c r="A188" s="2"/>
      <c r="B188" s="2"/>
      <c r="C188" s="2"/>
      <c r="D188" s="217"/>
      <c r="E188" s="217"/>
      <c r="F188" s="217"/>
    </row>
    <row r="189" spans="1:13">
      <c r="A189" s="2"/>
      <c r="B189" s="2"/>
      <c r="C189" s="2"/>
      <c r="D189" s="217"/>
      <c r="E189" s="217"/>
      <c r="F189" s="217"/>
    </row>
    <row r="190" spans="1:13">
      <c r="B190" s="2"/>
      <c r="C190" s="2"/>
    </row>
    <row r="191" spans="1:13">
      <c r="A191" s="2" t="s">
        <v>445</v>
      </c>
      <c r="F191" s="54" t="s">
        <v>487</v>
      </c>
      <c r="G191" s="54" t="s">
        <v>488</v>
      </c>
      <c r="H191" s="2" t="s">
        <v>489</v>
      </c>
    </row>
    <row r="192" spans="1:13">
      <c r="A192" s="1" t="str">
        <f t="shared" ref="A192:C207" si="26">A149</f>
        <v>Compact Fluorescent</v>
      </c>
      <c r="B192" s="1" t="str">
        <f t="shared" si="26"/>
        <v>Decorative and Mini-Base</v>
      </c>
      <c r="C192" s="1" t="str">
        <f t="shared" si="26"/>
        <v>250 to 664 lumens</v>
      </c>
      <c r="E192" s="1" t="str">
        <f t="shared" ref="E192:E221" si="27">CONCATENATE(A192,B192,C192)</f>
        <v>Compact FluorescentDecorative and Mini-Base250 to 664 lumens</v>
      </c>
      <c r="F192" s="1" t="b">
        <f t="shared" ref="F192:F221" si="28">IF(F117&gt;0,TRUE,FALSE)</f>
        <v>1</v>
      </c>
      <c r="G192" s="1" t="b">
        <f t="shared" ref="G192:G221" si="29">IF(F149&gt;0,TRUE,FALSE)</f>
        <v>1</v>
      </c>
      <c r="H192" s="1" t="b">
        <f>OR(F192,G192)</f>
        <v>1</v>
      </c>
    </row>
    <row r="193" spans="1:8">
      <c r="A193" s="1" t="str">
        <f t="shared" si="26"/>
        <v>Compact Fluorescent</v>
      </c>
      <c r="B193" s="1" t="str">
        <f t="shared" si="26"/>
        <v>Decorative and Mini-Base</v>
      </c>
      <c r="C193" s="1" t="str">
        <f t="shared" si="26"/>
        <v>665 to 1439 lumens</v>
      </c>
      <c r="E193" s="1" t="str">
        <f t="shared" si="27"/>
        <v>Compact FluorescentDecorative and Mini-Base665 to 1439 lumens</v>
      </c>
      <c r="F193" s="1" t="b">
        <f t="shared" si="28"/>
        <v>1</v>
      </c>
      <c r="G193" s="1" t="b">
        <f t="shared" si="29"/>
        <v>1</v>
      </c>
      <c r="H193" s="1" t="b">
        <f t="shared" ref="H193:H221" si="30">OR(F193,G193)</f>
        <v>1</v>
      </c>
    </row>
    <row r="194" spans="1:8">
      <c r="A194" s="218" t="str">
        <f t="shared" si="26"/>
        <v>Compact Fluorescent</v>
      </c>
      <c r="B194" s="218" t="str">
        <f t="shared" si="26"/>
        <v>Decorative and Mini-Base</v>
      </c>
      <c r="C194" s="218" t="str">
        <f t="shared" si="26"/>
        <v>1440 to 2600 lumens</v>
      </c>
      <c r="D194" s="218"/>
      <c r="E194" s="218" t="str">
        <f t="shared" si="27"/>
        <v>Compact FluorescentDecorative and Mini-Base1440 to 2600 lumens</v>
      </c>
      <c r="F194" s="1" t="b">
        <f t="shared" si="28"/>
        <v>0</v>
      </c>
      <c r="G194" s="1" t="b">
        <f t="shared" si="29"/>
        <v>0</v>
      </c>
      <c r="H194" s="1" t="b">
        <f t="shared" si="30"/>
        <v>0</v>
      </c>
    </row>
    <row r="195" spans="1:8">
      <c r="A195" s="1" t="str">
        <f t="shared" si="26"/>
        <v>Compact Fluorescent</v>
      </c>
      <c r="B195" s="1" t="str">
        <f t="shared" si="26"/>
        <v>General Purpose and Dimmable</v>
      </c>
      <c r="C195" s="1" t="str">
        <f t="shared" si="26"/>
        <v>250 to 664 lumens</v>
      </c>
      <c r="E195" s="1" t="str">
        <f t="shared" si="27"/>
        <v>Compact FluorescentGeneral Purpose and Dimmable250 to 664 lumens</v>
      </c>
      <c r="F195" s="1" t="b">
        <f t="shared" si="28"/>
        <v>1</v>
      </c>
      <c r="G195" s="1" t="b">
        <f t="shared" si="29"/>
        <v>1</v>
      </c>
      <c r="H195" s="1" t="b">
        <f t="shared" si="30"/>
        <v>1</v>
      </c>
    </row>
    <row r="196" spans="1:8">
      <c r="A196" s="1" t="str">
        <f t="shared" si="26"/>
        <v>Compact Fluorescent</v>
      </c>
      <c r="B196" s="1" t="str">
        <f t="shared" si="26"/>
        <v>General Purpose and Dimmable</v>
      </c>
      <c r="C196" s="1" t="str">
        <f t="shared" si="26"/>
        <v>665 to 1439 lumens</v>
      </c>
      <c r="E196" s="1" t="str">
        <f t="shared" si="27"/>
        <v>Compact FluorescentGeneral Purpose and Dimmable665 to 1439 lumens</v>
      </c>
      <c r="F196" s="1" t="b">
        <f t="shared" si="28"/>
        <v>1</v>
      </c>
      <c r="G196" s="1" t="b">
        <f t="shared" si="29"/>
        <v>1</v>
      </c>
      <c r="H196" s="1" t="b">
        <f t="shared" si="30"/>
        <v>1</v>
      </c>
    </row>
    <row r="197" spans="1:8">
      <c r="A197" s="1" t="str">
        <f t="shared" si="26"/>
        <v>Compact Fluorescent</v>
      </c>
      <c r="B197" s="1" t="str">
        <f t="shared" si="26"/>
        <v>General Purpose and Dimmable</v>
      </c>
      <c r="C197" s="1" t="str">
        <f t="shared" si="26"/>
        <v>1440 to 2600 lumens</v>
      </c>
      <c r="E197" s="1" t="str">
        <f t="shared" si="27"/>
        <v>Compact FluorescentGeneral Purpose and Dimmable1440 to 2600 lumens</v>
      </c>
      <c r="F197" s="1" t="b">
        <f t="shared" si="28"/>
        <v>1</v>
      </c>
      <c r="G197" s="1" t="b">
        <f t="shared" si="29"/>
        <v>1</v>
      </c>
      <c r="H197" s="1" t="b">
        <f t="shared" si="30"/>
        <v>1</v>
      </c>
    </row>
    <row r="198" spans="1:8">
      <c r="A198" s="1" t="str">
        <f t="shared" si="26"/>
        <v>Compact Fluorescent</v>
      </c>
      <c r="B198" s="1" t="str">
        <f t="shared" si="26"/>
        <v>Globe</v>
      </c>
      <c r="C198" s="1" t="str">
        <f t="shared" si="26"/>
        <v>250 to 664 lumens</v>
      </c>
      <c r="E198" s="1" t="str">
        <f t="shared" si="27"/>
        <v>Compact FluorescentGlobe250 to 664 lumens</v>
      </c>
      <c r="F198" s="1" t="b">
        <f t="shared" si="28"/>
        <v>1</v>
      </c>
      <c r="G198" s="1" t="b">
        <f t="shared" si="29"/>
        <v>1</v>
      </c>
      <c r="H198" s="1" t="b">
        <f t="shared" si="30"/>
        <v>1</v>
      </c>
    </row>
    <row r="199" spans="1:8">
      <c r="A199" s="1" t="str">
        <f t="shared" si="26"/>
        <v>Compact Fluorescent</v>
      </c>
      <c r="B199" s="1" t="str">
        <f t="shared" si="26"/>
        <v>Globe</v>
      </c>
      <c r="C199" s="1" t="str">
        <f t="shared" si="26"/>
        <v>665 to 1439 lumens</v>
      </c>
      <c r="E199" s="1" t="str">
        <f t="shared" si="27"/>
        <v>Compact FluorescentGlobe665 to 1439 lumens</v>
      </c>
      <c r="F199" s="1" t="b">
        <f t="shared" si="28"/>
        <v>1</v>
      </c>
      <c r="G199" s="1" t="b">
        <f t="shared" si="29"/>
        <v>1</v>
      </c>
      <c r="H199" s="1" t="b">
        <f t="shared" si="30"/>
        <v>1</v>
      </c>
    </row>
    <row r="200" spans="1:8">
      <c r="A200" s="218" t="str">
        <f t="shared" si="26"/>
        <v>Compact Fluorescent</v>
      </c>
      <c r="B200" s="218" t="str">
        <f t="shared" si="26"/>
        <v>Globe</v>
      </c>
      <c r="C200" s="218" t="str">
        <f t="shared" si="26"/>
        <v>1440 to 2600 lumens</v>
      </c>
      <c r="D200" s="218"/>
      <c r="E200" s="218" t="str">
        <f t="shared" si="27"/>
        <v>Compact FluorescentGlobe1440 to 2600 lumens</v>
      </c>
      <c r="F200" s="1" t="b">
        <f t="shared" si="28"/>
        <v>0</v>
      </c>
      <c r="G200" s="1" t="b">
        <f t="shared" si="29"/>
        <v>0</v>
      </c>
      <c r="H200" s="1" t="b">
        <f t="shared" si="30"/>
        <v>0</v>
      </c>
    </row>
    <row r="201" spans="1:8">
      <c r="A201" s="1" t="str">
        <f t="shared" si="26"/>
        <v>Compact Fluorescent</v>
      </c>
      <c r="B201" s="1" t="str">
        <f t="shared" si="26"/>
        <v>Reflectors and Outdoor</v>
      </c>
      <c r="C201" s="1" t="str">
        <f t="shared" si="26"/>
        <v>250 to 664 lumens</v>
      </c>
      <c r="E201" s="1" t="str">
        <f t="shared" si="27"/>
        <v>Compact FluorescentReflectors and Outdoor250 to 664 lumens</v>
      </c>
      <c r="F201" s="1" t="b">
        <f t="shared" si="28"/>
        <v>1</v>
      </c>
      <c r="G201" s="1" t="b">
        <f t="shared" si="29"/>
        <v>1</v>
      </c>
      <c r="H201" s="1" t="b">
        <f t="shared" si="30"/>
        <v>1</v>
      </c>
    </row>
    <row r="202" spans="1:8">
      <c r="A202" s="1" t="str">
        <f t="shared" si="26"/>
        <v>Compact Fluorescent</v>
      </c>
      <c r="B202" s="1" t="str">
        <f t="shared" si="26"/>
        <v>Reflectors and Outdoor</v>
      </c>
      <c r="C202" s="1" t="str">
        <f t="shared" si="26"/>
        <v>665 to 1439 lumens</v>
      </c>
      <c r="E202" s="1" t="str">
        <f t="shared" si="27"/>
        <v>Compact FluorescentReflectors and Outdoor665 to 1439 lumens</v>
      </c>
      <c r="F202" s="1" t="b">
        <f t="shared" si="28"/>
        <v>1</v>
      </c>
      <c r="G202" s="1" t="b">
        <f t="shared" si="29"/>
        <v>1</v>
      </c>
      <c r="H202" s="1" t="b">
        <f t="shared" si="30"/>
        <v>1</v>
      </c>
    </row>
    <row r="203" spans="1:8">
      <c r="A203" s="1" t="str">
        <f t="shared" si="26"/>
        <v>Compact Fluorescent</v>
      </c>
      <c r="B203" s="1" t="str">
        <f t="shared" si="26"/>
        <v>Reflectors and Outdoor</v>
      </c>
      <c r="C203" s="1" t="str">
        <f t="shared" si="26"/>
        <v>1440 to 2600 lumens</v>
      </c>
      <c r="E203" s="1" t="str">
        <f t="shared" si="27"/>
        <v>Compact FluorescentReflectors and Outdoor1440 to 2600 lumens</v>
      </c>
      <c r="F203" s="1" t="b">
        <f t="shared" si="28"/>
        <v>1</v>
      </c>
      <c r="G203" s="1" t="b">
        <f t="shared" si="29"/>
        <v>0</v>
      </c>
      <c r="H203" s="1" t="b">
        <f t="shared" si="30"/>
        <v>1</v>
      </c>
    </row>
    <row r="204" spans="1:8">
      <c r="A204" s="218" t="str">
        <f t="shared" si="26"/>
        <v>Compact Fluorescent</v>
      </c>
      <c r="B204" s="218" t="str">
        <f t="shared" si="26"/>
        <v>Three-Way</v>
      </c>
      <c r="C204" s="218" t="str">
        <f t="shared" si="26"/>
        <v>250 to 664 lumens</v>
      </c>
      <c r="D204" s="218"/>
      <c r="E204" s="218" t="str">
        <f t="shared" si="27"/>
        <v>Compact FluorescentThree-Way250 to 664 lumens</v>
      </c>
      <c r="F204" s="1" t="b">
        <f t="shared" si="28"/>
        <v>0</v>
      </c>
      <c r="G204" s="1" t="b">
        <f t="shared" si="29"/>
        <v>0</v>
      </c>
      <c r="H204" s="1" t="b">
        <f t="shared" si="30"/>
        <v>0</v>
      </c>
    </row>
    <row r="205" spans="1:8">
      <c r="A205" s="1" t="str">
        <f t="shared" si="26"/>
        <v>Compact Fluorescent</v>
      </c>
      <c r="B205" s="1" t="str">
        <f t="shared" si="26"/>
        <v>Three-Way</v>
      </c>
      <c r="C205" s="1" t="str">
        <f t="shared" si="26"/>
        <v>665 to 1439 lumens</v>
      </c>
      <c r="E205" s="1" t="str">
        <f t="shared" si="27"/>
        <v>Compact FluorescentThree-Way665 to 1439 lumens</v>
      </c>
      <c r="F205" s="1" t="b">
        <f t="shared" si="28"/>
        <v>1</v>
      </c>
      <c r="G205" s="1" t="b">
        <f t="shared" si="29"/>
        <v>0</v>
      </c>
      <c r="H205" s="1" t="b">
        <f t="shared" si="30"/>
        <v>1</v>
      </c>
    </row>
    <row r="206" spans="1:8">
      <c r="A206" s="1" t="str">
        <f t="shared" si="26"/>
        <v>Compact Fluorescent</v>
      </c>
      <c r="B206" s="1" t="str">
        <f t="shared" si="26"/>
        <v>Three-Way</v>
      </c>
      <c r="C206" s="1" t="str">
        <f t="shared" si="26"/>
        <v>1440 to 2600 lumens</v>
      </c>
      <c r="E206" s="1" t="str">
        <f t="shared" si="27"/>
        <v>Compact FluorescentThree-Way1440 to 2600 lumens</v>
      </c>
      <c r="F206" s="1" t="b">
        <f t="shared" si="28"/>
        <v>1</v>
      </c>
      <c r="G206" s="1" t="b">
        <f t="shared" si="29"/>
        <v>1</v>
      </c>
      <c r="H206" s="1" t="b">
        <f t="shared" si="30"/>
        <v>1</v>
      </c>
    </row>
    <row r="207" spans="1:8">
      <c r="A207" s="1" t="str">
        <f t="shared" si="26"/>
        <v>LED</v>
      </c>
      <c r="B207" s="1" t="str">
        <f t="shared" si="26"/>
        <v>Decorative and Mini-Base</v>
      </c>
      <c r="C207" s="1" t="str">
        <f t="shared" si="26"/>
        <v>250 to 664 lumens</v>
      </c>
      <c r="E207" s="1" t="str">
        <f t="shared" si="27"/>
        <v>LEDDecorative and Mini-Base250 to 664 lumens</v>
      </c>
      <c r="F207" s="1" t="b">
        <f t="shared" si="28"/>
        <v>0</v>
      </c>
      <c r="G207" s="1" t="b">
        <f t="shared" si="29"/>
        <v>1</v>
      </c>
      <c r="H207" s="1" t="b">
        <f t="shared" si="30"/>
        <v>1</v>
      </c>
    </row>
    <row r="208" spans="1:8">
      <c r="A208" s="218" t="str">
        <f t="shared" ref="A208:C221" si="31">A165</f>
        <v>LED</v>
      </c>
      <c r="B208" s="218" t="str">
        <f t="shared" si="31"/>
        <v>Decorative and Mini-Base</v>
      </c>
      <c r="C208" s="218" t="str">
        <f t="shared" si="31"/>
        <v>665 to 1439 lumens</v>
      </c>
      <c r="D208" s="218"/>
      <c r="E208" s="218" t="str">
        <f t="shared" si="27"/>
        <v>LEDDecorative and Mini-Base665 to 1439 lumens</v>
      </c>
      <c r="F208" s="1" t="b">
        <f t="shared" si="28"/>
        <v>0</v>
      </c>
      <c r="G208" s="1" t="b">
        <f t="shared" si="29"/>
        <v>0</v>
      </c>
      <c r="H208" s="1" t="b">
        <f t="shared" si="30"/>
        <v>0</v>
      </c>
    </row>
    <row r="209" spans="1:8">
      <c r="A209" s="218" t="str">
        <f t="shared" si="31"/>
        <v>LED</v>
      </c>
      <c r="B209" s="218" t="str">
        <f t="shared" si="31"/>
        <v>Decorative and Mini-Base</v>
      </c>
      <c r="C209" s="218" t="str">
        <f t="shared" si="31"/>
        <v>1440 to 2600 lumens</v>
      </c>
      <c r="D209" s="218"/>
      <c r="E209" s="218" t="str">
        <f t="shared" si="27"/>
        <v>LEDDecorative and Mini-Base1440 to 2600 lumens</v>
      </c>
      <c r="F209" s="1" t="b">
        <f t="shared" si="28"/>
        <v>0</v>
      </c>
      <c r="G209" s="1" t="b">
        <f t="shared" si="29"/>
        <v>0</v>
      </c>
      <c r="H209" s="1" t="b">
        <f t="shared" si="30"/>
        <v>0</v>
      </c>
    </row>
    <row r="210" spans="1:8">
      <c r="A210" s="1" t="str">
        <f t="shared" si="31"/>
        <v>LED</v>
      </c>
      <c r="B210" s="1" t="str">
        <f t="shared" si="31"/>
        <v>General Purpose and Dimmable</v>
      </c>
      <c r="C210" s="1" t="str">
        <f t="shared" si="31"/>
        <v>250 to 664 lumens</v>
      </c>
      <c r="E210" s="1" t="str">
        <f t="shared" si="27"/>
        <v>LEDGeneral Purpose and Dimmable250 to 664 lumens</v>
      </c>
      <c r="F210" s="1" t="b">
        <f t="shared" si="28"/>
        <v>1</v>
      </c>
      <c r="G210" s="1" t="b">
        <f t="shared" si="29"/>
        <v>1</v>
      </c>
      <c r="H210" s="1" t="b">
        <f t="shared" si="30"/>
        <v>1</v>
      </c>
    </row>
    <row r="211" spans="1:8">
      <c r="A211" s="1" t="str">
        <f t="shared" si="31"/>
        <v>LED</v>
      </c>
      <c r="B211" s="1" t="str">
        <f t="shared" si="31"/>
        <v>General Purpose and Dimmable</v>
      </c>
      <c r="C211" s="1" t="str">
        <f t="shared" si="31"/>
        <v>665 to 1439 lumens</v>
      </c>
      <c r="E211" s="1" t="str">
        <f t="shared" si="27"/>
        <v>LEDGeneral Purpose and Dimmable665 to 1439 lumens</v>
      </c>
      <c r="F211" s="1" t="b">
        <f t="shared" si="28"/>
        <v>1</v>
      </c>
      <c r="G211" s="1" t="b">
        <f t="shared" si="29"/>
        <v>1</v>
      </c>
      <c r="H211" s="1" t="b">
        <f t="shared" si="30"/>
        <v>1</v>
      </c>
    </row>
    <row r="212" spans="1:8">
      <c r="A212" s="1" t="str">
        <f t="shared" si="31"/>
        <v>LED</v>
      </c>
      <c r="B212" s="1" t="str">
        <f t="shared" si="31"/>
        <v>General Purpose and Dimmable</v>
      </c>
      <c r="C212" s="1" t="str">
        <f t="shared" si="31"/>
        <v>1440 to 2600 lumens</v>
      </c>
      <c r="E212" s="1" t="str">
        <f t="shared" si="27"/>
        <v>LEDGeneral Purpose and Dimmable1440 to 2600 lumens</v>
      </c>
      <c r="F212" s="1" t="b">
        <f t="shared" si="28"/>
        <v>0</v>
      </c>
      <c r="G212" s="1" t="b">
        <f t="shared" si="29"/>
        <v>1</v>
      </c>
      <c r="H212" s="1" t="b">
        <f t="shared" si="30"/>
        <v>1</v>
      </c>
    </row>
    <row r="213" spans="1:8">
      <c r="A213" s="1" t="str">
        <f t="shared" si="31"/>
        <v>LED</v>
      </c>
      <c r="B213" s="1" t="str">
        <f t="shared" si="31"/>
        <v>Globe</v>
      </c>
      <c r="C213" s="1" t="str">
        <f t="shared" si="31"/>
        <v>250 to 664 lumens</v>
      </c>
      <c r="E213" s="1" t="str">
        <f t="shared" si="27"/>
        <v>LEDGlobe250 to 664 lumens</v>
      </c>
      <c r="F213" s="1" t="b">
        <f t="shared" si="28"/>
        <v>1</v>
      </c>
      <c r="G213" s="1" t="b">
        <f t="shared" si="29"/>
        <v>1</v>
      </c>
      <c r="H213" s="1" t="b">
        <f t="shared" si="30"/>
        <v>1</v>
      </c>
    </row>
    <row r="214" spans="1:8">
      <c r="A214" s="1" t="str">
        <f t="shared" si="31"/>
        <v>LED</v>
      </c>
      <c r="B214" s="1" t="str">
        <f t="shared" si="31"/>
        <v>Globe</v>
      </c>
      <c r="C214" s="1" t="str">
        <f t="shared" si="31"/>
        <v>665 to 1439 lumens</v>
      </c>
      <c r="E214" s="1" t="str">
        <f t="shared" si="27"/>
        <v>LEDGlobe665 to 1439 lumens</v>
      </c>
      <c r="F214" s="1" t="b">
        <f t="shared" si="28"/>
        <v>0</v>
      </c>
      <c r="G214" s="1" t="b">
        <f t="shared" si="29"/>
        <v>1</v>
      </c>
      <c r="H214" s="1" t="b">
        <f t="shared" si="30"/>
        <v>1</v>
      </c>
    </row>
    <row r="215" spans="1:8">
      <c r="A215" s="218" t="str">
        <f t="shared" si="31"/>
        <v>LED</v>
      </c>
      <c r="B215" s="218" t="str">
        <f t="shared" si="31"/>
        <v>Globe</v>
      </c>
      <c r="C215" s="218" t="str">
        <f t="shared" si="31"/>
        <v>1440 to 2600 lumens</v>
      </c>
      <c r="D215" s="218"/>
      <c r="E215" s="218" t="str">
        <f t="shared" si="27"/>
        <v>LEDGlobe1440 to 2600 lumens</v>
      </c>
      <c r="F215" s="1" t="b">
        <f t="shared" si="28"/>
        <v>0</v>
      </c>
      <c r="G215" s="1" t="b">
        <f t="shared" si="29"/>
        <v>0</v>
      </c>
      <c r="H215" s="1" t="b">
        <f t="shared" si="30"/>
        <v>0</v>
      </c>
    </row>
    <row r="216" spans="1:8">
      <c r="A216" s="1" t="str">
        <f t="shared" si="31"/>
        <v>LED</v>
      </c>
      <c r="B216" s="1" t="str">
        <f t="shared" si="31"/>
        <v>Reflectors and Outdoor</v>
      </c>
      <c r="C216" s="1" t="str">
        <f t="shared" si="31"/>
        <v>250 to 664 lumens</v>
      </c>
      <c r="E216" s="1" t="str">
        <f t="shared" si="27"/>
        <v>LEDReflectors and Outdoor250 to 664 lumens</v>
      </c>
      <c r="F216" s="1" t="b">
        <f t="shared" si="28"/>
        <v>1</v>
      </c>
      <c r="G216" s="1" t="b">
        <f t="shared" si="29"/>
        <v>1</v>
      </c>
      <c r="H216" s="1" t="b">
        <f t="shared" si="30"/>
        <v>1</v>
      </c>
    </row>
    <row r="217" spans="1:8">
      <c r="A217" s="1" t="str">
        <f t="shared" si="31"/>
        <v>LED</v>
      </c>
      <c r="B217" s="1" t="str">
        <f t="shared" si="31"/>
        <v>Reflectors and Outdoor</v>
      </c>
      <c r="C217" s="1" t="str">
        <f t="shared" si="31"/>
        <v>665 to 1439 lumens</v>
      </c>
      <c r="E217" s="1" t="str">
        <f t="shared" si="27"/>
        <v>LEDReflectors and Outdoor665 to 1439 lumens</v>
      </c>
      <c r="F217" s="1" t="b">
        <f t="shared" si="28"/>
        <v>1</v>
      </c>
      <c r="G217" s="1" t="b">
        <f t="shared" si="29"/>
        <v>1</v>
      </c>
      <c r="H217" s="1" t="b">
        <f t="shared" si="30"/>
        <v>1</v>
      </c>
    </row>
    <row r="218" spans="1:8">
      <c r="A218" s="1" t="str">
        <f t="shared" si="31"/>
        <v>LED</v>
      </c>
      <c r="B218" s="1" t="str">
        <f t="shared" si="31"/>
        <v>Reflectors and Outdoor</v>
      </c>
      <c r="C218" s="1" t="str">
        <f t="shared" si="31"/>
        <v>1440 to 2600 lumens</v>
      </c>
      <c r="E218" s="1" t="str">
        <f t="shared" si="27"/>
        <v>LEDReflectors and Outdoor1440 to 2600 lumens</v>
      </c>
      <c r="F218" s="1" t="b">
        <f t="shared" si="28"/>
        <v>0</v>
      </c>
      <c r="G218" s="1" t="b">
        <f t="shared" si="29"/>
        <v>1</v>
      </c>
      <c r="H218" s="1" t="b">
        <f t="shared" si="30"/>
        <v>1</v>
      </c>
    </row>
    <row r="219" spans="1:8">
      <c r="A219" s="218" t="str">
        <f t="shared" si="31"/>
        <v>LED</v>
      </c>
      <c r="B219" s="218" t="str">
        <f t="shared" si="31"/>
        <v>Three-Way</v>
      </c>
      <c r="C219" s="218" t="str">
        <f t="shared" si="31"/>
        <v>250 to 664 lumens</v>
      </c>
      <c r="D219" s="218"/>
      <c r="E219" s="218" t="str">
        <f t="shared" si="27"/>
        <v>LEDThree-Way250 to 664 lumens</v>
      </c>
      <c r="F219" s="1" t="b">
        <f t="shared" si="28"/>
        <v>0</v>
      </c>
      <c r="G219" s="1" t="b">
        <f t="shared" si="29"/>
        <v>0</v>
      </c>
      <c r="H219" s="1" t="b">
        <f t="shared" si="30"/>
        <v>0</v>
      </c>
    </row>
    <row r="220" spans="1:8">
      <c r="A220" s="218" t="str">
        <f t="shared" si="31"/>
        <v>LED</v>
      </c>
      <c r="B220" s="218" t="str">
        <f t="shared" si="31"/>
        <v>Three-Way</v>
      </c>
      <c r="C220" s="218" t="str">
        <f t="shared" si="31"/>
        <v>665 to 1439 lumens</v>
      </c>
      <c r="D220" s="218"/>
      <c r="E220" s="218" t="str">
        <f t="shared" si="27"/>
        <v>LEDThree-Way665 to 1439 lumens</v>
      </c>
      <c r="F220" s="1" t="b">
        <f t="shared" si="28"/>
        <v>0</v>
      </c>
      <c r="G220" s="1" t="b">
        <f t="shared" si="29"/>
        <v>0</v>
      </c>
      <c r="H220" s="1" t="b">
        <f t="shared" si="30"/>
        <v>0</v>
      </c>
    </row>
    <row r="221" spans="1:8">
      <c r="A221" s="218" t="str">
        <f t="shared" si="31"/>
        <v>LED</v>
      </c>
      <c r="B221" s="218" t="str">
        <f t="shared" si="31"/>
        <v>Three-Way</v>
      </c>
      <c r="C221" s="218" t="str">
        <f t="shared" si="31"/>
        <v>1440 to 2600 lumens</v>
      </c>
      <c r="D221" s="218"/>
      <c r="E221" s="218" t="str">
        <f t="shared" si="27"/>
        <v>LEDThree-Way1440 to 2600 lumens</v>
      </c>
      <c r="F221" s="1" t="b">
        <f t="shared" si="28"/>
        <v>0</v>
      </c>
      <c r="G221" s="1" t="b">
        <f t="shared" si="29"/>
        <v>0</v>
      </c>
      <c r="H221" s="1" t="b">
        <f t="shared" si="30"/>
        <v>0</v>
      </c>
    </row>
    <row r="224" spans="1:8">
      <c r="A224" s="2" t="s">
        <v>490</v>
      </c>
    </row>
    <row r="225" spans="1:6">
      <c r="D225" s="1" t="s">
        <v>403</v>
      </c>
      <c r="E225" s="1" t="s">
        <v>406</v>
      </c>
      <c r="F225" s="1" t="s">
        <v>408</v>
      </c>
    </row>
    <row r="226" spans="1:6">
      <c r="A226" s="1" t="s">
        <v>404</v>
      </c>
      <c r="B226" s="1" t="s">
        <v>402</v>
      </c>
      <c r="D226" s="1" t="str">
        <f>CONCATENATE($A226,$B226,D$225)</f>
        <v>Compact FluorescentDecorative and Mini-Base250 to 664 lumens</v>
      </c>
      <c r="E226" s="1" t="str">
        <f>CONCATENATE($A226,$B226,E$225)</f>
        <v>Compact FluorescentDecorative and Mini-Base665 to 1439 lumens</v>
      </c>
      <c r="F226" s="1" t="str">
        <f>CONCATENATE($A226,$B226,F$225)</f>
        <v>Compact FluorescentDecorative and Mini-Base1440 to 2600 lumens</v>
      </c>
    </row>
    <row r="227" spans="1:6">
      <c r="A227" s="1" t="s">
        <v>404</v>
      </c>
      <c r="B227" s="1" t="s">
        <v>405</v>
      </c>
      <c r="D227" s="1" t="str">
        <f t="shared" ref="D227:F235" si="32">CONCATENATE($A227,$B227,D$225)</f>
        <v>Compact FluorescentGeneral Purpose and Dimmable250 to 664 lumens</v>
      </c>
      <c r="E227" s="1" t="str">
        <f t="shared" si="32"/>
        <v>Compact FluorescentGeneral Purpose and Dimmable665 to 1439 lumens</v>
      </c>
      <c r="F227" s="1" t="str">
        <f t="shared" si="32"/>
        <v>Compact FluorescentGeneral Purpose and Dimmable1440 to 2600 lumens</v>
      </c>
    </row>
    <row r="228" spans="1:6">
      <c r="A228" s="1" t="s">
        <v>404</v>
      </c>
      <c r="B228" s="1" t="s">
        <v>407</v>
      </c>
      <c r="D228" s="1" t="str">
        <f t="shared" si="32"/>
        <v>Compact FluorescentGlobe250 to 664 lumens</v>
      </c>
      <c r="E228" s="1" t="str">
        <f t="shared" si="32"/>
        <v>Compact FluorescentGlobe665 to 1439 lumens</v>
      </c>
      <c r="F228" s="1" t="str">
        <f t="shared" si="32"/>
        <v>Compact FluorescentGlobe1440 to 2600 lumens</v>
      </c>
    </row>
    <row r="229" spans="1:6">
      <c r="A229" s="1" t="s">
        <v>404</v>
      </c>
      <c r="B229" s="1" t="s">
        <v>409</v>
      </c>
      <c r="D229" s="1" t="str">
        <f t="shared" si="32"/>
        <v>Compact FluorescentReflectors and Outdoor250 to 664 lumens</v>
      </c>
      <c r="E229" s="1" t="str">
        <f t="shared" si="32"/>
        <v>Compact FluorescentReflectors and Outdoor665 to 1439 lumens</v>
      </c>
      <c r="F229" s="1" t="str">
        <f t="shared" si="32"/>
        <v>Compact FluorescentReflectors and Outdoor1440 to 2600 lumens</v>
      </c>
    </row>
    <row r="230" spans="1:6">
      <c r="A230" s="1" t="s">
        <v>404</v>
      </c>
      <c r="B230" s="1" t="s">
        <v>410</v>
      </c>
      <c r="D230" s="1" t="str">
        <f t="shared" si="32"/>
        <v>Compact FluorescentThree-Way250 to 664 lumens</v>
      </c>
      <c r="E230" s="1" t="str">
        <f t="shared" si="32"/>
        <v>Compact FluorescentThree-Way665 to 1439 lumens</v>
      </c>
      <c r="F230" s="1" t="str">
        <f t="shared" si="32"/>
        <v>Compact FluorescentThree-Way1440 to 2600 lumens</v>
      </c>
    </row>
    <row r="231" spans="1:6">
      <c r="A231" s="1" t="s">
        <v>401</v>
      </c>
      <c r="B231" s="1" t="s">
        <v>402</v>
      </c>
      <c r="D231" s="1" t="str">
        <f t="shared" si="32"/>
        <v>LEDDecorative and Mini-Base250 to 664 lumens</v>
      </c>
      <c r="E231" s="1" t="str">
        <f t="shared" si="32"/>
        <v>LEDDecorative and Mini-Base665 to 1439 lumens</v>
      </c>
      <c r="F231" s="1" t="str">
        <f t="shared" si="32"/>
        <v>LEDDecorative and Mini-Base1440 to 2600 lumens</v>
      </c>
    </row>
    <row r="232" spans="1:6">
      <c r="A232" s="1" t="s">
        <v>401</v>
      </c>
      <c r="B232" s="1" t="s">
        <v>405</v>
      </c>
      <c r="D232" s="1" t="str">
        <f t="shared" si="32"/>
        <v>LEDGeneral Purpose and Dimmable250 to 664 lumens</v>
      </c>
      <c r="E232" s="1" t="str">
        <f t="shared" si="32"/>
        <v>LEDGeneral Purpose and Dimmable665 to 1439 lumens</v>
      </c>
      <c r="F232" s="1" t="str">
        <f t="shared" si="32"/>
        <v>LEDGeneral Purpose and Dimmable1440 to 2600 lumens</v>
      </c>
    </row>
    <row r="233" spans="1:6">
      <c r="A233" s="1" t="s">
        <v>401</v>
      </c>
      <c r="B233" s="1" t="s">
        <v>407</v>
      </c>
      <c r="D233" s="1" t="str">
        <f t="shared" si="32"/>
        <v>LEDGlobe250 to 664 lumens</v>
      </c>
      <c r="E233" s="1" t="str">
        <f t="shared" si="32"/>
        <v>LEDGlobe665 to 1439 lumens</v>
      </c>
      <c r="F233" s="1" t="str">
        <f t="shared" si="32"/>
        <v>LEDGlobe1440 to 2600 lumens</v>
      </c>
    </row>
    <row r="234" spans="1:6">
      <c r="A234" s="1" t="s">
        <v>401</v>
      </c>
      <c r="B234" s="1" t="s">
        <v>409</v>
      </c>
      <c r="D234" s="1" t="str">
        <f t="shared" si="32"/>
        <v>LEDReflectors and Outdoor250 to 664 lumens</v>
      </c>
      <c r="E234" s="1" t="str">
        <f t="shared" si="32"/>
        <v>LEDReflectors and Outdoor665 to 1439 lumens</v>
      </c>
      <c r="F234" s="1" t="str">
        <f t="shared" si="32"/>
        <v>LEDReflectors and Outdoor1440 to 2600 lumens</v>
      </c>
    </row>
    <row r="235" spans="1:6">
      <c r="A235" s="1" t="s">
        <v>401</v>
      </c>
      <c r="B235" s="1" t="s">
        <v>410</v>
      </c>
      <c r="D235" s="1" t="str">
        <f t="shared" si="32"/>
        <v>LEDThree-Way250 to 664 lumens</v>
      </c>
      <c r="E235" s="1" t="str">
        <f t="shared" si="32"/>
        <v>LEDThree-Way665 to 1439 lumens</v>
      </c>
      <c r="F235" s="1" t="str">
        <f t="shared" si="32"/>
        <v>LEDThree-Way1440 to 2600 lumens</v>
      </c>
    </row>
    <row r="237" spans="1:6" ht="13.5" thickBot="1">
      <c r="A237" s="2" t="s">
        <v>491</v>
      </c>
    </row>
    <row r="238" spans="1:6" ht="51">
      <c r="B238" s="219" t="s">
        <v>492</v>
      </c>
      <c r="C238" s="220" t="s">
        <v>398</v>
      </c>
      <c r="D238" s="221" t="s">
        <v>493</v>
      </c>
      <c r="E238" s="221" t="s">
        <v>494</v>
      </c>
      <c r="F238" s="222" t="s">
        <v>495</v>
      </c>
    </row>
    <row r="239" spans="1:6">
      <c r="B239" s="223" t="str">
        <f t="shared" ref="B239:C248" si="33">A226</f>
        <v>Compact Fluorescent</v>
      </c>
      <c r="C239" s="211" t="str">
        <f t="shared" si="33"/>
        <v>Decorative and Mini-Base</v>
      </c>
      <c r="D239" s="211" t="b">
        <f t="shared" ref="D239:F248" si="34">VLOOKUP(D226,$E$192:$H$221,4,FALSE)</f>
        <v>1</v>
      </c>
      <c r="E239" s="211" t="b">
        <f t="shared" si="34"/>
        <v>1</v>
      </c>
      <c r="F239" s="224" t="b">
        <f t="shared" si="34"/>
        <v>0</v>
      </c>
    </row>
    <row r="240" spans="1:6">
      <c r="B240" s="223" t="str">
        <f t="shared" si="33"/>
        <v>Compact Fluorescent</v>
      </c>
      <c r="C240" s="211" t="str">
        <f t="shared" si="33"/>
        <v>General Purpose and Dimmable</v>
      </c>
      <c r="D240" s="211" t="b">
        <f t="shared" si="34"/>
        <v>1</v>
      </c>
      <c r="E240" s="211" t="b">
        <f t="shared" si="34"/>
        <v>1</v>
      </c>
      <c r="F240" s="224" t="b">
        <f t="shared" si="34"/>
        <v>1</v>
      </c>
    </row>
    <row r="241" spans="1:6">
      <c r="B241" s="223" t="str">
        <f t="shared" si="33"/>
        <v>Compact Fluorescent</v>
      </c>
      <c r="C241" s="211" t="str">
        <f t="shared" si="33"/>
        <v>Globe</v>
      </c>
      <c r="D241" s="211" t="b">
        <f t="shared" si="34"/>
        <v>1</v>
      </c>
      <c r="E241" s="211" t="b">
        <f t="shared" si="34"/>
        <v>1</v>
      </c>
      <c r="F241" s="224" t="b">
        <f t="shared" si="34"/>
        <v>0</v>
      </c>
    </row>
    <row r="242" spans="1:6">
      <c r="B242" s="223" t="str">
        <f t="shared" si="33"/>
        <v>Compact Fluorescent</v>
      </c>
      <c r="C242" s="211" t="str">
        <f t="shared" si="33"/>
        <v>Reflectors and Outdoor</v>
      </c>
      <c r="D242" s="211" t="b">
        <f t="shared" si="34"/>
        <v>1</v>
      </c>
      <c r="E242" s="211" t="b">
        <f t="shared" si="34"/>
        <v>1</v>
      </c>
      <c r="F242" s="224" t="b">
        <f t="shared" si="34"/>
        <v>1</v>
      </c>
    </row>
    <row r="243" spans="1:6">
      <c r="B243" s="223" t="str">
        <f t="shared" si="33"/>
        <v>Compact Fluorescent</v>
      </c>
      <c r="C243" s="211" t="str">
        <f t="shared" si="33"/>
        <v>Three-Way</v>
      </c>
      <c r="D243" s="211" t="b">
        <f t="shared" si="34"/>
        <v>0</v>
      </c>
      <c r="E243" s="211" t="b">
        <f t="shared" si="34"/>
        <v>1</v>
      </c>
      <c r="F243" s="224" t="b">
        <f t="shared" si="34"/>
        <v>1</v>
      </c>
    </row>
    <row r="244" spans="1:6">
      <c r="B244" s="223" t="str">
        <f t="shared" si="33"/>
        <v>LED</v>
      </c>
      <c r="C244" s="211" t="str">
        <f t="shared" si="33"/>
        <v>Decorative and Mini-Base</v>
      </c>
      <c r="D244" s="211" t="b">
        <f t="shared" si="34"/>
        <v>1</v>
      </c>
      <c r="E244" s="211" t="b">
        <f t="shared" si="34"/>
        <v>0</v>
      </c>
      <c r="F244" s="224" t="b">
        <f t="shared" si="34"/>
        <v>0</v>
      </c>
    </row>
    <row r="245" spans="1:6">
      <c r="B245" s="223" t="str">
        <f t="shared" si="33"/>
        <v>LED</v>
      </c>
      <c r="C245" s="211" t="str">
        <f t="shared" si="33"/>
        <v>General Purpose and Dimmable</v>
      </c>
      <c r="D245" s="211" t="b">
        <f t="shared" si="34"/>
        <v>1</v>
      </c>
      <c r="E245" s="211" t="b">
        <f t="shared" si="34"/>
        <v>1</v>
      </c>
      <c r="F245" s="224" t="b">
        <f t="shared" si="34"/>
        <v>1</v>
      </c>
    </row>
    <row r="246" spans="1:6">
      <c r="B246" s="223" t="str">
        <f t="shared" si="33"/>
        <v>LED</v>
      </c>
      <c r="C246" s="211" t="str">
        <f t="shared" si="33"/>
        <v>Globe</v>
      </c>
      <c r="D246" s="211" t="b">
        <f t="shared" si="34"/>
        <v>1</v>
      </c>
      <c r="E246" s="211" t="b">
        <f t="shared" si="34"/>
        <v>1</v>
      </c>
      <c r="F246" s="224" t="b">
        <f t="shared" si="34"/>
        <v>0</v>
      </c>
    </row>
    <row r="247" spans="1:6">
      <c r="B247" s="223" t="str">
        <f t="shared" si="33"/>
        <v>LED</v>
      </c>
      <c r="C247" s="211" t="str">
        <f t="shared" si="33"/>
        <v>Reflectors and Outdoor</v>
      </c>
      <c r="D247" s="211" t="b">
        <f t="shared" si="34"/>
        <v>1</v>
      </c>
      <c r="E247" s="211" t="b">
        <f t="shared" si="34"/>
        <v>1</v>
      </c>
      <c r="F247" s="224" t="b">
        <f t="shared" si="34"/>
        <v>1</v>
      </c>
    </row>
    <row r="248" spans="1:6" ht="13.5" thickBot="1">
      <c r="B248" s="225" t="str">
        <f t="shared" si="33"/>
        <v>LED</v>
      </c>
      <c r="C248" s="226" t="str">
        <f t="shared" si="33"/>
        <v>Three-Way</v>
      </c>
      <c r="D248" s="226" t="b">
        <f t="shared" si="34"/>
        <v>0</v>
      </c>
      <c r="E248" s="226" t="b">
        <f t="shared" si="34"/>
        <v>0</v>
      </c>
      <c r="F248" s="227" t="b">
        <f t="shared" si="34"/>
        <v>0</v>
      </c>
    </row>
    <row r="250" spans="1:6">
      <c r="A250" s="2"/>
    </row>
  </sheetData>
  <mergeCells count="8">
    <mergeCell ref="C14:C16"/>
    <mergeCell ref="C17:C19"/>
    <mergeCell ref="E3:G3"/>
    <mergeCell ref="H3:I3"/>
    <mergeCell ref="J3:K3"/>
    <mergeCell ref="C5:C7"/>
    <mergeCell ref="C8:C10"/>
    <mergeCell ref="C11:C13"/>
  </mergeCells>
  <conditionalFormatting sqref="M25:O39">
    <cfRule type="colorScale" priority="5">
      <colorScale>
        <cfvo type="min" val="0"/>
        <cfvo type="max" val="0"/>
        <color rgb="FFFCFCFF"/>
        <color rgb="FF63BE7B"/>
      </colorScale>
    </cfRule>
  </conditionalFormatting>
  <conditionalFormatting sqref="E25:G39">
    <cfRule type="colorScale" priority="4">
      <colorScale>
        <cfvo type="min" val="0"/>
        <cfvo type="max" val="0"/>
        <color rgb="FFFCFCFF"/>
        <color rgb="FF63BE7B"/>
      </colorScale>
    </cfRule>
  </conditionalFormatting>
  <conditionalFormatting sqref="F192:G221 D239:F248">
    <cfRule type="expression" dxfId="1" priority="3">
      <formula>D192=FALSE</formula>
    </cfRule>
  </conditionalFormatting>
  <conditionalFormatting sqref="E5:K19">
    <cfRule type="expression" dxfId="0" priority="1">
      <formula>E5 = 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7"/>
  <dimension ref="A1:O86"/>
  <sheetViews>
    <sheetView topLeftCell="A50" zoomScaleNormal="100" workbookViewId="0">
      <selection activeCell="C67" sqref="C67"/>
    </sheetView>
  </sheetViews>
  <sheetFormatPr defaultRowHeight="12.75"/>
  <cols>
    <col min="1" max="3" width="9.140625" style="1"/>
    <col min="4" max="6" width="12.7109375" style="1" customWidth="1"/>
    <col min="7" max="9" width="9.140625" style="1"/>
    <col min="10" max="10" width="34.28515625" style="1" customWidth="1"/>
    <col min="11" max="16384" width="9.140625" style="1"/>
  </cols>
  <sheetData>
    <row r="1" spans="1:15" ht="79.5" customHeight="1">
      <c r="I1" s="540" t="s">
        <v>496</v>
      </c>
      <c r="J1" s="540"/>
      <c r="K1" s="540"/>
      <c r="L1" s="540"/>
      <c r="M1" s="540"/>
      <c r="N1" s="540"/>
      <c r="O1" s="540"/>
    </row>
    <row r="3" spans="1:15" ht="13.5" thickBot="1">
      <c r="A3" s="2" t="s">
        <v>497</v>
      </c>
      <c r="B3" s="2"/>
      <c r="C3" s="2"/>
      <c r="H3" s="163"/>
      <c r="I3" s="228" t="s">
        <v>498</v>
      </c>
      <c r="M3" s="31"/>
    </row>
    <row r="4" spans="1:15" ht="25.5">
      <c r="A4" s="2"/>
      <c r="B4" s="219" t="s">
        <v>492</v>
      </c>
      <c r="C4" s="220" t="s">
        <v>398</v>
      </c>
      <c r="D4" s="221" t="s">
        <v>403</v>
      </c>
      <c r="E4" s="221" t="s">
        <v>406</v>
      </c>
      <c r="F4" s="222" t="s">
        <v>408</v>
      </c>
      <c r="H4" s="163"/>
      <c r="I4" s="2" t="s">
        <v>499</v>
      </c>
      <c r="M4" s="31"/>
    </row>
    <row r="5" spans="1:15">
      <c r="A5" s="2"/>
      <c r="B5" s="223" t="s">
        <v>404</v>
      </c>
      <c r="C5" s="211" t="s">
        <v>402</v>
      </c>
      <c r="D5" s="213">
        <v>49.443339305475043</v>
      </c>
      <c r="E5" s="213">
        <v>62.459815923222592</v>
      </c>
      <c r="F5" s="229" t="e">
        <v>#DIV/0!</v>
      </c>
      <c r="H5" s="163"/>
      <c r="M5" s="31"/>
    </row>
    <row r="6" spans="1:15">
      <c r="A6" s="2"/>
      <c r="B6" s="223" t="s">
        <v>404</v>
      </c>
      <c r="C6" s="211" t="s">
        <v>405</v>
      </c>
      <c r="D6" s="213">
        <v>58.693987969217332</v>
      </c>
      <c r="E6" s="213">
        <v>65.011221995709931</v>
      </c>
      <c r="F6" s="229">
        <v>69.492728120196375</v>
      </c>
      <c r="H6" s="163"/>
      <c r="K6" s="2" t="s">
        <v>500</v>
      </c>
      <c r="M6" s="31"/>
    </row>
    <row r="7" spans="1:15">
      <c r="A7" s="2"/>
      <c r="B7" s="223" t="s">
        <v>404</v>
      </c>
      <c r="C7" s="211" t="s">
        <v>407</v>
      </c>
      <c r="D7" s="213">
        <v>50.448317720218583</v>
      </c>
      <c r="E7" s="213">
        <v>55.972559680076365</v>
      </c>
      <c r="F7" s="229" t="e">
        <v>#DIV/0!</v>
      </c>
      <c r="H7" s="163"/>
      <c r="I7" s="1" t="s">
        <v>401</v>
      </c>
      <c r="J7" s="1" t="s">
        <v>402</v>
      </c>
      <c r="K7" s="1">
        <v>66</v>
      </c>
      <c r="M7" s="31"/>
    </row>
    <row r="8" spans="1:15">
      <c r="A8" s="2"/>
      <c r="B8" s="223" t="s">
        <v>404</v>
      </c>
      <c r="C8" s="211" t="s">
        <v>409</v>
      </c>
      <c r="D8" s="213">
        <v>44.566706761531705</v>
      </c>
      <c r="E8" s="213">
        <v>49.299166180823669</v>
      </c>
      <c r="F8" s="229">
        <v>67.307692307692307</v>
      </c>
      <c r="H8" s="163"/>
      <c r="I8" s="1" t="s">
        <v>401</v>
      </c>
      <c r="J8" s="1" t="s">
        <v>405</v>
      </c>
      <c r="K8" s="1">
        <v>76</v>
      </c>
      <c r="M8" s="31"/>
    </row>
    <row r="9" spans="1:15">
      <c r="A9" s="2"/>
      <c r="B9" s="223" t="s">
        <v>404</v>
      </c>
      <c r="C9" s="211" t="s">
        <v>410</v>
      </c>
      <c r="D9" s="213" t="e">
        <v>#DIV/0!</v>
      </c>
      <c r="E9" s="213">
        <v>42.211016724553993</v>
      </c>
      <c r="F9" s="229">
        <v>50.393616423624209</v>
      </c>
      <c r="H9" s="163"/>
      <c r="I9" s="1" t="s">
        <v>401</v>
      </c>
      <c r="J9" s="1" t="s">
        <v>407</v>
      </c>
      <c r="K9" s="1">
        <v>76</v>
      </c>
      <c r="M9" s="31"/>
    </row>
    <row r="10" spans="1:15">
      <c r="A10" s="2"/>
      <c r="B10" s="223" t="s">
        <v>401</v>
      </c>
      <c r="C10" s="211" t="s">
        <v>402</v>
      </c>
      <c r="D10" s="213" t="e">
        <v>#DIV/0!</v>
      </c>
      <c r="E10" s="213" t="e">
        <v>#DIV/0!</v>
      </c>
      <c r="F10" s="229" t="e">
        <v>#DIV/0!</v>
      </c>
      <c r="H10" s="163"/>
      <c r="I10" s="1" t="s">
        <v>401</v>
      </c>
      <c r="J10" s="1" t="s">
        <v>409</v>
      </c>
      <c r="K10" s="1">
        <v>67</v>
      </c>
      <c r="M10" s="31"/>
    </row>
    <row r="11" spans="1:15">
      <c r="A11" s="2"/>
      <c r="B11" s="223" t="s">
        <v>401</v>
      </c>
      <c r="C11" s="211" t="s">
        <v>405</v>
      </c>
      <c r="D11" s="213">
        <v>62.685528450267135</v>
      </c>
      <c r="E11" s="213">
        <v>68.394530990861966</v>
      </c>
      <c r="F11" s="229" t="e">
        <v>#DIV/0!</v>
      </c>
      <c r="H11" s="163"/>
      <c r="I11" s="1" t="s">
        <v>401</v>
      </c>
      <c r="J11" s="1" t="s">
        <v>410</v>
      </c>
      <c r="M11" s="31"/>
    </row>
    <row r="12" spans="1:15">
      <c r="A12" s="2"/>
      <c r="B12" s="223" t="s">
        <v>401</v>
      </c>
      <c r="C12" s="211" t="s">
        <v>407</v>
      </c>
      <c r="D12" s="213">
        <v>62.466913926172396</v>
      </c>
      <c r="E12" s="213" t="e">
        <v>#DIV/0!</v>
      </c>
      <c r="F12" s="229" t="e">
        <v>#DIV/0!</v>
      </c>
      <c r="H12" s="163"/>
      <c r="I12" s="31"/>
      <c r="J12" s="31"/>
      <c r="K12" s="31"/>
      <c r="L12" s="31"/>
      <c r="M12" s="31"/>
    </row>
    <row r="13" spans="1:15">
      <c r="A13" s="2"/>
      <c r="B13" s="223" t="s">
        <v>401</v>
      </c>
      <c r="C13" s="211" t="s">
        <v>409</v>
      </c>
      <c r="D13" s="213">
        <v>52.95849399360624</v>
      </c>
      <c r="E13" s="213">
        <v>56.967463464421122</v>
      </c>
      <c r="F13" s="229" t="e">
        <v>#DIV/0!</v>
      </c>
      <c r="H13" s="163"/>
      <c r="I13" s="31"/>
      <c r="J13" s="31"/>
      <c r="K13" s="31"/>
      <c r="L13" s="31"/>
      <c r="M13" s="31"/>
    </row>
    <row r="14" spans="1:15" ht="13.5" thickBot="1">
      <c r="A14" s="2"/>
      <c r="B14" s="225" t="s">
        <v>401</v>
      </c>
      <c r="C14" s="226" t="s">
        <v>410</v>
      </c>
      <c r="D14" s="230" t="e">
        <v>#DIV/0!</v>
      </c>
      <c r="E14" s="230" t="e">
        <v>#DIV/0!</v>
      </c>
      <c r="F14" s="231" t="e">
        <v>#DIV/0!</v>
      </c>
      <c r="H14" s="163"/>
      <c r="I14" s="31"/>
      <c r="J14" s="31"/>
      <c r="K14" s="31"/>
      <c r="L14" s="31"/>
      <c r="M14" s="31"/>
    </row>
    <row r="15" spans="1:15">
      <c r="A15" s="2"/>
      <c r="B15" s="2"/>
      <c r="C15" s="2"/>
      <c r="H15" s="163"/>
      <c r="I15" s="31"/>
      <c r="J15" s="31"/>
      <c r="K15" s="31"/>
      <c r="L15" s="31"/>
      <c r="M15" s="31"/>
    </row>
    <row r="16" spans="1:15" ht="13.5" thickBot="1">
      <c r="A16" s="2" t="s">
        <v>488</v>
      </c>
      <c r="B16" s="2"/>
      <c r="C16" s="2"/>
      <c r="H16" s="163"/>
      <c r="I16" s="31"/>
      <c r="J16" s="31"/>
      <c r="K16" s="31"/>
      <c r="L16" s="31"/>
      <c r="M16" s="31"/>
    </row>
    <row r="17" spans="1:13" ht="25.5">
      <c r="A17" s="2"/>
      <c r="B17" s="219" t="str">
        <f>B4</f>
        <v>Technology</v>
      </c>
      <c r="C17" s="220" t="str">
        <f>C4</f>
        <v>Lamp Type</v>
      </c>
      <c r="D17" s="221" t="str">
        <f>D4</f>
        <v>250 to 664 lumens</v>
      </c>
      <c r="E17" s="221" t="str">
        <f>E4</f>
        <v>665 to 1439 lumens</v>
      </c>
      <c r="F17" s="222" t="str">
        <f>F4</f>
        <v>1440 to 2600 lumens</v>
      </c>
      <c r="H17" s="163"/>
      <c r="I17" s="31"/>
      <c r="J17" s="31"/>
      <c r="K17" s="31"/>
      <c r="L17" s="31"/>
      <c r="M17" s="31"/>
    </row>
    <row r="18" spans="1:13">
      <c r="A18" s="2"/>
      <c r="B18" s="223" t="str">
        <f t="shared" ref="B18:C27" si="0">B5</f>
        <v>Compact Fluorescent</v>
      </c>
      <c r="C18" s="211" t="str">
        <f t="shared" si="0"/>
        <v>Decorative and Mini-Base</v>
      </c>
      <c r="D18" s="213">
        <v>45.209580838323355</v>
      </c>
      <c r="E18" s="213">
        <v>64.327485380116954</v>
      </c>
      <c r="F18" s="229" t="e">
        <v>#DIV/0!</v>
      </c>
      <c r="H18" s="163"/>
      <c r="I18" s="31"/>
      <c r="J18" s="31"/>
      <c r="K18" s="31"/>
      <c r="L18" s="31"/>
      <c r="M18" s="31"/>
    </row>
    <row r="19" spans="1:13">
      <c r="A19" s="2"/>
      <c r="B19" s="223" t="str">
        <f t="shared" si="0"/>
        <v>Compact Fluorescent</v>
      </c>
      <c r="C19" s="211" t="str">
        <f t="shared" si="0"/>
        <v>General Purpose and Dimmable</v>
      </c>
      <c r="D19" s="213">
        <v>56.659498207885321</v>
      </c>
      <c r="E19" s="213">
        <v>64.175776878712256</v>
      </c>
      <c r="F19" s="229">
        <v>69.212388619889424</v>
      </c>
      <c r="H19" s="163"/>
      <c r="I19" s="31"/>
      <c r="J19" s="31"/>
      <c r="K19" s="31"/>
      <c r="L19" s="31"/>
      <c r="M19" s="31"/>
    </row>
    <row r="20" spans="1:13">
      <c r="A20" s="2"/>
      <c r="B20" s="223" t="str">
        <f t="shared" si="0"/>
        <v>Compact Fluorescent</v>
      </c>
      <c r="C20" s="211" t="str">
        <f t="shared" si="0"/>
        <v>Globe</v>
      </c>
      <c r="D20" s="213">
        <v>54.266666666666666</v>
      </c>
      <c r="E20" s="213">
        <v>56.604803493449786</v>
      </c>
      <c r="F20" s="229" t="e">
        <v>#DIV/0!</v>
      </c>
      <c r="H20" s="163"/>
      <c r="I20" s="31"/>
      <c r="J20" s="31"/>
      <c r="K20" s="31"/>
      <c r="L20" s="31"/>
      <c r="M20" s="31"/>
    </row>
    <row r="21" spans="1:13">
      <c r="A21" s="2"/>
      <c r="B21" s="223" t="str">
        <f t="shared" si="0"/>
        <v>Compact Fluorescent</v>
      </c>
      <c r="C21" s="211" t="str">
        <f t="shared" si="0"/>
        <v>Reflectors and Outdoor</v>
      </c>
      <c r="D21" s="213">
        <v>42.737846704443783</v>
      </c>
      <c r="E21" s="213">
        <v>51.28398791540787</v>
      </c>
      <c r="F21" s="229" t="e">
        <v>#DIV/0!</v>
      </c>
      <c r="H21" s="163"/>
      <c r="I21" s="31"/>
      <c r="J21" s="31"/>
      <c r="K21" s="31"/>
      <c r="L21" s="31"/>
      <c r="M21" s="31"/>
    </row>
    <row r="22" spans="1:13">
      <c r="A22" s="2"/>
      <c r="B22" s="223" t="str">
        <f t="shared" si="0"/>
        <v>Compact Fluorescent</v>
      </c>
      <c r="C22" s="211" t="str">
        <f t="shared" si="0"/>
        <v>Three-Way</v>
      </c>
      <c r="D22" s="213" t="e">
        <v>#DIV/0!</v>
      </c>
      <c r="E22" s="213" t="e">
        <v>#DIV/0!</v>
      </c>
      <c r="F22" s="229">
        <v>49.859943977591044</v>
      </c>
      <c r="H22" s="163"/>
      <c r="I22" s="31"/>
      <c r="J22" s="31"/>
      <c r="K22" s="31"/>
      <c r="L22" s="31"/>
      <c r="M22" s="31"/>
    </row>
    <row r="23" spans="1:13">
      <c r="A23" s="2"/>
      <c r="B23" s="223" t="str">
        <f t="shared" si="0"/>
        <v>LED</v>
      </c>
      <c r="C23" s="211" t="str">
        <f t="shared" si="0"/>
        <v>Decorative and Mini-Base</v>
      </c>
      <c r="D23" s="213">
        <v>62.516951451044228</v>
      </c>
      <c r="E23" s="213" t="e">
        <v>#DIV/0!</v>
      </c>
      <c r="F23" s="229" t="e">
        <v>#DIV/0!</v>
      </c>
      <c r="H23" s="163"/>
      <c r="I23" s="31"/>
      <c r="J23" s="31"/>
      <c r="K23" s="31"/>
      <c r="L23" s="31"/>
      <c r="M23" s="31"/>
    </row>
    <row r="24" spans="1:13">
      <c r="A24" s="2"/>
      <c r="B24" s="223" t="str">
        <f t="shared" si="0"/>
        <v>LED</v>
      </c>
      <c r="C24" s="211" t="str">
        <f t="shared" si="0"/>
        <v>General Purpose and Dimmable</v>
      </c>
      <c r="D24" s="213">
        <v>62.225433526011564</v>
      </c>
      <c r="E24" s="213">
        <v>70.227366302209631</v>
      </c>
      <c r="F24" s="229">
        <v>73.758795934323686</v>
      </c>
      <c r="H24" s="163"/>
      <c r="I24" s="31"/>
      <c r="J24" s="31"/>
      <c r="K24" s="31"/>
      <c r="L24" s="31"/>
      <c r="M24" s="31"/>
    </row>
    <row r="25" spans="1:13">
      <c r="A25" s="2"/>
      <c r="B25" s="223" t="str">
        <f t="shared" si="0"/>
        <v>LED</v>
      </c>
      <c r="C25" s="211" t="str">
        <f t="shared" si="0"/>
        <v>Globe</v>
      </c>
      <c r="D25" s="213">
        <v>64.728855166257532</v>
      </c>
      <c r="E25" s="213">
        <v>78.095238095238102</v>
      </c>
      <c r="F25" s="229" t="e">
        <v>#DIV/0!</v>
      </c>
      <c r="H25" s="163"/>
      <c r="I25" s="31"/>
      <c r="J25" s="31"/>
      <c r="K25" s="31"/>
      <c r="L25" s="31"/>
      <c r="M25" s="31"/>
    </row>
    <row r="26" spans="1:13">
      <c r="A26" s="2"/>
      <c r="B26" s="223" t="str">
        <f t="shared" si="0"/>
        <v>LED</v>
      </c>
      <c r="C26" s="211" t="str">
        <f t="shared" si="0"/>
        <v>Reflectors and Outdoor</v>
      </c>
      <c r="D26" s="213">
        <v>59.693232832677523</v>
      </c>
      <c r="E26" s="213">
        <v>63.74828160524509</v>
      </c>
      <c r="F26" s="229">
        <v>79.503546099290787</v>
      </c>
      <c r="H26" s="163"/>
      <c r="I26" s="31"/>
      <c r="J26" s="31"/>
      <c r="K26" s="31"/>
      <c r="L26" s="31"/>
      <c r="M26" s="31"/>
    </row>
    <row r="27" spans="1:13" ht="13.5" thickBot="1">
      <c r="B27" s="225" t="str">
        <f t="shared" si="0"/>
        <v>LED</v>
      </c>
      <c r="C27" s="226" t="str">
        <f t="shared" si="0"/>
        <v>Three-Way</v>
      </c>
      <c r="D27" s="230" t="e">
        <v>#DIV/0!</v>
      </c>
      <c r="E27" s="230" t="e">
        <v>#DIV/0!</v>
      </c>
      <c r="F27" s="231" t="e">
        <v>#DIV/0!</v>
      </c>
      <c r="H27" s="163"/>
      <c r="I27" s="31"/>
      <c r="J27" s="31"/>
      <c r="K27" s="31"/>
      <c r="L27" s="31"/>
      <c r="M27" s="31"/>
    </row>
    <row r="28" spans="1:13" ht="13.5" thickBot="1">
      <c r="A28" s="2" t="s">
        <v>501</v>
      </c>
      <c r="B28" s="115"/>
      <c r="C28" s="115"/>
      <c r="D28" s="217"/>
      <c r="E28" s="217"/>
      <c r="F28" s="217"/>
      <c r="H28" s="163"/>
      <c r="I28" s="31"/>
      <c r="J28" s="31"/>
      <c r="K28" s="31"/>
      <c r="L28" s="31"/>
      <c r="M28" s="31"/>
    </row>
    <row r="29" spans="1:13" ht="25.5">
      <c r="A29" s="2"/>
      <c r="B29" s="219" t="s">
        <v>492</v>
      </c>
      <c r="C29" s="220" t="s">
        <v>398</v>
      </c>
      <c r="D29" s="221" t="s">
        <v>403</v>
      </c>
      <c r="E29" s="221" t="s">
        <v>406</v>
      </c>
      <c r="F29" s="222" t="s">
        <v>408</v>
      </c>
      <c r="H29" s="163"/>
      <c r="I29" s="31"/>
      <c r="J29" s="31"/>
      <c r="K29" s="31"/>
      <c r="L29" s="31"/>
      <c r="M29" s="31"/>
    </row>
    <row r="30" spans="1:13">
      <c r="B30" s="223" t="str">
        <f t="shared" ref="B30:C39" si="1">B18</f>
        <v>Compact Fluorescent</v>
      </c>
      <c r="C30" s="211" t="str">
        <f t="shared" si="1"/>
        <v>Decorative and Mini-Base</v>
      </c>
      <c r="D30" s="213">
        <f>IF(ISERROR(D5),D18,IF(ISERROR(D18),D5,AVERAGE(D5,D18)))</f>
        <v>47.326460071899199</v>
      </c>
      <c r="E30" s="213">
        <f>IF(ISERROR(E5),E18,IF(ISERROR(E18),E5,AVERAGE(E5,E18)))</f>
        <v>63.393650651669773</v>
      </c>
      <c r="F30" s="229" t="e">
        <f t="shared" ref="D30:F39" si="2">IF(ISERROR(F5),F18,IF(ISERROR(F18),F5,AVERAGE(F5,F18)))</f>
        <v>#DIV/0!</v>
      </c>
      <c r="H30" s="163"/>
      <c r="I30" s="31"/>
      <c r="J30" s="31"/>
      <c r="K30" s="31"/>
      <c r="L30" s="31"/>
      <c r="M30" s="31"/>
    </row>
    <row r="31" spans="1:13">
      <c r="A31" s="2"/>
      <c r="B31" s="223" t="str">
        <f t="shared" si="1"/>
        <v>Compact Fluorescent</v>
      </c>
      <c r="C31" s="211" t="str">
        <f t="shared" si="1"/>
        <v>General Purpose and Dimmable</v>
      </c>
      <c r="D31" s="213">
        <f t="shared" si="2"/>
        <v>57.676743088551326</v>
      </c>
      <c r="E31" s="213">
        <f t="shared" si="2"/>
        <v>64.593499437211094</v>
      </c>
      <c r="F31" s="229">
        <f>IF(ISERROR(F6),F19,IF(ISERROR(F19),F6,AVERAGE(F6,F19)))</f>
        <v>69.3525583700429</v>
      </c>
      <c r="H31" s="163"/>
      <c r="I31" s="31"/>
      <c r="J31" s="31"/>
      <c r="K31" s="31"/>
      <c r="L31" s="31"/>
      <c r="M31" s="31"/>
    </row>
    <row r="32" spans="1:13">
      <c r="A32" s="2"/>
      <c r="B32" s="223" t="str">
        <f t="shared" si="1"/>
        <v>Compact Fluorescent</v>
      </c>
      <c r="C32" s="211" t="str">
        <f t="shared" si="1"/>
        <v>Globe</v>
      </c>
      <c r="D32" s="213">
        <f t="shared" si="2"/>
        <v>52.357492193442624</v>
      </c>
      <c r="E32" s="213">
        <f t="shared" si="2"/>
        <v>56.288681586763076</v>
      </c>
      <c r="F32" s="229" t="e">
        <f t="shared" si="2"/>
        <v>#DIV/0!</v>
      </c>
      <c r="H32" s="163"/>
      <c r="I32" s="31"/>
      <c r="J32" s="31"/>
      <c r="K32" s="31"/>
      <c r="L32" s="31"/>
      <c r="M32" s="31"/>
    </row>
    <row r="33" spans="1:13">
      <c r="A33" s="2"/>
      <c r="B33" s="223" t="str">
        <f t="shared" si="1"/>
        <v>Compact Fluorescent</v>
      </c>
      <c r="C33" s="211" t="str">
        <f t="shared" si="1"/>
        <v>Reflectors and Outdoor</v>
      </c>
      <c r="D33" s="213">
        <f t="shared" si="2"/>
        <v>43.652276732987744</v>
      </c>
      <c r="E33" s="213">
        <f t="shared" si="2"/>
        <v>50.291577048115769</v>
      </c>
      <c r="F33" s="229">
        <f t="shared" si="2"/>
        <v>67.307692307692307</v>
      </c>
      <c r="H33" s="163"/>
      <c r="I33" s="31"/>
      <c r="J33" s="31"/>
      <c r="K33" s="31"/>
      <c r="L33" s="31"/>
      <c r="M33" s="31"/>
    </row>
    <row r="34" spans="1:13">
      <c r="A34" s="2"/>
      <c r="B34" s="223" t="str">
        <f t="shared" si="1"/>
        <v>Compact Fluorescent</v>
      </c>
      <c r="C34" s="211" t="str">
        <f t="shared" si="1"/>
        <v>Three-Way</v>
      </c>
      <c r="D34" s="213" t="e">
        <f t="shared" si="2"/>
        <v>#DIV/0!</v>
      </c>
      <c r="E34" s="213">
        <f t="shared" si="2"/>
        <v>42.211016724553993</v>
      </c>
      <c r="F34" s="229">
        <f t="shared" si="2"/>
        <v>50.126780200607627</v>
      </c>
      <c r="H34" s="163"/>
      <c r="I34" s="31" t="s">
        <v>502</v>
      </c>
      <c r="J34" s="31"/>
      <c r="K34" s="31"/>
      <c r="L34" s="31"/>
      <c r="M34" s="31"/>
    </row>
    <row r="35" spans="1:13">
      <c r="A35" s="2"/>
      <c r="B35" s="223" t="str">
        <f t="shared" si="1"/>
        <v>LED</v>
      </c>
      <c r="C35" s="211" t="str">
        <f t="shared" si="1"/>
        <v>Decorative and Mini-Base</v>
      </c>
      <c r="D35" s="213">
        <f t="shared" si="2"/>
        <v>62.516951451044228</v>
      </c>
      <c r="E35" s="213" t="e">
        <f t="shared" si="2"/>
        <v>#DIV/0!</v>
      </c>
      <c r="F35" s="229" t="e">
        <f t="shared" si="2"/>
        <v>#DIV/0!</v>
      </c>
      <c r="H35" s="163"/>
      <c r="I35" s="232" t="s">
        <v>503</v>
      </c>
      <c r="J35" s="232" t="s">
        <v>504</v>
      </c>
      <c r="K35" s="232" t="s">
        <v>505</v>
      </c>
      <c r="L35" s="31"/>
      <c r="M35" s="31"/>
    </row>
    <row r="36" spans="1:13">
      <c r="A36" s="2"/>
      <c r="B36" s="223" t="str">
        <f t="shared" si="1"/>
        <v>LED</v>
      </c>
      <c r="C36" s="211" t="str">
        <f t="shared" si="1"/>
        <v>General Purpose and Dimmable</v>
      </c>
      <c r="D36" s="213">
        <f>IF(ISERROR(D11),D24,IF(ISERROR(D24),D11,AVERAGE(D11,D24)))</f>
        <v>62.45548098813935</v>
      </c>
      <c r="E36" s="213">
        <f t="shared" si="2"/>
        <v>69.310948646535792</v>
      </c>
      <c r="F36" s="229">
        <f t="shared" si="2"/>
        <v>73.758795934323686</v>
      </c>
      <c r="H36" s="163"/>
      <c r="I36" s="233">
        <v>6</v>
      </c>
      <c r="J36" s="233">
        <v>300</v>
      </c>
      <c r="K36" s="233">
        <f>J36/I36</f>
        <v>50</v>
      </c>
      <c r="L36" s="31"/>
      <c r="M36" s="31"/>
    </row>
    <row r="37" spans="1:13">
      <c r="A37" s="2"/>
      <c r="B37" s="223" t="str">
        <f t="shared" si="1"/>
        <v>LED</v>
      </c>
      <c r="C37" s="211" t="str">
        <f t="shared" si="1"/>
        <v>Globe</v>
      </c>
      <c r="D37" s="213">
        <f t="shared" si="2"/>
        <v>63.597884546214964</v>
      </c>
      <c r="E37" s="213">
        <f t="shared" si="2"/>
        <v>78.095238095238102</v>
      </c>
      <c r="F37" s="229" t="e">
        <f t="shared" si="2"/>
        <v>#DIV/0!</v>
      </c>
      <c r="I37" s="234">
        <v>13.5</v>
      </c>
      <c r="J37" s="234">
        <v>800</v>
      </c>
      <c r="K37" s="233">
        <f>J37/I37</f>
        <v>59.25925925925926</v>
      </c>
    </row>
    <row r="38" spans="1:13">
      <c r="A38" s="2"/>
      <c r="B38" s="223" t="str">
        <f t="shared" si="1"/>
        <v>LED</v>
      </c>
      <c r="C38" s="211" t="str">
        <f t="shared" si="1"/>
        <v>Reflectors and Outdoor</v>
      </c>
      <c r="D38" s="213">
        <f t="shared" si="2"/>
        <v>56.325863413141882</v>
      </c>
      <c r="E38" s="213">
        <f t="shared" si="2"/>
        <v>60.357872534833106</v>
      </c>
      <c r="F38" s="229">
        <f t="shared" si="2"/>
        <v>79.503546099290787</v>
      </c>
      <c r="I38" s="234">
        <v>20</v>
      </c>
      <c r="J38" s="234">
        <v>1100</v>
      </c>
      <c r="K38" s="233">
        <f>J38/I38</f>
        <v>55</v>
      </c>
    </row>
    <row r="39" spans="1:13" ht="13.5" thickBot="1">
      <c r="A39" s="2"/>
      <c r="B39" s="225" t="str">
        <f t="shared" si="1"/>
        <v>LED</v>
      </c>
      <c r="C39" s="226" t="str">
        <f t="shared" si="1"/>
        <v>Three-Way</v>
      </c>
      <c r="D39" s="230" t="e">
        <f t="shared" si="2"/>
        <v>#DIV/0!</v>
      </c>
      <c r="E39" s="230" t="e">
        <f t="shared" si="2"/>
        <v>#DIV/0!</v>
      </c>
      <c r="F39" s="231" t="e">
        <f t="shared" si="2"/>
        <v>#DIV/0!</v>
      </c>
      <c r="I39" s="1" t="s">
        <v>506</v>
      </c>
    </row>
    <row r="40" spans="1:13">
      <c r="A40" s="2"/>
      <c r="B40" s="2"/>
      <c r="C40" s="2"/>
      <c r="D40" s="217"/>
      <c r="E40" s="217"/>
      <c r="F40" s="217"/>
    </row>
    <row r="41" spans="1:13">
      <c r="A41" s="54" t="s">
        <v>507</v>
      </c>
      <c r="B41" s="2"/>
      <c r="C41" s="2"/>
      <c r="D41" s="217"/>
      <c r="E41" s="217"/>
      <c r="F41" s="217"/>
      <c r="I41" s="234">
        <v>10</v>
      </c>
      <c r="J41" s="234">
        <v>810</v>
      </c>
      <c r="K41" s="234">
        <f>J41/I41</f>
        <v>81</v>
      </c>
    </row>
    <row r="42" spans="1:13" ht="51" customHeight="1" thickBot="1">
      <c r="A42" s="54"/>
      <c r="B42" s="541" t="s">
        <v>508</v>
      </c>
      <c r="C42" s="541"/>
      <c r="D42" s="541"/>
      <c r="E42" s="541"/>
      <c r="F42" s="541"/>
      <c r="I42" s="1" t="s">
        <v>509</v>
      </c>
    </row>
    <row r="43" spans="1:13" ht="25.5">
      <c r="B43" s="235" t="s">
        <v>492</v>
      </c>
      <c r="C43" s="221" t="s">
        <v>398</v>
      </c>
      <c r="D43" s="236" t="s">
        <v>403</v>
      </c>
      <c r="E43" s="236" t="s">
        <v>406</v>
      </c>
      <c r="F43" s="237" t="s">
        <v>408</v>
      </c>
      <c r="I43" s="234">
        <v>20</v>
      </c>
      <c r="J43" s="234">
        <v>1100</v>
      </c>
      <c r="K43" s="234">
        <f>J43/I43</f>
        <v>55</v>
      </c>
    </row>
    <row r="44" spans="1:13">
      <c r="A44" s="2"/>
      <c r="B44" s="238" t="str">
        <f t="shared" ref="B44:E53" si="3">B30</f>
        <v>Compact Fluorescent</v>
      </c>
      <c r="C44" s="210" t="str">
        <f t="shared" si="3"/>
        <v>Decorative and Mini-Base</v>
      </c>
      <c r="D44" s="239">
        <f t="shared" si="3"/>
        <v>47.326460071899199</v>
      </c>
      <c r="E44" s="239">
        <f t="shared" si="3"/>
        <v>63.393650651669773</v>
      </c>
      <c r="F44" s="240" t="s">
        <v>510</v>
      </c>
      <c r="G44" s="241" t="s">
        <v>511</v>
      </c>
    </row>
    <row r="45" spans="1:13">
      <c r="A45" s="2"/>
      <c r="B45" s="238" t="str">
        <f t="shared" si="3"/>
        <v>Compact Fluorescent</v>
      </c>
      <c r="C45" s="210" t="str">
        <f t="shared" si="3"/>
        <v>General Purpose and Dimmable</v>
      </c>
      <c r="D45" s="239">
        <f t="shared" si="3"/>
        <v>57.676743088551326</v>
      </c>
      <c r="E45" s="239">
        <f t="shared" si="3"/>
        <v>64.593499437211094</v>
      </c>
      <c r="F45" s="242">
        <f>F31</f>
        <v>69.3525583700429</v>
      </c>
    </row>
    <row r="46" spans="1:13">
      <c r="A46" s="2"/>
      <c r="B46" s="238" t="str">
        <f t="shared" si="3"/>
        <v>Compact Fluorescent</v>
      </c>
      <c r="C46" s="210" t="str">
        <f t="shared" si="3"/>
        <v>Globe</v>
      </c>
      <c r="D46" s="239">
        <f t="shared" si="3"/>
        <v>52.357492193442624</v>
      </c>
      <c r="E46" s="239">
        <f t="shared" si="3"/>
        <v>56.288681586763076</v>
      </c>
      <c r="F46" s="240" t="s">
        <v>510</v>
      </c>
    </row>
    <row r="47" spans="1:13">
      <c r="A47" s="2"/>
      <c r="B47" s="238" t="str">
        <f t="shared" si="3"/>
        <v>Compact Fluorescent</v>
      </c>
      <c r="C47" s="210" t="str">
        <f t="shared" si="3"/>
        <v>Reflectors and Outdoor</v>
      </c>
      <c r="D47" s="239">
        <f t="shared" si="3"/>
        <v>43.652276732987744</v>
      </c>
      <c r="E47" s="239">
        <f t="shared" si="3"/>
        <v>50.291577048115769</v>
      </c>
      <c r="F47" s="242">
        <f>F33</f>
        <v>67.307692307692307</v>
      </c>
    </row>
    <row r="48" spans="1:13">
      <c r="A48" s="2"/>
      <c r="B48" s="238" t="str">
        <f t="shared" si="3"/>
        <v>Compact Fluorescent</v>
      </c>
      <c r="C48" s="210" t="str">
        <f t="shared" si="3"/>
        <v>Three-Way</v>
      </c>
      <c r="D48" s="240" t="s">
        <v>510</v>
      </c>
      <c r="E48" s="239">
        <f>E34</f>
        <v>42.211016724553993</v>
      </c>
      <c r="F48" s="242">
        <f>F34</f>
        <v>50.126780200607627</v>
      </c>
    </row>
    <row r="49" spans="1:11">
      <c r="A49" s="2"/>
      <c r="B49" s="238" t="str">
        <f t="shared" si="3"/>
        <v>LED</v>
      </c>
      <c r="C49" s="210" t="str">
        <f t="shared" si="3"/>
        <v>Decorative and Mini-Base</v>
      </c>
      <c r="D49" s="239">
        <f>D35</f>
        <v>62.516951451044228</v>
      </c>
      <c r="E49" s="240" t="s">
        <v>510</v>
      </c>
      <c r="F49" s="240" t="s">
        <v>510</v>
      </c>
      <c r="G49" s="243" t="s">
        <v>512</v>
      </c>
    </row>
    <row r="50" spans="1:11">
      <c r="A50" s="2"/>
      <c r="B50" s="238" t="str">
        <f t="shared" si="3"/>
        <v>LED</v>
      </c>
      <c r="C50" s="210" t="str">
        <f t="shared" si="3"/>
        <v>General Purpose and Dimmable</v>
      </c>
      <c r="D50" s="239">
        <f>D36</f>
        <v>62.45548098813935</v>
      </c>
      <c r="E50" s="244">
        <f>'CFL and LED Efficacy'!K8</f>
        <v>76</v>
      </c>
      <c r="F50" s="245">
        <v>85</v>
      </c>
      <c r="G50" s="246" t="s">
        <v>513</v>
      </c>
    </row>
    <row r="51" spans="1:11">
      <c r="A51" s="2"/>
      <c r="B51" s="238" t="str">
        <f t="shared" si="3"/>
        <v>LED</v>
      </c>
      <c r="C51" s="210" t="str">
        <f t="shared" si="3"/>
        <v>Globe</v>
      </c>
      <c r="D51" s="239">
        <f>D37</f>
        <v>63.597884546214964</v>
      </c>
      <c r="E51" s="244">
        <f>'CFL and LED Efficacy'!K9</f>
        <v>76</v>
      </c>
      <c r="F51" s="240" t="s">
        <v>510</v>
      </c>
    </row>
    <row r="52" spans="1:11">
      <c r="A52" s="2"/>
      <c r="B52" s="238" t="str">
        <f t="shared" si="3"/>
        <v>LED</v>
      </c>
      <c r="C52" s="210" t="str">
        <f t="shared" si="3"/>
        <v>Reflectors and Outdoor</v>
      </c>
      <c r="D52" s="239">
        <f>D38</f>
        <v>56.325863413141882</v>
      </c>
      <c r="E52" s="244">
        <f>'CFL and LED Efficacy'!K10</f>
        <v>67</v>
      </c>
      <c r="F52" s="247">
        <f>'CFL and LED Efficacy'!K10</f>
        <v>67</v>
      </c>
    </row>
    <row r="53" spans="1:11" ht="13.5" thickBot="1">
      <c r="A53" s="2"/>
      <c r="B53" s="248" t="str">
        <f t="shared" si="3"/>
        <v>LED</v>
      </c>
      <c r="C53" s="249" t="str">
        <f t="shared" si="3"/>
        <v>Three-Way</v>
      </c>
      <c r="D53" s="250" t="s">
        <v>510</v>
      </c>
      <c r="E53" s="250" t="s">
        <v>510</v>
      </c>
      <c r="F53" s="251" t="s">
        <v>510</v>
      </c>
      <c r="I53" s="252" t="s">
        <v>514</v>
      </c>
      <c r="J53" s="58"/>
      <c r="K53" s="58"/>
    </row>
    <row r="54" spans="1:11">
      <c r="A54" s="2"/>
      <c r="B54" s="2"/>
      <c r="C54" s="2"/>
      <c r="D54" s="217"/>
      <c r="E54" s="217"/>
      <c r="F54" s="217"/>
      <c r="I54" s="58" t="s">
        <v>515</v>
      </c>
      <c r="J54" s="58"/>
      <c r="K54" s="58"/>
    </row>
    <row r="55" spans="1:11" ht="13.5" thickBot="1">
      <c r="A55" s="54" t="s">
        <v>516</v>
      </c>
      <c r="B55" s="2"/>
      <c r="C55" s="2"/>
      <c r="D55" s="217"/>
      <c r="E55" s="217"/>
      <c r="F55" s="217"/>
      <c r="I55" s="234">
        <v>18</v>
      </c>
      <c r="J55" s="234">
        <v>1600</v>
      </c>
      <c r="K55" s="233">
        <f>J55/I55</f>
        <v>88.888888888888886</v>
      </c>
    </row>
    <row r="56" spans="1:11">
      <c r="A56" s="219" t="s">
        <v>492</v>
      </c>
      <c r="B56" s="220" t="s">
        <v>398</v>
      </c>
      <c r="C56" s="220" t="s">
        <v>419</v>
      </c>
      <c r="D56" s="220" t="s">
        <v>470</v>
      </c>
      <c r="E56" s="253" t="s">
        <v>517</v>
      </c>
      <c r="F56" s="254"/>
      <c r="I56" s="58" t="s">
        <v>518</v>
      </c>
      <c r="J56" s="58"/>
      <c r="K56" s="58"/>
    </row>
    <row r="57" spans="1:11">
      <c r="A57" s="238" t="s">
        <v>404</v>
      </c>
      <c r="B57" s="210" t="s">
        <v>402</v>
      </c>
      <c r="C57" s="211" t="s">
        <v>403</v>
      </c>
      <c r="D57" s="211" t="str">
        <f t="shared" ref="D57:D86" si="4">CONCATENATE(A57,B57,C57)</f>
        <v>Compact FluorescentDecorative and Mini-Base250 to 664 lumens</v>
      </c>
      <c r="E57" s="229">
        <f t="shared" ref="E57:E66" si="5">D44</f>
        <v>47.326460071899199</v>
      </c>
      <c r="F57" s="217"/>
      <c r="I57" s="234">
        <v>22</v>
      </c>
      <c r="J57" s="234">
        <v>1780</v>
      </c>
      <c r="K57" s="233">
        <f>J57/I57</f>
        <v>80.909090909090907</v>
      </c>
    </row>
    <row r="58" spans="1:11">
      <c r="A58" s="238" t="s">
        <v>404</v>
      </c>
      <c r="B58" s="210" t="s">
        <v>405</v>
      </c>
      <c r="C58" s="211" t="s">
        <v>403</v>
      </c>
      <c r="D58" s="211" t="str">
        <f t="shared" si="4"/>
        <v>Compact FluorescentGeneral Purpose and Dimmable250 to 664 lumens</v>
      </c>
      <c r="E58" s="229">
        <f t="shared" si="5"/>
        <v>57.676743088551326</v>
      </c>
      <c r="F58" s="217"/>
      <c r="I58" s="58"/>
      <c r="J58" s="255" t="s">
        <v>519</v>
      </c>
      <c r="K58" s="256">
        <f>AVERAGE(K55:K57)</f>
        <v>84.898989898989896</v>
      </c>
    </row>
    <row r="59" spans="1:11">
      <c r="A59" s="238" t="s">
        <v>404</v>
      </c>
      <c r="B59" s="210" t="s">
        <v>407</v>
      </c>
      <c r="C59" s="211" t="s">
        <v>403</v>
      </c>
      <c r="D59" s="211" t="str">
        <f t="shared" si="4"/>
        <v>Compact FluorescentGlobe250 to 664 lumens</v>
      </c>
      <c r="E59" s="229">
        <f t="shared" si="5"/>
        <v>52.357492193442624</v>
      </c>
      <c r="F59" s="217"/>
    </row>
    <row r="60" spans="1:11">
      <c r="A60" s="238" t="s">
        <v>404</v>
      </c>
      <c r="B60" s="210" t="s">
        <v>409</v>
      </c>
      <c r="C60" s="211" t="s">
        <v>403</v>
      </c>
      <c r="D60" s="211" t="str">
        <f t="shared" si="4"/>
        <v>Compact FluorescentReflectors and Outdoor250 to 664 lumens</v>
      </c>
      <c r="E60" s="229">
        <f t="shared" si="5"/>
        <v>43.652276732987744</v>
      </c>
      <c r="F60" s="217"/>
    </row>
    <row r="61" spans="1:11">
      <c r="A61" s="238" t="s">
        <v>404</v>
      </c>
      <c r="B61" s="210" t="s">
        <v>410</v>
      </c>
      <c r="C61" s="211" t="s">
        <v>403</v>
      </c>
      <c r="D61" s="211" t="str">
        <f t="shared" si="4"/>
        <v>Compact FluorescentThree-Way250 to 664 lumens</v>
      </c>
      <c r="E61" s="229" t="str">
        <f t="shared" si="5"/>
        <v>[no products]</v>
      </c>
      <c r="F61" s="217"/>
    </row>
    <row r="62" spans="1:11">
      <c r="A62" s="238" t="s">
        <v>401</v>
      </c>
      <c r="B62" s="210" t="s">
        <v>402</v>
      </c>
      <c r="C62" s="211" t="s">
        <v>403</v>
      </c>
      <c r="D62" s="211" t="str">
        <f t="shared" si="4"/>
        <v>LEDDecorative and Mini-Base250 to 664 lumens</v>
      </c>
      <c r="E62" s="229">
        <f t="shared" si="5"/>
        <v>62.516951451044228</v>
      </c>
      <c r="F62" s="217"/>
    </row>
    <row r="63" spans="1:11">
      <c r="A63" s="238" t="s">
        <v>401</v>
      </c>
      <c r="B63" s="210" t="s">
        <v>405</v>
      </c>
      <c r="C63" s="211" t="s">
        <v>403</v>
      </c>
      <c r="D63" s="211" t="str">
        <f t="shared" si="4"/>
        <v>LEDGeneral Purpose and Dimmable250 to 664 lumens</v>
      </c>
      <c r="E63" s="229">
        <f t="shared" si="5"/>
        <v>62.45548098813935</v>
      </c>
      <c r="F63" s="217"/>
    </row>
    <row r="64" spans="1:11">
      <c r="A64" s="238" t="s">
        <v>401</v>
      </c>
      <c r="B64" s="210" t="s">
        <v>407</v>
      </c>
      <c r="C64" s="211" t="s">
        <v>403</v>
      </c>
      <c r="D64" s="211" t="str">
        <f t="shared" si="4"/>
        <v>LEDGlobe250 to 664 lumens</v>
      </c>
      <c r="E64" s="229">
        <f t="shared" si="5"/>
        <v>63.597884546214964</v>
      </c>
      <c r="F64" s="217"/>
    </row>
    <row r="65" spans="1:6">
      <c r="A65" s="238" t="s">
        <v>401</v>
      </c>
      <c r="B65" s="210" t="s">
        <v>409</v>
      </c>
      <c r="C65" s="211" t="s">
        <v>403</v>
      </c>
      <c r="D65" s="211" t="str">
        <f t="shared" si="4"/>
        <v>LEDReflectors and Outdoor250 to 664 lumens</v>
      </c>
      <c r="E65" s="229">
        <f t="shared" si="5"/>
        <v>56.325863413141882</v>
      </c>
      <c r="F65" s="217"/>
    </row>
    <row r="66" spans="1:6">
      <c r="A66" s="238" t="s">
        <v>401</v>
      </c>
      <c r="B66" s="210" t="s">
        <v>410</v>
      </c>
      <c r="C66" s="211" t="s">
        <v>403</v>
      </c>
      <c r="D66" s="211" t="str">
        <f t="shared" si="4"/>
        <v>LEDThree-Way250 to 664 lumens</v>
      </c>
      <c r="E66" s="229" t="str">
        <f t="shared" si="5"/>
        <v>[no products]</v>
      </c>
      <c r="F66" s="217"/>
    </row>
    <row r="67" spans="1:6">
      <c r="A67" s="238" t="s">
        <v>404</v>
      </c>
      <c r="B67" s="210" t="s">
        <v>402</v>
      </c>
      <c r="C67" s="213" t="s">
        <v>406</v>
      </c>
      <c r="D67" s="213" t="str">
        <f t="shared" si="4"/>
        <v>Compact FluorescentDecorative and Mini-Base665 to 1439 lumens</v>
      </c>
      <c r="E67" s="229">
        <f>E44</f>
        <v>63.393650651669773</v>
      </c>
      <c r="F67" s="217"/>
    </row>
    <row r="68" spans="1:6">
      <c r="A68" s="238" t="s">
        <v>404</v>
      </c>
      <c r="B68" s="210" t="s">
        <v>405</v>
      </c>
      <c r="C68" s="213" t="s">
        <v>406</v>
      </c>
      <c r="D68" s="213" t="str">
        <f t="shared" si="4"/>
        <v>Compact FluorescentGeneral Purpose and Dimmable665 to 1439 lumens</v>
      </c>
      <c r="E68" s="229">
        <f>E45</f>
        <v>64.593499437211094</v>
      </c>
      <c r="F68" s="217"/>
    </row>
    <row r="69" spans="1:6">
      <c r="A69" s="238" t="s">
        <v>404</v>
      </c>
      <c r="B69" s="210" t="s">
        <v>407</v>
      </c>
      <c r="C69" s="213" t="s">
        <v>406</v>
      </c>
      <c r="D69" s="213" t="str">
        <f t="shared" si="4"/>
        <v>Compact FluorescentGlobe665 to 1439 lumens</v>
      </c>
      <c r="E69" s="229">
        <f t="shared" ref="E69:E76" si="6">E46</f>
        <v>56.288681586763076</v>
      </c>
      <c r="F69" s="217"/>
    </row>
    <row r="70" spans="1:6">
      <c r="A70" s="238" t="s">
        <v>404</v>
      </c>
      <c r="B70" s="210" t="s">
        <v>409</v>
      </c>
      <c r="C70" s="213" t="s">
        <v>406</v>
      </c>
      <c r="D70" s="213" t="str">
        <f t="shared" si="4"/>
        <v>Compact FluorescentReflectors and Outdoor665 to 1439 lumens</v>
      </c>
      <c r="E70" s="229">
        <f t="shared" si="6"/>
        <v>50.291577048115769</v>
      </c>
      <c r="F70" s="217"/>
    </row>
    <row r="71" spans="1:6">
      <c r="A71" s="238" t="s">
        <v>404</v>
      </c>
      <c r="B71" s="210" t="s">
        <v>410</v>
      </c>
      <c r="C71" s="213" t="s">
        <v>406</v>
      </c>
      <c r="D71" s="213" t="str">
        <f t="shared" si="4"/>
        <v>Compact FluorescentThree-Way665 to 1439 lumens</v>
      </c>
      <c r="E71" s="229">
        <f t="shared" si="6"/>
        <v>42.211016724553993</v>
      </c>
      <c r="F71" s="217"/>
    </row>
    <row r="72" spans="1:6">
      <c r="A72" s="238" t="s">
        <v>401</v>
      </c>
      <c r="B72" s="210" t="s">
        <v>402</v>
      </c>
      <c r="C72" s="213" t="s">
        <v>406</v>
      </c>
      <c r="D72" s="213" t="str">
        <f t="shared" si="4"/>
        <v>LEDDecorative and Mini-Base665 to 1439 lumens</v>
      </c>
      <c r="E72" s="229" t="str">
        <f t="shared" si="6"/>
        <v>[no products]</v>
      </c>
      <c r="F72" s="217"/>
    </row>
    <row r="73" spans="1:6">
      <c r="A73" s="238" t="s">
        <v>401</v>
      </c>
      <c r="B73" s="210" t="s">
        <v>405</v>
      </c>
      <c r="C73" s="213" t="s">
        <v>406</v>
      </c>
      <c r="D73" s="213" t="str">
        <f t="shared" si="4"/>
        <v>LEDGeneral Purpose and Dimmable665 to 1439 lumens</v>
      </c>
      <c r="E73" s="229">
        <f t="shared" si="6"/>
        <v>76</v>
      </c>
      <c r="F73" s="217"/>
    </row>
    <row r="74" spans="1:6">
      <c r="A74" s="238" t="s">
        <v>401</v>
      </c>
      <c r="B74" s="210" t="s">
        <v>407</v>
      </c>
      <c r="C74" s="213" t="s">
        <v>406</v>
      </c>
      <c r="D74" s="213" t="str">
        <f t="shared" si="4"/>
        <v>LEDGlobe665 to 1439 lumens</v>
      </c>
      <c r="E74" s="229">
        <f t="shared" si="6"/>
        <v>76</v>
      </c>
      <c r="F74" s="217"/>
    </row>
    <row r="75" spans="1:6">
      <c r="A75" s="238" t="s">
        <v>401</v>
      </c>
      <c r="B75" s="210" t="s">
        <v>409</v>
      </c>
      <c r="C75" s="213" t="s">
        <v>406</v>
      </c>
      <c r="D75" s="213" t="str">
        <f t="shared" si="4"/>
        <v>LEDReflectors and Outdoor665 to 1439 lumens</v>
      </c>
      <c r="E75" s="229">
        <f t="shared" si="6"/>
        <v>67</v>
      </c>
      <c r="F75" s="217"/>
    </row>
    <row r="76" spans="1:6">
      <c r="A76" s="238" t="s">
        <v>401</v>
      </c>
      <c r="B76" s="210" t="s">
        <v>410</v>
      </c>
      <c r="C76" s="213" t="s">
        <v>406</v>
      </c>
      <c r="D76" s="213" t="str">
        <f t="shared" si="4"/>
        <v>LEDThree-Way665 to 1439 lumens</v>
      </c>
      <c r="E76" s="229" t="str">
        <f t="shared" si="6"/>
        <v>[no products]</v>
      </c>
      <c r="F76" s="217"/>
    </row>
    <row r="77" spans="1:6">
      <c r="A77" s="238" t="s">
        <v>404</v>
      </c>
      <c r="B77" s="210" t="s">
        <v>402</v>
      </c>
      <c r="C77" s="213" t="s">
        <v>408</v>
      </c>
      <c r="D77" s="213" t="str">
        <f t="shared" si="4"/>
        <v>Compact FluorescentDecorative and Mini-Base1440 to 2600 lumens</v>
      </c>
      <c r="E77" s="229" t="str">
        <f>F44</f>
        <v>[no products]</v>
      </c>
      <c r="F77" s="217"/>
    </row>
    <row r="78" spans="1:6">
      <c r="A78" s="238" t="s">
        <v>404</v>
      </c>
      <c r="B78" s="210" t="s">
        <v>405</v>
      </c>
      <c r="C78" s="213" t="s">
        <v>408</v>
      </c>
      <c r="D78" s="213" t="str">
        <f t="shared" si="4"/>
        <v>Compact FluorescentGeneral Purpose and Dimmable1440 to 2600 lumens</v>
      </c>
      <c r="E78" s="229">
        <f t="shared" ref="E78:E86" si="7">F45</f>
        <v>69.3525583700429</v>
      </c>
      <c r="F78" s="217"/>
    </row>
    <row r="79" spans="1:6">
      <c r="A79" s="238" t="s">
        <v>404</v>
      </c>
      <c r="B79" s="210" t="s">
        <v>407</v>
      </c>
      <c r="C79" s="213" t="s">
        <v>408</v>
      </c>
      <c r="D79" s="213" t="str">
        <f t="shared" si="4"/>
        <v>Compact FluorescentGlobe1440 to 2600 lumens</v>
      </c>
      <c r="E79" s="229" t="str">
        <f t="shared" si="7"/>
        <v>[no products]</v>
      </c>
      <c r="F79" s="217"/>
    </row>
    <row r="80" spans="1:6">
      <c r="A80" s="238" t="s">
        <v>404</v>
      </c>
      <c r="B80" s="210" t="s">
        <v>409</v>
      </c>
      <c r="C80" s="213" t="s">
        <v>408</v>
      </c>
      <c r="D80" s="213" t="str">
        <f t="shared" si="4"/>
        <v>Compact FluorescentReflectors and Outdoor1440 to 2600 lumens</v>
      </c>
      <c r="E80" s="229">
        <f t="shared" si="7"/>
        <v>67.307692307692307</v>
      </c>
      <c r="F80" s="217"/>
    </row>
    <row r="81" spans="1:6">
      <c r="A81" s="238" t="s">
        <v>404</v>
      </c>
      <c r="B81" s="210" t="s">
        <v>410</v>
      </c>
      <c r="C81" s="213" t="s">
        <v>408</v>
      </c>
      <c r="D81" s="213" t="str">
        <f t="shared" si="4"/>
        <v>Compact FluorescentThree-Way1440 to 2600 lumens</v>
      </c>
      <c r="E81" s="229">
        <f t="shared" si="7"/>
        <v>50.126780200607627</v>
      </c>
      <c r="F81" s="217"/>
    </row>
    <row r="82" spans="1:6">
      <c r="A82" s="238" t="s">
        <v>401</v>
      </c>
      <c r="B82" s="210" t="s">
        <v>402</v>
      </c>
      <c r="C82" s="213" t="s">
        <v>408</v>
      </c>
      <c r="D82" s="213" t="str">
        <f t="shared" si="4"/>
        <v>LEDDecorative and Mini-Base1440 to 2600 lumens</v>
      </c>
      <c r="E82" s="229" t="str">
        <f t="shared" si="7"/>
        <v>[no products]</v>
      </c>
      <c r="F82" s="217"/>
    </row>
    <row r="83" spans="1:6">
      <c r="A83" s="238" t="s">
        <v>401</v>
      </c>
      <c r="B83" s="210" t="s">
        <v>405</v>
      </c>
      <c r="C83" s="213" t="s">
        <v>408</v>
      </c>
      <c r="D83" s="213" t="str">
        <f t="shared" si="4"/>
        <v>LEDGeneral Purpose and Dimmable1440 to 2600 lumens</v>
      </c>
      <c r="E83" s="229">
        <f t="shared" si="7"/>
        <v>85</v>
      </c>
      <c r="F83" s="217"/>
    </row>
    <row r="84" spans="1:6">
      <c r="A84" s="238" t="s">
        <v>401</v>
      </c>
      <c r="B84" s="210" t="s">
        <v>407</v>
      </c>
      <c r="C84" s="213" t="s">
        <v>408</v>
      </c>
      <c r="D84" s="213" t="str">
        <f t="shared" si="4"/>
        <v>LEDGlobe1440 to 2600 lumens</v>
      </c>
      <c r="E84" s="229" t="str">
        <f t="shared" si="7"/>
        <v>[no products]</v>
      </c>
      <c r="F84" s="217"/>
    </row>
    <row r="85" spans="1:6">
      <c r="A85" s="238" t="s">
        <v>401</v>
      </c>
      <c r="B85" s="210" t="s">
        <v>409</v>
      </c>
      <c r="C85" s="213" t="s">
        <v>408</v>
      </c>
      <c r="D85" s="213" t="str">
        <f t="shared" si="4"/>
        <v>LEDReflectors and Outdoor1440 to 2600 lumens</v>
      </c>
      <c r="E85" s="229">
        <f t="shared" si="7"/>
        <v>67</v>
      </c>
      <c r="F85" s="217"/>
    </row>
    <row r="86" spans="1:6" ht="13.5" thickBot="1">
      <c r="A86" s="248" t="s">
        <v>401</v>
      </c>
      <c r="B86" s="249" t="s">
        <v>410</v>
      </c>
      <c r="C86" s="230" t="s">
        <v>408</v>
      </c>
      <c r="D86" s="230" t="str">
        <f t="shared" si="4"/>
        <v>LEDThree-Way1440 to 2600 lumens</v>
      </c>
      <c r="E86" s="231" t="str">
        <f t="shared" si="7"/>
        <v>[no products]</v>
      </c>
      <c r="F86" s="217"/>
    </row>
  </sheetData>
  <mergeCells count="2">
    <mergeCell ref="I1:O1"/>
    <mergeCell ref="B42:F4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Sheet21"/>
  <dimension ref="A1:S102"/>
  <sheetViews>
    <sheetView topLeftCell="A67" workbookViewId="0">
      <selection activeCell="H75" sqref="H75"/>
    </sheetView>
  </sheetViews>
  <sheetFormatPr defaultRowHeight="12.75"/>
  <cols>
    <col min="1" max="3" width="17.28515625" style="1" customWidth="1"/>
    <col min="4" max="4" width="64.140625" style="1" bestFit="1" customWidth="1"/>
    <col min="5" max="16384" width="9.140625" style="1"/>
  </cols>
  <sheetData>
    <row r="1" spans="1:15" ht="13.5" thickBot="1">
      <c r="A1" s="2" t="s">
        <v>520</v>
      </c>
      <c r="B1" s="2"/>
      <c r="C1" s="2"/>
    </row>
    <row r="2" spans="1:15" ht="38.25">
      <c r="A2" s="2"/>
      <c r="B2" s="235" t="s">
        <v>492</v>
      </c>
      <c r="C2" s="221" t="s">
        <v>398</v>
      </c>
      <c r="D2" s="221" t="s">
        <v>403</v>
      </c>
      <c r="E2" s="221" t="s">
        <v>406</v>
      </c>
      <c r="F2" s="222" t="s">
        <v>408</v>
      </c>
    </row>
    <row r="3" spans="1:15">
      <c r="A3" s="2"/>
      <c r="B3" s="223" t="s">
        <v>404</v>
      </c>
      <c r="C3" s="211" t="s">
        <v>402</v>
      </c>
      <c r="D3" s="206">
        <v>3.458278035762985</v>
      </c>
      <c r="E3" s="206">
        <v>2.4211814117993882</v>
      </c>
      <c r="F3" s="257" t="e">
        <v>#DIV/0!</v>
      </c>
    </row>
    <row r="4" spans="1:15">
      <c r="A4" s="2"/>
      <c r="B4" s="223" t="s">
        <v>404</v>
      </c>
      <c r="C4" s="211" t="s">
        <v>405</v>
      </c>
      <c r="D4" s="206">
        <v>2.1898859912922237</v>
      </c>
      <c r="E4" s="206">
        <v>1.4728992237857326</v>
      </c>
      <c r="F4" s="257">
        <v>1.9179627808849677</v>
      </c>
    </row>
    <row r="5" spans="1:15">
      <c r="A5" s="2"/>
      <c r="B5" s="223" t="s">
        <v>404</v>
      </c>
      <c r="C5" s="211" t="s">
        <v>407</v>
      </c>
      <c r="D5" s="206">
        <v>1.7146760251034388</v>
      </c>
      <c r="E5" s="206">
        <v>5.0829624289431434</v>
      </c>
      <c r="F5" s="257" t="e">
        <v>#DIV/0!</v>
      </c>
    </row>
    <row r="6" spans="1:15">
      <c r="A6" s="2"/>
      <c r="B6" s="223" t="s">
        <v>404</v>
      </c>
      <c r="C6" s="211" t="s">
        <v>409</v>
      </c>
      <c r="D6" s="206">
        <v>4.6692910687159506</v>
      </c>
      <c r="E6" s="206">
        <v>3.1556293233529593</v>
      </c>
      <c r="F6" s="257">
        <v>9.99</v>
      </c>
    </row>
    <row r="7" spans="1:15">
      <c r="A7" s="2"/>
      <c r="B7" s="223" t="s">
        <v>404</v>
      </c>
      <c r="C7" s="211" t="s">
        <v>410</v>
      </c>
      <c r="D7" s="206" t="e">
        <v>#DIV/0!</v>
      </c>
      <c r="E7" s="206">
        <v>10.778237678685738</v>
      </c>
      <c r="F7" s="257">
        <v>12.551757188498522</v>
      </c>
    </row>
    <row r="8" spans="1:15">
      <c r="A8" s="2"/>
      <c r="B8" s="223" t="s">
        <v>401</v>
      </c>
      <c r="C8" s="211" t="s">
        <v>402</v>
      </c>
      <c r="D8" s="206" t="e">
        <v>#DIV/0!</v>
      </c>
      <c r="E8" s="206" t="e">
        <v>#DIV/0!</v>
      </c>
      <c r="F8" s="257" t="e">
        <v>#DIV/0!</v>
      </c>
    </row>
    <row r="9" spans="1:15">
      <c r="A9" s="2"/>
      <c r="B9" s="223" t="s">
        <v>401</v>
      </c>
      <c r="C9" s="211" t="s">
        <v>405</v>
      </c>
      <c r="D9" s="206">
        <v>6.7335047253672657</v>
      </c>
      <c r="E9" s="206">
        <v>12.053647595621213</v>
      </c>
      <c r="F9" s="257" t="e">
        <v>#DIV/0!</v>
      </c>
    </row>
    <row r="10" spans="1:15">
      <c r="A10" s="2"/>
      <c r="B10" s="223" t="s">
        <v>401</v>
      </c>
      <c r="C10" s="211" t="s">
        <v>407</v>
      </c>
      <c r="D10" s="206">
        <v>6.6824863261449128</v>
      </c>
      <c r="E10" s="206" t="e">
        <v>#DIV/0!</v>
      </c>
      <c r="F10" s="257" t="e">
        <v>#DIV/0!</v>
      </c>
    </row>
    <row r="11" spans="1:15">
      <c r="A11" s="2"/>
      <c r="B11" s="223" t="s">
        <v>401</v>
      </c>
      <c r="C11" s="211" t="s">
        <v>409</v>
      </c>
      <c r="D11" s="206">
        <v>21.496385088241176</v>
      </c>
      <c r="E11" s="206">
        <v>18.190142600291061</v>
      </c>
      <c r="F11" s="257" t="e">
        <v>#DIV/0!</v>
      </c>
    </row>
    <row r="12" spans="1:15" ht="13.5" thickBot="1">
      <c r="A12" s="2"/>
      <c r="B12" s="225" t="s">
        <v>401</v>
      </c>
      <c r="C12" s="226" t="s">
        <v>410</v>
      </c>
      <c r="D12" s="258" t="e">
        <v>#DIV/0!</v>
      </c>
      <c r="E12" s="258" t="e">
        <v>#DIV/0!</v>
      </c>
      <c r="F12" s="259" t="e">
        <v>#DIV/0!</v>
      </c>
    </row>
    <row r="14" spans="1:15">
      <c r="O14" s="2" t="s">
        <v>466</v>
      </c>
    </row>
    <row r="15" spans="1:15">
      <c r="A15" s="2" t="s">
        <v>521</v>
      </c>
    </row>
    <row r="16" spans="1:15" ht="13.5" thickBot="1"/>
    <row r="17" spans="1:12" ht="38.25">
      <c r="B17" s="235" t="s">
        <v>492</v>
      </c>
      <c r="C17" s="221" t="s">
        <v>398</v>
      </c>
      <c r="D17" s="221" t="s">
        <v>403</v>
      </c>
      <c r="E17" s="221" t="s">
        <v>406</v>
      </c>
      <c r="F17" s="222" t="s">
        <v>408</v>
      </c>
    </row>
    <row r="18" spans="1:12">
      <c r="B18" s="223" t="s">
        <v>404</v>
      </c>
      <c r="C18" s="211" t="s">
        <v>402</v>
      </c>
      <c r="D18" s="206">
        <v>3.458278035762985</v>
      </c>
      <c r="E18" s="206">
        <v>2.4211814117993882</v>
      </c>
      <c r="F18" s="260">
        <f>MAX(D18:E18)</f>
        <v>3.458278035762985</v>
      </c>
      <c r="G18" s="241" t="s">
        <v>522</v>
      </c>
    </row>
    <row r="19" spans="1:12">
      <c r="B19" s="223" t="s">
        <v>404</v>
      </c>
      <c r="C19" s="211" t="s">
        <v>405</v>
      </c>
      <c r="D19" s="206">
        <v>2.1898859912922237</v>
      </c>
      <c r="E19" s="206">
        <v>1.4728992237857326</v>
      </c>
      <c r="F19" s="257">
        <v>1.9179627808849677</v>
      </c>
    </row>
    <row r="20" spans="1:12">
      <c r="B20" s="223" t="s">
        <v>404</v>
      </c>
      <c r="C20" s="211" t="s">
        <v>407</v>
      </c>
      <c r="D20" s="261">
        <v>1.7146760251034388</v>
      </c>
      <c r="E20" s="206">
        <v>5.0829624289431434</v>
      </c>
      <c r="F20" s="260">
        <f>MAX(D20:E20)</f>
        <v>5.0829624289431434</v>
      </c>
      <c r="G20" s="241" t="s">
        <v>523</v>
      </c>
    </row>
    <row r="21" spans="1:12">
      <c r="B21" s="223" t="s">
        <v>404</v>
      </c>
      <c r="C21" s="211" t="s">
        <v>409</v>
      </c>
      <c r="D21" s="206">
        <v>4.6692910687159506</v>
      </c>
      <c r="E21" s="206">
        <v>3.1556293233529593</v>
      </c>
      <c r="F21" s="257">
        <v>9.99</v>
      </c>
    </row>
    <row r="22" spans="1:12">
      <c r="B22" s="223" t="s">
        <v>404</v>
      </c>
      <c r="C22" s="211" t="s">
        <v>410</v>
      </c>
      <c r="D22" s="262">
        <f>MAX(E22:F22)</f>
        <v>12.551757188498522</v>
      </c>
      <c r="E22" s="206">
        <v>10.778237678685738</v>
      </c>
      <c r="F22" s="257">
        <v>12.551757188498522</v>
      </c>
    </row>
    <row r="23" spans="1:12">
      <c r="B23" s="223" t="s">
        <v>401</v>
      </c>
      <c r="C23" s="211" t="s">
        <v>402</v>
      </c>
      <c r="D23" s="263">
        <f>D24*2</f>
        <v>10.100257088050899</v>
      </c>
      <c r="E23" s="263">
        <f>E24*2</f>
        <v>18.080471393431818</v>
      </c>
      <c r="F23" s="264">
        <f>F24*2</f>
        <v>44</v>
      </c>
      <c r="G23" s="265" t="s">
        <v>524</v>
      </c>
    </row>
    <row r="24" spans="1:12">
      <c r="B24" s="223" t="s">
        <v>401</v>
      </c>
      <c r="C24" s="211" t="s">
        <v>405</v>
      </c>
      <c r="D24" s="266">
        <f>D9*0.75</f>
        <v>5.0501285440254495</v>
      </c>
      <c r="E24" s="266">
        <f>E9*0.75</f>
        <v>9.040235696715909</v>
      </c>
      <c r="F24" s="267">
        <v>22</v>
      </c>
      <c r="G24" s="243" t="s">
        <v>525</v>
      </c>
    </row>
    <row r="25" spans="1:12">
      <c r="B25" s="223" t="s">
        <v>401</v>
      </c>
      <c r="C25" s="211" t="s">
        <v>407</v>
      </c>
      <c r="D25" s="206">
        <v>6.6824863261449128</v>
      </c>
      <c r="E25" s="266">
        <f>E24</f>
        <v>9.040235696715909</v>
      </c>
      <c r="F25" s="267">
        <v>22</v>
      </c>
      <c r="G25" s="246" t="s">
        <v>526</v>
      </c>
    </row>
    <row r="26" spans="1:12">
      <c r="B26" s="223" t="s">
        <v>401</v>
      </c>
      <c r="C26" s="211" t="s">
        <v>409</v>
      </c>
      <c r="D26" s="206">
        <v>21.496385088241176</v>
      </c>
      <c r="E26" s="206">
        <v>18.190142600291061</v>
      </c>
      <c r="F26" s="268">
        <f>F24*1.5</f>
        <v>33</v>
      </c>
      <c r="G26" s="269" t="s">
        <v>527</v>
      </c>
    </row>
    <row r="27" spans="1:12" ht="13.5" thickBot="1">
      <c r="B27" s="225" t="s">
        <v>401</v>
      </c>
      <c r="C27" s="226" t="s">
        <v>410</v>
      </c>
      <c r="D27" s="270">
        <f>D26</f>
        <v>21.496385088241176</v>
      </c>
      <c r="E27" s="270">
        <f>E26</f>
        <v>18.190142600291061</v>
      </c>
      <c r="F27" s="271">
        <f>F26</f>
        <v>33</v>
      </c>
      <c r="G27" s="272" t="s">
        <v>528</v>
      </c>
    </row>
    <row r="29" spans="1:12">
      <c r="A29" s="2" t="s">
        <v>708</v>
      </c>
      <c r="H29" s="58"/>
      <c r="I29" s="58"/>
      <c r="J29" s="58"/>
      <c r="K29" s="58"/>
      <c r="L29" s="58"/>
    </row>
    <row r="30" spans="1:12" ht="13.5" thickBot="1">
      <c r="H30" s="58"/>
      <c r="I30" s="58"/>
      <c r="J30" s="58"/>
      <c r="K30" s="58"/>
      <c r="L30" s="58"/>
    </row>
    <row r="31" spans="1:12" ht="38.25">
      <c r="B31" s="235" t="s">
        <v>492</v>
      </c>
      <c r="C31" s="221" t="s">
        <v>398</v>
      </c>
      <c r="D31" s="221" t="s">
        <v>403</v>
      </c>
      <c r="E31" s="221" t="s">
        <v>406</v>
      </c>
      <c r="F31" s="222" t="s">
        <v>408</v>
      </c>
      <c r="H31" s="58"/>
      <c r="I31" s="273" t="s">
        <v>707</v>
      </c>
      <c r="J31" s="58"/>
      <c r="K31" s="58"/>
      <c r="L31" s="58"/>
    </row>
    <row r="32" spans="1:12">
      <c r="B32" s="223" t="s">
        <v>404</v>
      </c>
      <c r="C32" s="211" t="s">
        <v>402</v>
      </c>
      <c r="D32" s="206">
        <f t="shared" ref="D32:F41" si="0">D18*$J$32</f>
        <v>3.4098621432623033</v>
      </c>
      <c r="E32" s="206">
        <f t="shared" si="0"/>
        <v>2.3872848720341966</v>
      </c>
      <c r="F32" s="257">
        <f t="shared" si="0"/>
        <v>3.4098621432623033</v>
      </c>
      <c r="H32" s="58"/>
      <c r="I32" s="274" t="s">
        <v>529</v>
      </c>
      <c r="J32" s="275">
        <v>0.98599999999999999</v>
      </c>
      <c r="K32" s="274" t="s">
        <v>530</v>
      </c>
      <c r="L32" s="58"/>
    </row>
    <row r="33" spans="1:19">
      <c r="B33" s="223" t="s">
        <v>404</v>
      </c>
      <c r="C33" s="211" t="s">
        <v>405</v>
      </c>
      <c r="D33" s="206">
        <f t="shared" si="0"/>
        <v>2.1592275874141325</v>
      </c>
      <c r="E33" s="206">
        <f t="shared" si="0"/>
        <v>1.4522786346527323</v>
      </c>
      <c r="F33" s="257">
        <f t="shared" si="0"/>
        <v>1.8911113019525783</v>
      </c>
      <c r="H33" s="58"/>
      <c r="I33" s="276"/>
      <c r="J33" s="58"/>
      <c r="K33" s="274"/>
      <c r="L33" s="58"/>
    </row>
    <row r="34" spans="1:19">
      <c r="B34" s="223" t="s">
        <v>404</v>
      </c>
      <c r="C34" s="211" t="s">
        <v>407</v>
      </c>
      <c r="D34" s="206">
        <f t="shared" si="0"/>
        <v>1.6906705607519905</v>
      </c>
      <c r="E34" s="206">
        <f t="shared" si="0"/>
        <v>5.0118009549379394</v>
      </c>
      <c r="F34" s="257">
        <f t="shared" si="0"/>
        <v>5.0118009549379394</v>
      </c>
      <c r="H34" s="58"/>
      <c r="I34" s="58"/>
      <c r="J34" s="58"/>
      <c r="K34" s="58"/>
      <c r="L34" s="58"/>
    </row>
    <row r="35" spans="1:19" ht="15">
      <c r="B35" s="223" t="s">
        <v>404</v>
      </c>
      <c r="C35" s="211" t="s">
        <v>409</v>
      </c>
      <c r="D35" s="206">
        <f t="shared" si="0"/>
        <v>4.6039209937539276</v>
      </c>
      <c r="E35" s="206">
        <f t="shared" si="0"/>
        <v>3.1114505128260177</v>
      </c>
      <c r="F35" s="257">
        <f t="shared" si="0"/>
        <v>9.8501399999999997</v>
      </c>
      <c r="H35" s="58"/>
      <c r="I35" s="58"/>
      <c r="J35" s="58"/>
      <c r="K35" s="277"/>
      <c r="L35" s="58"/>
    </row>
    <row r="36" spans="1:19">
      <c r="B36" s="223" t="s">
        <v>404</v>
      </c>
      <c r="C36" s="211" t="s">
        <v>410</v>
      </c>
      <c r="D36" s="206">
        <f t="shared" si="0"/>
        <v>12.376032587859543</v>
      </c>
      <c r="E36" s="206">
        <f t="shared" si="0"/>
        <v>10.627342351184137</v>
      </c>
      <c r="F36" s="257">
        <f t="shared" si="0"/>
        <v>12.376032587859543</v>
      </c>
      <c r="J36" s="278"/>
      <c r="K36" s="279"/>
    </row>
    <row r="37" spans="1:19">
      <c r="B37" s="223" t="s">
        <v>401</v>
      </c>
      <c r="C37" s="211" t="s">
        <v>402</v>
      </c>
      <c r="D37" s="206">
        <f t="shared" si="0"/>
        <v>9.9588534888181872</v>
      </c>
      <c r="E37" s="206">
        <f t="shared" si="0"/>
        <v>17.827344793923771</v>
      </c>
      <c r="F37" s="257">
        <f t="shared" si="0"/>
        <v>43.384</v>
      </c>
    </row>
    <row r="38" spans="1:19">
      <c r="B38" s="223" t="s">
        <v>401</v>
      </c>
      <c r="C38" s="211" t="s">
        <v>405</v>
      </c>
      <c r="D38" s="206">
        <f t="shared" si="0"/>
        <v>4.9794267444090936</v>
      </c>
      <c r="E38" s="206">
        <f t="shared" si="0"/>
        <v>8.9136723969618856</v>
      </c>
      <c r="F38" s="257">
        <f t="shared" si="0"/>
        <v>21.692</v>
      </c>
    </row>
    <row r="39" spans="1:19">
      <c r="B39" s="223" t="s">
        <v>401</v>
      </c>
      <c r="C39" s="211" t="s">
        <v>407</v>
      </c>
      <c r="D39" s="206">
        <f t="shared" si="0"/>
        <v>6.5889315175788843</v>
      </c>
      <c r="E39" s="206">
        <f t="shared" si="0"/>
        <v>8.9136723969618856</v>
      </c>
      <c r="F39" s="257">
        <f t="shared" si="0"/>
        <v>21.692</v>
      </c>
    </row>
    <row r="40" spans="1:19">
      <c r="B40" s="223" t="s">
        <v>401</v>
      </c>
      <c r="C40" s="211" t="s">
        <v>409</v>
      </c>
      <c r="D40" s="206">
        <f t="shared" si="0"/>
        <v>21.195435697005799</v>
      </c>
      <c r="E40" s="206">
        <f t="shared" si="0"/>
        <v>17.935480603886987</v>
      </c>
      <c r="F40" s="257">
        <f t="shared" si="0"/>
        <v>32.537999999999997</v>
      </c>
    </row>
    <row r="41" spans="1:19" ht="13.5" thickBot="1">
      <c r="B41" s="225" t="s">
        <v>401</v>
      </c>
      <c r="C41" s="226" t="s">
        <v>410</v>
      </c>
      <c r="D41" s="258">
        <f t="shared" si="0"/>
        <v>21.195435697005799</v>
      </c>
      <c r="E41" s="258">
        <f t="shared" si="0"/>
        <v>17.935480603886987</v>
      </c>
      <c r="F41" s="259">
        <f t="shared" si="0"/>
        <v>32.537999999999997</v>
      </c>
    </row>
    <row r="42" spans="1:19">
      <c r="B42" s="115"/>
      <c r="C42" s="115"/>
      <c r="D42" s="280"/>
      <c r="E42" s="280"/>
      <c r="F42" s="280"/>
    </row>
    <row r="43" spans="1:19">
      <c r="A43" s="54" t="s">
        <v>531</v>
      </c>
      <c r="B43" s="115"/>
      <c r="C43" s="115"/>
      <c r="D43" s="280"/>
      <c r="E43" s="280"/>
      <c r="F43" s="280"/>
    </row>
    <row r="44" spans="1:19">
      <c r="B44" s="115"/>
      <c r="C44" s="115"/>
      <c r="D44" s="280"/>
      <c r="E44" s="280"/>
      <c r="F44" s="280"/>
    </row>
    <row r="45" spans="1:19">
      <c r="A45" s="2" t="s">
        <v>532</v>
      </c>
    </row>
    <row r="48" spans="1:19" ht="12.75" customHeight="1">
      <c r="A48" s="159"/>
      <c r="B48" s="159"/>
      <c r="C48" s="159"/>
      <c r="D48" s="159"/>
      <c r="E48" s="159"/>
      <c r="F48" s="159"/>
      <c r="G48" s="159"/>
      <c r="H48" s="159"/>
      <c r="I48" s="159"/>
      <c r="J48" s="159"/>
      <c r="K48" s="542" t="s">
        <v>465</v>
      </c>
      <c r="L48" s="542"/>
      <c r="M48" s="159"/>
      <c r="N48" s="542" t="s">
        <v>533</v>
      </c>
      <c r="O48" s="542"/>
      <c r="P48" s="542"/>
      <c r="Q48" s="159"/>
      <c r="R48" s="542" t="s">
        <v>534</v>
      </c>
      <c r="S48" s="542"/>
    </row>
    <row r="49" spans="1:19" ht="51">
      <c r="A49" s="158" t="s">
        <v>535</v>
      </c>
      <c r="B49" s="158" t="s">
        <v>427</v>
      </c>
      <c r="C49" s="158" t="s">
        <v>536</v>
      </c>
      <c r="D49" s="158" t="s">
        <v>426</v>
      </c>
      <c r="E49" s="158" t="s">
        <v>537</v>
      </c>
      <c r="F49" s="158" t="s">
        <v>538</v>
      </c>
      <c r="G49" s="158" t="s">
        <v>539</v>
      </c>
      <c r="H49" s="158" t="s">
        <v>540</v>
      </c>
      <c r="I49" s="158" t="s">
        <v>541</v>
      </c>
      <c r="J49" s="159"/>
      <c r="K49" s="281" t="s">
        <v>542</v>
      </c>
      <c r="L49" s="281" t="s">
        <v>543</v>
      </c>
      <c r="M49" s="159"/>
      <c r="N49" s="281" t="s">
        <v>544</v>
      </c>
      <c r="O49" s="281" t="s">
        <v>545</v>
      </c>
      <c r="P49" s="281" t="s">
        <v>546</v>
      </c>
      <c r="Q49" s="159"/>
      <c r="R49" s="159" t="s">
        <v>547</v>
      </c>
      <c r="S49" s="159" t="s">
        <v>546</v>
      </c>
    </row>
    <row r="50" spans="1:19">
      <c r="A50" s="2" t="s">
        <v>548</v>
      </c>
      <c r="B50" s="35" t="s">
        <v>549</v>
      </c>
      <c r="C50" s="35">
        <v>13.5</v>
      </c>
      <c r="D50" s="1">
        <v>900</v>
      </c>
      <c r="E50" s="165">
        <v>1.19</v>
      </c>
      <c r="F50" s="165">
        <v>1.39</v>
      </c>
      <c r="G50" s="165">
        <v>1.29</v>
      </c>
      <c r="H50" s="165">
        <v>2.8750916635684689</v>
      </c>
      <c r="I50" s="163">
        <v>0.44868134687535305</v>
      </c>
      <c r="K50" s="165">
        <v>2.7</v>
      </c>
      <c r="L50" s="162">
        <v>288034</v>
      </c>
      <c r="N50" s="1">
        <v>15.5</v>
      </c>
      <c r="O50" s="1">
        <v>30</v>
      </c>
      <c r="P50" s="162">
        <v>39722</v>
      </c>
      <c r="R50" s="34">
        <v>0.2</v>
      </c>
      <c r="S50" s="162">
        <v>24355</v>
      </c>
    </row>
    <row r="51" spans="1:19">
      <c r="A51" s="2" t="s">
        <v>548</v>
      </c>
      <c r="B51" s="35" t="s">
        <v>550</v>
      </c>
      <c r="C51" s="35">
        <v>19</v>
      </c>
      <c r="D51" s="1">
        <v>1250</v>
      </c>
      <c r="E51" s="165">
        <v>1.39</v>
      </c>
      <c r="F51" s="165">
        <v>1.91</v>
      </c>
      <c r="G51" s="165">
        <v>1.65</v>
      </c>
      <c r="H51" s="165">
        <v>3.5190881797754221</v>
      </c>
      <c r="I51" s="163">
        <v>0.46887145638541461</v>
      </c>
      <c r="K51" s="2">
        <v>0</v>
      </c>
      <c r="L51" s="2">
        <v>0</v>
      </c>
      <c r="N51" s="1">
        <v>15.5</v>
      </c>
      <c r="O51" s="1">
        <v>30</v>
      </c>
      <c r="P51" s="162">
        <v>45288</v>
      </c>
      <c r="R51" s="34">
        <v>0.2</v>
      </c>
      <c r="S51" s="162">
        <v>63750</v>
      </c>
    </row>
    <row r="52" spans="1:19">
      <c r="A52" s="2" t="s">
        <v>548</v>
      </c>
      <c r="B52" s="72">
        <v>23</v>
      </c>
      <c r="C52" s="72">
        <v>23</v>
      </c>
      <c r="D52" s="1">
        <v>1600</v>
      </c>
      <c r="E52" s="165">
        <v>1.65</v>
      </c>
      <c r="F52" s="165">
        <v>1.99</v>
      </c>
      <c r="G52" s="165">
        <v>1.8199999999999998</v>
      </c>
      <c r="H52" s="165">
        <v>3.5157444198520995</v>
      </c>
      <c r="I52" s="163">
        <v>0.5176713044677359</v>
      </c>
      <c r="K52" s="165">
        <v>2.35</v>
      </c>
      <c r="L52" s="162">
        <v>52477</v>
      </c>
      <c r="N52" s="1">
        <v>15.5</v>
      </c>
      <c r="O52" s="1">
        <v>30</v>
      </c>
      <c r="P52" s="162">
        <v>9494</v>
      </c>
      <c r="R52" s="34">
        <v>0.2</v>
      </c>
      <c r="S52" s="162">
        <v>8961</v>
      </c>
    </row>
    <row r="53" spans="1:19">
      <c r="A53" s="2" t="s">
        <v>407</v>
      </c>
      <c r="B53" s="35" t="s">
        <v>551</v>
      </c>
      <c r="C53" s="35">
        <v>14.5</v>
      </c>
      <c r="D53" s="1">
        <v>800</v>
      </c>
      <c r="E53" s="165">
        <v>2.86</v>
      </c>
      <c r="F53" s="165">
        <v>3.15</v>
      </c>
      <c r="G53" s="165">
        <v>3.0049999999999999</v>
      </c>
      <c r="H53" s="165">
        <v>5.6657181835897958</v>
      </c>
      <c r="I53" s="163">
        <v>0.53038289279966155</v>
      </c>
      <c r="K53" s="165">
        <v>2.6</v>
      </c>
      <c r="L53" s="162">
        <v>79775</v>
      </c>
      <c r="N53" s="1">
        <v>22.5</v>
      </c>
      <c r="O53" s="1">
        <v>46</v>
      </c>
      <c r="P53" s="162">
        <v>59292</v>
      </c>
      <c r="R53" s="34">
        <v>0.2</v>
      </c>
      <c r="S53" s="162">
        <v>10237</v>
      </c>
    </row>
    <row r="54" spans="1:19">
      <c r="A54" s="2" t="s">
        <v>552</v>
      </c>
      <c r="B54" s="35" t="s">
        <v>553</v>
      </c>
      <c r="C54" s="35">
        <v>15.5</v>
      </c>
      <c r="D54" s="1">
        <v>750</v>
      </c>
      <c r="E54" s="165">
        <v>2.86</v>
      </c>
      <c r="F54" s="165">
        <v>3.25</v>
      </c>
      <c r="G54" s="165">
        <v>3.0549999999999997</v>
      </c>
      <c r="H54" s="165">
        <v>6.5832465629925077</v>
      </c>
      <c r="I54" s="163">
        <v>0.46405674932085583</v>
      </c>
      <c r="K54" s="165">
        <v>2.6</v>
      </c>
      <c r="L54" s="162">
        <v>67668</v>
      </c>
      <c r="N54" s="1">
        <v>22.5</v>
      </c>
      <c r="O54" s="1">
        <v>46</v>
      </c>
      <c r="P54" s="162">
        <v>18988</v>
      </c>
      <c r="R54" s="34">
        <v>0.2</v>
      </c>
      <c r="S54" s="162">
        <v>2008</v>
      </c>
    </row>
    <row r="55" spans="1:19">
      <c r="A55" s="2" t="s">
        <v>554</v>
      </c>
      <c r="B55" s="35" t="s">
        <v>555</v>
      </c>
      <c r="C55" s="35">
        <v>10</v>
      </c>
      <c r="D55" s="1">
        <v>470</v>
      </c>
      <c r="E55" s="282">
        <v>2.79</v>
      </c>
      <c r="F55" s="165">
        <v>2.99</v>
      </c>
      <c r="G55" s="165">
        <v>2.89</v>
      </c>
      <c r="H55" s="165">
        <v>4.6624701440111345</v>
      </c>
      <c r="I55" s="163">
        <v>0.61984311121265989</v>
      </c>
      <c r="K55" s="2">
        <v>0</v>
      </c>
      <c r="L55" s="2">
        <v>0</v>
      </c>
      <c r="N55" s="1">
        <v>22.5</v>
      </c>
      <c r="O55" s="1">
        <v>46</v>
      </c>
      <c r="P55" s="162">
        <v>9494</v>
      </c>
      <c r="R55" s="34">
        <v>0.2</v>
      </c>
      <c r="S55" s="162">
        <v>5880</v>
      </c>
    </row>
    <row r="56" spans="1:19">
      <c r="A56" s="2" t="s">
        <v>556</v>
      </c>
      <c r="B56" s="72">
        <v>14</v>
      </c>
      <c r="C56" s="72">
        <v>14</v>
      </c>
      <c r="D56" s="1">
        <v>800</v>
      </c>
      <c r="E56" s="282">
        <v>2.4300000000000002</v>
      </c>
      <c r="F56" s="282">
        <v>2.89</v>
      </c>
      <c r="G56" s="165">
        <v>2.66</v>
      </c>
      <c r="H56" s="165">
        <v>5.6657181835897958</v>
      </c>
      <c r="I56" s="163">
        <v>0.46949034770286185</v>
      </c>
      <c r="K56" s="2">
        <v>0</v>
      </c>
      <c r="L56" s="2">
        <v>0</v>
      </c>
      <c r="N56" s="2">
        <v>0</v>
      </c>
      <c r="O56" s="2">
        <v>0</v>
      </c>
      <c r="P56" s="162">
        <v>0</v>
      </c>
      <c r="R56" s="1" t="s">
        <v>557</v>
      </c>
      <c r="S56" s="162">
        <v>0</v>
      </c>
    </row>
    <row r="57" spans="1:19">
      <c r="E57" s="165"/>
      <c r="F57" s="165"/>
      <c r="G57" s="165"/>
      <c r="H57" s="165"/>
      <c r="I57" s="283" t="s">
        <v>558</v>
      </c>
      <c r="K57" s="54" t="s">
        <v>558</v>
      </c>
      <c r="N57" s="54" t="s">
        <v>559</v>
      </c>
      <c r="R57" s="2" t="s">
        <v>560</v>
      </c>
    </row>
    <row r="58" spans="1:19">
      <c r="E58" s="165"/>
      <c r="F58" s="165"/>
      <c r="G58" s="165"/>
      <c r="H58" s="165"/>
      <c r="I58" s="163">
        <f>SUMPRODUCT(I50:I56,S50:S56)/SUM(S50:S56)</f>
        <v>0.48148792203567681</v>
      </c>
      <c r="K58" s="165">
        <f>SUMPRODUCT(K50:K56,L50:L56)/SUM(L50:L56)</f>
        <v>2.632142681482271</v>
      </c>
      <c r="N58" s="165">
        <v>3.25</v>
      </c>
      <c r="R58" s="34">
        <v>0.2</v>
      </c>
    </row>
    <row r="59" spans="1:19">
      <c r="E59" s="165"/>
      <c r="F59" s="165"/>
      <c r="G59" s="165"/>
      <c r="H59" s="165"/>
      <c r="I59" s="165"/>
      <c r="K59" s="2" t="s">
        <v>561</v>
      </c>
      <c r="N59" s="54" t="s">
        <v>562</v>
      </c>
    </row>
    <row r="60" spans="1:19">
      <c r="A60" s="2" t="s">
        <v>563</v>
      </c>
      <c r="E60" s="165"/>
      <c r="F60" s="165"/>
      <c r="G60" s="165"/>
      <c r="H60" s="165"/>
      <c r="I60" s="165"/>
      <c r="K60" s="165">
        <f>K58*A61</f>
        <v>2.3555772136587718</v>
      </c>
      <c r="N60" s="165">
        <v>4.8928571428571432</v>
      </c>
    </row>
    <row r="61" spans="1:19">
      <c r="A61" s="1">
        <v>0.89492763072108483</v>
      </c>
      <c r="E61" s="165"/>
      <c r="F61" s="165"/>
      <c r="G61" s="165"/>
      <c r="H61" s="165"/>
      <c r="I61" s="165"/>
    </row>
    <row r="62" spans="1:19">
      <c r="E62" s="165"/>
      <c r="F62" s="165"/>
      <c r="G62" s="165"/>
      <c r="H62" s="165"/>
      <c r="I62" s="165"/>
    </row>
    <row r="63" spans="1:19">
      <c r="A63" s="54" t="s">
        <v>564</v>
      </c>
    </row>
    <row r="64" spans="1:19">
      <c r="A64" s="284">
        <f>I58</f>
        <v>0.48148792203567681</v>
      </c>
      <c r="B64" s="2" t="s">
        <v>565</v>
      </c>
    </row>
    <row r="65" spans="1:11">
      <c r="A65" s="165">
        <f>K60</f>
        <v>2.3555772136587718</v>
      </c>
      <c r="B65" s="2" t="s">
        <v>566</v>
      </c>
    </row>
    <row r="66" spans="1:11">
      <c r="A66" s="34">
        <v>2</v>
      </c>
      <c r="B66" s="2" t="s">
        <v>567</v>
      </c>
    </row>
    <row r="67" spans="1:11">
      <c r="A67" s="34">
        <v>0.2</v>
      </c>
      <c r="B67" s="2" t="s">
        <v>568</v>
      </c>
      <c r="G67" s="282"/>
    </row>
    <row r="68" spans="1:11">
      <c r="A68" s="284">
        <v>1</v>
      </c>
      <c r="B68" s="2" t="s">
        <v>569</v>
      </c>
    </row>
    <row r="69" spans="1:11">
      <c r="B69" s="115"/>
      <c r="C69" s="115"/>
      <c r="D69" s="280"/>
      <c r="E69" s="280"/>
      <c r="F69" s="280"/>
    </row>
    <row r="71" spans="1:11" ht="13.5" thickBot="1">
      <c r="A71" s="54" t="s">
        <v>570</v>
      </c>
      <c r="B71" s="2"/>
      <c r="C71" s="2"/>
      <c r="D71" s="285"/>
      <c r="E71" s="543" t="s">
        <v>709</v>
      </c>
      <c r="F71" s="543"/>
      <c r="G71" s="543"/>
      <c r="H71" s="543"/>
      <c r="I71" s="543"/>
      <c r="J71" s="543"/>
    </row>
    <row r="72" spans="1:11" ht="38.25">
      <c r="A72" s="219" t="s">
        <v>492</v>
      </c>
      <c r="B72" s="220" t="s">
        <v>398</v>
      </c>
      <c r="C72" s="220" t="s">
        <v>419</v>
      </c>
      <c r="D72" s="220" t="s">
        <v>470</v>
      </c>
      <c r="E72" s="286" t="s">
        <v>400</v>
      </c>
      <c r="F72" s="287" t="s">
        <v>571</v>
      </c>
      <c r="G72" s="288" t="s">
        <v>465</v>
      </c>
      <c r="H72" s="288" t="s">
        <v>572</v>
      </c>
      <c r="I72" s="288" t="s">
        <v>573</v>
      </c>
      <c r="J72" s="288" t="s">
        <v>574</v>
      </c>
      <c r="K72" s="289" t="s">
        <v>575</v>
      </c>
    </row>
    <row r="73" spans="1:11">
      <c r="A73" s="238" t="s">
        <v>404</v>
      </c>
      <c r="B73" s="210" t="s">
        <v>405</v>
      </c>
      <c r="C73" s="211" t="s">
        <v>403</v>
      </c>
      <c r="D73" s="211" t="str">
        <f>CONCATENATE(A73,B73,C73)</f>
        <v>Compact FluorescentGeneral Purpose and Dimmable250 to 664 lumens</v>
      </c>
      <c r="E73" s="290">
        <f>D33</f>
        <v>2.1592275874141325</v>
      </c>
      <c r="F73" s="290">
        <f>E73*'CFL and LED Cost'!$A$64</f>
        <v>1.0396420042661383</v>
      </c>
      <c r="G73" s="290">
        <f>F73+'CFL and LED Cost'!$A$65</f>
        <v>3.3952192179249101</v>
      </c>
      <c r="H73" s="290">
        <f>G73</f>
        <v>3.3952192179249101</v>
      </c>
      <c r="I73" s="290">
        <f>F73+'CFL and LED Cost'!$A$66</f>
        <v>3.0396420042661383</v>
      </c>
      <c r="J73" s="290">
        <f>I73</f>
        <v>3.0396420042661383</v>
      </c>
      <c r="K73" s="291">
        <f>F73+'CFL and LED Cost'!$A$67</f>
        <v>1.2396420042661382</v>
      </c>
    </row>
    <row r="74" spans="1:11">
      <c r="A74" s="238" t="s">
        <v>404</v>
      </c>
      <c r="B74" s="210" t="s">
        <v>405</v>
      </c>
      <c r="C74" s="213" t="s">
        <v>406</v>
      </c>
      <c r="D74" s="211" t="str">
        <f t="shared" ref="D74:D102" si="1">CONCATENATE(A74,B74,C74)</f>
        <v>Compact FluorescentGeneral Purpose and Dimmable665 to 1439 lumens</v>
      </c>
      <c r="E74" s="290">
        <f>E33</f>
        <v>1.4522786346527323</v>
      </c>
      <c r="F74" s="290">
        <f>E74*'CFL and LED Cost'!$A$64</f>
        <v>0.69925462201575395</v>
      </c>
      <c r="G74" s="290">
        <f>F74+'CFL and LED Cost'!$A$65</f>
        <v>3.0548318356745257</v>
      </c>
      <c r="H74" s="290">
        <f t="shared" ref="H74:H102" si="2">G74</f>
        <v>3.0548318356745257</v>
      </c>
      <c r="I74" s="290">
        <f>F74+'CFL and LED Cost'!$A$66</f>
        <v>2.6992546220157538</v>
      </c>
      <c r="J74" s="290">
        <f t="shared" ref="J74:J102" si="3">I74</f>
        <v>2.6992546220157538</v>
      </c>
      <c r="K74" s="291">
        <f>F74+'CFL and LED Cost'!$A$67</f>
        <v>0.89925462201575401</v>
      </c>
    </row>
    <row r="75" spans="1:11">
      <c r="A75" s="238" t="s">
        <v>404</v>
      </c>
      <c r="B75" s="210" t="s">
        <v>405</v>
      </c>
      <c r="C75" s="213" t="s">
        <v>408</v>
      </c>
      <c r="D75" s="211" t="str">
        <f t="shared" si="1"/>
        <v>Compact FluorescentGeneral Purpose and Dimmable1440 to 2600 lumens</v>
      </c>
      <c r="E75" s="290">
        <f>F33</f>
        <v>1.8911113019525783</v>
      </c>
      <c r="F75" s="290">
        <f>E75*'CFL and LED Cost'!$A$64</f>
        <v>0.9105472511153303</v>
      </c>
      <c r="G75" s="290">
        <f>F75+'CFL and LED Cost'!$A$65</f>
        <v>3.2661244647741023</v>
      </c>
      <c r="H75" s="290">
        <f t="shared" si="2"/>
        <v>3.2661244647741023</v>
      </c>
      <c r="I75" s="290">
        <f>F75+'CFL and LED Cost'!$A$66</f>
        <v>2.9105472511153305</v>
      </c>
      <c r="J75" s="290">
        <f t="shared" si="3"/>
        <v>2.9105472511153305</v>
      </c>
      <c r="K75" s="291">
        <f>F75+'CFL and LED Cost'!$A$67</f>
        <v>1.1105472511153303</v>
      </c>
    </row>
    <row r="76" spans="1:11">
      <c r="A76" s="238" t="s">
        <v>404</v>
      </c>
      <c r="B76" s="210" t="s">
        <v>402</v>
      </c>
      <c r="C76" s="211" t="s">
        <v>403</v>
      </c>
      <c r="D76" s="211" t="str">
        <f t="shared" si="1"/>
        <v>Compact FluorescentDecorative and Mini-Base250 to 664 lumens</v>
      </c>
      <c r="E76" s="290">
        <f>D32</f>
        <v>3.4098621432623033</v>
      </c>
      <c r="F76" s="290">
        <f>E76*'CFL and LED Cost'!$A$64</f>
        <v>1.6418074377874856</v>
      </c>
      <c r="G76" s="290">
        <f>F76+'CFL and LED Cost'!$A$65</f>
        <v>3.9973846514462572</v>
      </c>
      <c r="H76" s="290">
        <f t="shared" si="2"/>
        <v>3.9973846514462572</v>
      </c>
      <c r="I76" s="290">
        <f>F76+'CFL and LED Cost'!$A$66</f>
        <v>3.6418074377874854</v>
      </c>
      <c r="J76" s="290">
        <f t="shared" si="3"/>
        <v>3.6418074377874854</v>
      </c>
      <c r="K76" s="291">
        <f>F76+'CFL and LED Cost'!$A$67</f>
        <v>1.8418074377874856</v>
      </c>
    </row>
    <row r="77" spans="1:11">
      <c r="A77" s="238" t="s">
        <v>404</v>
      </c>
      <c r="B77" s="210" t="s">
        <v>402</v>
      </c>
      <c r="C77" s="213" t="s">
        <v>406</v>
      </c>
      <c r="D77" s="211" t="str">
        <f t="shared" si="1"/>
        <v>Compact FluorescentDecorative and Mini-Base665 to 1439 lumens</v>
      </c>
      <c r="E77" s="290">
        <f>E32</f>
        <v>2.3872848720341966</v>
      </c>
      <c r="F77" s="290">
        <f>E77*'CFL and LED Cost'!$A$64</f>
        <v>1.1494488323429519</v>
      </c>
      <c r="G77" s="290">
        <f>F77+'CFL and LED Cost'!$A$65</f>
        <v>3.5050260460017237</v>
      </c>
      <c r="H77" s="290">
        <f t="shared" si="2"/>
        <v>3.5050260460017237</v>
      </c>
      <c r="I77" s="290">
        <f>F77+'CFL and LED Cost'!$A$66</f>
        <v>3.1494488323429519</v>
      </c>
      <c r="J77" s="290">
        <f t="shared" si="3"/>
        <v>3.1494488323429519</v>
      </c>
      <c r="K77" s="291">
        <f>F77+'CFL and LED Cost'!$A$67</f>
        <v>1.3494488323429519</v>
      </c>
    </row>
    <row r="78" spans="1:11">
      <c r="A78" s="238" t="s">
        <v>404</v>
      </c>
      <c r="B78" s="210" t="s">
        <v>402</v>
      </c>
      <c r="C78" s="213" t="s">
        <v>408</v>
      </c>
      <c r="D78" s="211" t="str">
        <f t="shared" si="1"/>
        <v>Compact FluorescentDecorative and Mini-Base1440 to 2600 lumens</v>
      </c>
      <c r="E78" s="290">
        <f>F32</f>
        <v>3.4098621432623033</v>
      </c>
      <c r="F78" s="290">
        <f>E78*'CFL and LED Cost'!$A$64</f>
        <v>1.6418074377874856</v>
      </c>
      <c r="G78" s="290">
        <f>F78+'CFL and LED Cost'!$A$65</f>
        <v>3.9973846514462572</v>
      </c>
      <c r="H78" s="290">
        <f t="shared" si="2"/>
        <v>3.9973846514462572</v>
      </c>
      <c r="I78" s="290">
        <f>F78+'CFL and LED Cost'!$A$66</f>
        <v>3.6418074377874854</v>
      </c>
      <c r="J78" s="290">
        <f t="shared" si="3"/>
        <v>3.6418074377874854</v>
      </c>
      <c r="K78" s="291">
        <f>F78+'CFL and LED Cost'!$A$67</f>
        <v>1.8418074377874856</v>
      </c>
    </row>
    <row r="79" spans="1:11">
      <c r="A79" s="238" t="s">
        <v>404</v>
      </c>
      <c r="B79" s="210" t="s">
        <v>407</v>
      </c>
      <c r="C79" s="211" t="s">
        <v>403</v>
      </c>
      <c r="D79" s="211" t="str">
        <f t="shared" si="1"/>
        <v>Compact FluorescentGlobe250 to 664 lumens</v>
      </c>
      <c r="E79" s="290">
        <f>D34</f>
        <v>1.6906705607519905</v>
      </c>
      <c r="F79" s="290">
        <f>E79*'CFL and LED Cost'!$A$64</f>
        <v>0.81403745514336845</v>
      </c>
      <c r="G79" s="290">
        <f>F79+'CFL and LED Cost'!$A$65</f>
        <v>3.16961466880214</v>
      </c>
      <c r="H79" s="290">
        <f t="shared" si="2"/>
        <v>3.16961466880214</v>
      </c>
      <c r="I79" s="290">
        <f>F79+'CFL and LED Cost'!$A$66</f>
        <v>2.8140374551433682</v>
      </c>
      <c r="J79" s="290">
        <f t="shared" si="3"/>
        <v>2.8140374551433682</v>
      </c>
      <c r="K79" s="291">
        <f>F79+'CFL and LED Cost'!$A$67</f>
        <v>1.0140374551433684</v>
      </c>
    </row>
    <row r="80" spans="1:11">
      <c r="A80" s="238" t="s">
        <v>404</v>
      </c>
      <c r="B80" s="210" t="s">
        <v>407</v>
      </c>
      <c r="C80" s="213" t="s">
        <v>406</v>
      </c>
      <c r="D80" s="211" t="str">
        <f t="shared" si="1"/>
        <v>Compact FluorescentGlobe665 to 1439 lumens</v>
      </c>
      <c r="E80" s="290">
        <f>E34</f>
        <v>5.0118009549379394</v>
      </c>
      <c r="F80" s="290">
        <f>E80*'CFL and LED Cost'!$A$64</f>
        <v>2.4131216274494891</v>
      </c>
      <c r="G80" s="290">
        <f>F80+'CFL and LED Cost'!$A$65</f>
        <v>4.7686988411082609</v>
      </c>
      <c r="H80" s="290">
        <f t="shared" si="2"/>
        <v>4.7686988411082609</v>
      </c>
      <c r="I80" s="290">
        <f>F80+'CFL and LED Cost'!$A$66</f>
        <v>4.4131216274494891</v>
      </c>
      <c r="J80" s="290">
        <f t="shared" si="3"/>
        <v>4.4131216274494891</v>
      </c>
      <c r="K80" s="291">
        <f>F80+'CFL and LED Cost'!$A$67</f>
        <v>2.6131216274494893</v>
      </c>
    </row>
    <row r="81" spans="1:11">
      <c r="A81" s="238" t="s">
        <v>404</v>
      </c>
      <c r="B81" s="210" t="s">
        <v>407</v>
      </c>
      <c r="C81" s="213" t="s">
        <v>408</v>
      </c>
      <c r="D81" s="211" t="str">
        <f t="shared" si="1"/>
        <v>Compact FluorescentGlobe1440 to 2600 lumens</v>
      </c>
      <c r="E81" s="290">
        <f>F34</f>
        <v>5.0118009549379394</v>
      </c>
      <c r="F81" s="290">
        <f>E81*'CFL and LED Cost'!$A$64</f>
        <v>2.4131216274494891</v>
      </c>
      <c r="G81" s="290">
        <f>F81+'CFL and LED Cost'!$A$65</f>
        <v>4.7686988411082609</v>
      </c>
      <c r="H81" s="290">
        <f t="shared" si="2"/>
        <v>4.7686988411082609</v>
      </c>
      <c r="I81" s="290">
        <f>F81+'CFL and LED Cost'!$A$66</f>
        <v>4.4131216274494891</v>
      </c>
      <c r="J81" s="290">
        <f t="shared" si="3"/>
        <v>4.4131216274494891</v>
      </c>
      <c r="K81" s="291">
        <f>F81+'CFL and LED Cost'!$A$67</f>
        <v>2.6131216274494893</v>
      </c>
    </row>
    <row r="82" spans="1:11">
      <c r="A82" s="238" t="s">
        <v>404</v>
      </c>
      <c r="B82" s="210" t="s">
        <v>409</v>
      </c>
      <c r="C82" s="211" t="s">
        <v>403</v>
      </c>
      <c r="D82" s="211" t="str">
        <f t="shared" si="1"/>
        <v>Compact FluorescentReflectors and Outdoor250 to 664 lumens</v>
      </c>
      <c r="E82" s="290">
        <f>D35</f>
        <v>4.6039209937539276</v>
      </c>
      <c r="F82" s="290">
        <f>E82*'CFL and LED Cost'!$A$64</f>
        <v>2.2167323524990068</v>
      </c>
      <c r="G82" s="290">
        <f>F82+'CFL and LED Cost'!$A$65</f>
        <v>4.5723095661577791</v>
      </c>
      <c r="H82" s="290">
        <f t="shared" si="2"/>
        <v>4.5723095661577791</v>
      </c>
      <c r="I82" s="290">
        <f>F82+'CFL and LED Cost'!$A$66</f>
        <v>4.2167323524990064</v>
      </c>
      <c r="J82" s="290">
        <f t="shared" si="3"/>
        <v>4.2167323524990064</v>
      </c>
      <c r="K82" s="291">
        <f>F82+'CFL and LED Cost'!$A$67</f>
        <v>2.416732352499007</v>
      </c>
    </row>
    <row r="83" spans="1:11">
      <c r="A83" s="238" t="s">
        <v>404</v>
      </c>
      <c r="B83" s="210" t="s">
        <v>409</v>
      </c>
      <c r="C83" s="213" t="s">
        <v>406</v>
      </c>
      <c r="D83" s="211" t="str">
        <f t="shared" si="1"/>
        <v>Compact FluorescentReflectors and Outdoor665 to 1439 lumens</v>
      </c>
      <c r="E83" s="290">
        <f>E35</f>
        <v>3.1114505128260177</v>
      </c>
      <c r="F83" s="290">
        <f>E83*'CFL and LED Cost'!$A$64</f>
        <v>1.4981258419374401</v>
      </c>
      <c r="G83" s="290">
        <f>F83+'CFL and LED Cost'!$A$65</f>
        <v>3.853703055596212</v>
      </c>
      <c r="H83" s="290">
        <f t="shared" si="2"/>
        <v>3.853703055596212</v>
      </c>
      <c r="I83" s="290">
        <f>F83+'CFL and LED Cost'!$A$66</f>
        <v>3.4981258419374401</v>
      </c>
      <c r="J83" s="290">
        <f t="shared" si="3"/>
        <v>3.4981258419374401</v>
      </c>
      <c r="K83" s="291">
        <f>F83+'CFL and LED Cost'!$A$67</f>
        <v>1.6981258419374401</v>
      </c>
    </row>
    <row r="84" spans="1:11">
      <c r="A84" s="238" t="s">
        <v>404</v>
      </c>
      <c r="B84" s="210" t="s">
        <v>409</v>
      </c>
      <c r="C84" s="213" t="s">
        <v>408</v>
      </c>
      <c r="D84" s="211" t="str">
        <f t="shared" si="1"/>
        <v>Compact FluorescentReflectors and Outdoor1440 to 2600 lumens</v>
      </c>
      <c r="E84" s="290">
        <f>F35</f>
        <v>9.8501399999999997</v>
      </c>
      <c r="F84" s="290">
        <f>E84*'CFL and LED Cost'!$A$64</f>
        <v>4.7427234403605016</v>
      </c>
      <c r="G84" s="290">
        <f>F84+'CFL and LED Cost'!$A$65</f>
        <v>7.0983006540192735</v>
      </c>
      <c r="H84" s="290">
        <f t="shared" si="2"/>
        <v>7.0983006540192735</v>
      </c>
      <c r="I84" s="290">
        <f>F84+'CFL and LED Cost'!$A$66</f>
        <v>6.7427234403605016</v>
      </c>
      <c r="J84" s="290">
        <f t="shared" si="3"/>
        <v>6.7427234403605016</v>
      </c>
      <c r="K84" s="291">
        <f>F84+'CFL and LED Cost'!$A$67</f>
        <v>4.9427234403605018</v>
      </c>
    </row>
    <row r="85" spans="1:11">
      <c r="A85" s="238" t="s">
        <v>404</v>
      </c>
      <c r="B85" s="210" t="s">
        <v>410</v>
      </c>
      <c r="C85" s="211" t="s">
        <v>403</v>
      </c>
      <c r="D85" s="211" t="str">
        <f t="shared" si="1"/>
        <v>Compact FluorescentThree-Way250 to 664 lumens</v>
      </c>
      <c r="E85" s="290">
        <f>D36</f>
        <v>12.376032587859543</v>
      </c>
      <c r="F85" s="290">
        <f>E85*'CFL and LED Cost'!$A$64</f>
        <v>5.9589102137743106</v>
      </c>
      <c r="G85" s="290">
        <f>F85+'CFL and LED Cost'!$A$65</f>
        <v>8.3144874274330824</v>
      </c>
      <c r="H85" s="290">
        <f t="shared" si="2"/>
        <v>8.3144874274330824</v>
      </c>
      <c r="I85" s="290">
        <f>F85+'CFL and LED Cost'!$A$66</f>
        <v>7.9589102137743106</v>
      </c>
      <c r="J85" s="290">
        <f t="shared" si="3"/>
        <v>7.9589102137743106</v>
      </c>
      <c r="K85" s="291">
        <f>F85+'CFL and LED Cost'!$A$67</f>
        <v>6.1589102137743108</v>
      </c>
    </row>
    <row r="86" spans="1:11">
      <c r="A86" s="238" t="s">
        <v>404</v>
      </c>
      <c r="B86" s="210" t="s">
        <v>410</v>
      </c>
      <c r="C86" s="213" t="s">
        <v>406</v>
      </c>
      <c r="D86" s="211" t="str">
        <f t="shared" si="1"/>
        <v>Compact FluorescentThree-Way665 to 1439 lumens</v>
      </c>
      <c r="E86" s="290">
        <f>E36</f>
        <v>10.627342351184137</v>
      </c>
      <c r="F86" s="290">
        <f>E86*'CFL and LED Cost'!$A$64</f>
        <v>5.1169369854333935</v>
      </c>
      <c r="G86" s="290">
        <f>F86+'CFL and LED Cost'!$A$65</f>
        <v>7.4725141990921653</v>
      </c>
      <c r="H86" s="290">
        <f t="shared" si="2"/>
        <v>7.4725141990921653</v>
      </c>
      <c r="I86" s="290">
        <f>F86+'CFL and LED Cost'!$A$66</f>
        <v>7.1169369854333935</v>
      </c>
      <c r="J86" s="290">
        <f t="shared" si="3"/>
        <v>7.1169369854333935</v>
      </c>
      <c r="K86" s="291">
        <f>F86+'CFL and LED Cost'!$A$67</f>
        <v>5.3169369854333937</v>
      </c>
    </row>
    <row r="87" spans="1:11">
      <c r="A87" s="238" t="s">
        <v>404</v>
      </c>
      <c r="B87" s="210" t="s">
        <v>410</v>
      </c>
      <c r="C87" s="213" t="s">
        <v>408</v>
      </c>
      <c r="D87" s="211" t="str">
        <f t="shared" si="1"/>
        <v>Compact FluorescentThree-Way1440 to 2600 lumens</v>
      </c>
      <c r="E87" s="290">
        <f>F36</f>
        <v>12.376032587859543</v>
      </c>
      <c r="F87" s="290">
        <f>E87*'CFL and LED Cost'!$A$64</f>
        <v>5.9589102137743106</v>
      </c>
      <c r="G87" s="290">
        <f>F87+'CFL and LED Cost'!$A$65</f>
        <v>8.3144874274330824</v>
      </c>
      <c r="H87" s="290">
        <f t="shared" si="2"/>
        <v>8.3144874274330824</v>
      </c>
      <c r="I87" s="290">
        <f>F87+'CFL and LED Cost'!$A$66</f>
        <v>7.9589102137743106</v>
      </c>
      <c r="J87" s="290">
        <f t="shared" si="3"/>
        <v>7.9589102137743106</v>
      </c>
      <c r="K87" s="291">
        <f>F87+'CFL and LED Cost'!$A$67</f>
        <v>6.1589102137743108</v>
      </c>
    </row>
    <row r="88" spans="1:11">
      <c r="A88" s="238" t="s">
        <v>401</v>
      </c>
      <c r="B88" s="210" t="s">
        <v>405</v>
      </c>
      <c r="C88" s="211" t="s">
        <v>403</v>
      </c>
      <c r="D88" s="211" t="str">
        <f t="shared" si="1"/>
        <v>LEDGeneral Purpose and Dimmable250 to 664 lumens</v>
      </c>
      <c r="E88" s="290">
        <f>D38</f>
        <v>4.9794267444090936</v>
      </c>
      <c r="F88" s="290">
        <f>E88*'CFL and LED Cost'!$A$68</f>
        <v>4.9794267444090936</v>
      </c>
      <c r="G88" s="290">
        <f>F88+'CFL and LED Cost'!$A$65</f>
        <v>7.3350039580678654</v>
      </c>
      <c r="H88" s="290">
        <f t="shared" si="2"/>
        <v>7.3350039580678654</v>
      </c>
      <c r="I88" s="290">
        <f>F88+'CFL and LED Cost'!$A$66</f>
        <v>6.9794267444090936</v>
      </c>
      <c r="J88" s="290">
        <f t="shared" si="3"/>
        <v>6.9794267444090936</v>
      </c>
      <c r="K88" s="291">
        <f>F88+'CFL and LED Cost'!$A$67</f>
        <v>5.1794267444090938</v>
      </c>
    </row>
    <row r="89" spans="1:11">
      <c r="A89" s="238" t="s">
        <v>401</v>
      </c>
      <c r="B89" s="210" t="s">
        <v>405</v>
      </c>
      <c r="C89" s="213" t="s">
        <v>406</v>
      </c>
      <c r="D89" s="211" t="str">
        <f t="shared" si="1"/>
        <v>LEDGeneral Purpose and Dimmable665 to 1439 lumens</v>
      </c>
      <c r="E89" s="290">
        <f>E38</f>
        <v>8.9136723969618856</v>
      </c>
      <c r="F89" s="290">
        <f>E89*'CFL and LED Cost'!$A$68</f>
        <v>8.9136723969618856</v>
      </c>
      <c r="G89" s="290">
        <f>F89+'CFL and LED Cost'!$A$65</f>
        <v>11.269249610620658</v>
      </c>
      <c r="H89" s="290">
        <f t="shared" si="2"/>
        <v>11.269249610620658</v>
      </c>
      <c r="I89" s="290">
        <f>F89+'CFL and LED Cost'!$A$66</f>
        <v>10.913672396961886</v>
      </c>
      <c r="J89" s="290">
        <f t="shared" si="3"/>
        <v>10.913672396961886</v>
      </c>
      <c r="K89" s="291">
        <f>F89+'CFL and LED Cost'!$A$67</f>
        <v>9.1136723969618849</v>
      </c>
    </row>
    <row r="90" spans="1:11">
      <c r="A90" s="238" t="s">
        <v>401</v>
      </c>
      <c r="B90" s="210" t="s">
        <v>405</v>
      </c>
      <c r="C90" s="213" t="s">
        <v>408</v>
      </c>
      <c r="D90" s="211" t="str">
        <f t="shared" si="1"/>
        <v>LEDGeneral Purpose and Dimmable1440 to 2600 lumens</v>
      </c>
      <c r="E90" s="290">
        <f>F38</f>
        <v>21.692</v>
      </c>
      <c r="F90" s="290">
        <f>E90*'CFL and LED Cost'!$A$68</f>
        <v>21.692</v>
      </c>
      <c r="G90" s="290">
        <f>F90+'CFL and LED Cost'!$A$65</f>
        <v>24.047577213658773</v>
      </c>
      <c r="H90" s="290">
        <f t="shared" si="2"/>
        <v>24.047577213658773</v>
      </c>
      <c r="I90" s="290">
        <f>F90+'CFL and LED Cost'!$A$66</f>
        <v>23.692</v>
      </c>
      <c r="J90" s="290">
        <f t="shared" si="3"/>
        <v>23.692</v>
      </c>
      <c r="K90" s="291">
        <f>F90+'CFL and LED Cost'!$A$67</f>
        <v>21.891999999999999</v>
      </c>
    </row>
    <row r="91" spans="1:11">
      <c r="A91" s="238" t="s">
        <v>401</v>
      </c>
      <c r="B91" s="210" t="s">
        <v>402</v>
      </c>
      <c r="C91" s="211" t="s">
        <v>403</v>
      </c>
      <c r="D91" s="211" t="str">
        <f t="shared" si="1"/>
        <v>LEDDecorative and Mini-Base250 to 664 lumens</v>
      </c>
      <c r="E91" s="290">
        <f>D37</f>
        <v>9.9588534888181872</v>
      </c>
      <c r="F91" s="290">
        <f>E91*'CFL and LED Cost'!$A$68</f>
        <v>9.9588534888181872</v>
      </c>
      <c r="G91" s="290">
        <f>F91+'CFL and LED Cost'!$A$65</f>
        <v>12.314430702476958</v>
      </c>
      <c r="H91" s="290">
        <f t="shared" si="2"/>
        <v>12.314430702476958</v>
      </c>
      <c r="I91" s="290">
        <f>F91+'CFL and LED Cost'!$A$66</f>
        <v>11.958853488818187</v>
      </c>
      <c r="J91" s="290">
        <f t="shared" si="3"/>
        <v>11.958853488818187</v>
      </c>
      <c r="K91" s="291">
        <f>F91+'CFL and LED Cost'!$A$67</f>
        <v>10.158853488818187</v>
      </c>
    </row>
    <row r="92" spans="1:11">
      <c r="A92" s="238" t="s">
        <v>401</v>
      </c>
      <c r="B92" s="210" t="s">
        <v>402</v>
      </c>
      <c r="C92" s="213" t="s">
        <v>406</v>
      </c>
      <c r="D92" s="211" t="str">
        <f t="shared" si="1"/>
        <v>LEDDecorative and Mini-Base665 to 1439 lumens</v>
      </c>
      <c r="E92" s="290">
        <f>E37</f>
        <v>17.827344793923771</v>
      </c>
      <c r="F92" s="290">
        <f>E92*'CFL and LED Cost'!$A$68</f>
        <v>17.827344793923771</v>
      </c>
      <c r="G92" s="290">
        <f>F92+'CFL and LED Cost'!$A$65</f>
        <v>20.182922007582544</v>
      </c>
      <c r="H92" s="290">
        <f t="shared" si="2"/>
        <v>20.182922007582544</v>
      </c>
      <c r="I92" s="290">
        <f>F92+'CFL and LED Cost'!$A$66</f>
        <v>19.827344793923771</v>
      </c>
      <c r="J92" s="290">
        <f t="shared" si="3"/>
        <v>19.827344793923771</v>
      </c>
      <c r="K92" s="291">
        <f>F92+'CFL and LED Cost'!$A$67</f>
        <v>18.027344793923771</v>
      </c>
    </row>
    <row r="93" spans="1:11">
      <c r="A93" s="238" t="s">
        <v>401</v>
      </c>
      <c r="B93" s="210" t="s">
        <v>402</v>
      </c>
      <c r="C93" s="213" t="s">
        <v>408</v>
      </c>
      <c r="D93" s="211" t="str">
        <f t="shared" si="1"/>
        <v>LEDDecorative and Mini-Base1440 to 2600 lumens</v>
      </c>
      <c r="E93" s="290">
        <f>F37</f>
        <v>43.384</v>
      </c>
      <c r="F93" s="290">
        <f>E93*'CFL and LED Cost'!$A$68</f>
        <v>43.384</v>
      </c>
      <c r="G93" s="290">
        <f>F93+'CFL and LED Cost'!$A$65</f>
        <v>45.739577213658769</v>
      </c>
      <c r="H93" s="290">
        <f t="shared" si="2"/>
        <v>45.739577213658769</v>
      </c>
      <c r="I93" s="290">
        <f>F93+'CFL and LED Cost'!$A$66</f>
        <v>45.384</v>
      </c>
      <c r="J93" s="290">
        <f t="shared" si="3"/>
        <v>45.384</v>
      </c>
      <c r="K93" s="291">
        <f>F93+'CFL and LED Cost'!$A$67</f>
        <v>43.584000000000003</v>
      </c>
    </row>
    <row r="94" spans="1:11">
      <c r="A94" s="238" t="s">
        <v>401</v>
      </c>
      <c r="B94" s="210" t="s">
        <v>407</v>
      </c>
      <c r="C94" s="211" t="s">
        <v>403</v>
      </c>
      <c r="D94" s="211" t="str">
        <f t="shared" si="1"/>
        <v>LEDGlobe250 to 664 lumens</v>
      </c>
      <c r="E94" s="290">
        <f>D39</f>
        <v>6.5889315175788843</v>
      </c>
      <c r="F94" s="290">
        <f>E94*'CFL and LED Cost'!$A$68</f>
        <v>6.5889315175788843</v>
      </c>
      <c r="G94" s="290">
        <f>F94+'CFL and LED Cost'!$A$65</f>
        <v>8.9445087312376561</v>
      </c>
      <c r="H94" s="290">
        <f t="shared" si="2"/>
        <v>8.9445087312376561</v>
      </c>
      <c r="I94" s="290">
        <f>F94+'CFL and LED Cost'!$A$66</f>
        <v>8.5889315175788852</v>
      </c>
      <c r="J94" s="290">
        <f t="shared" si="3"/>
        <v>8.5889315175788852</v>
      </c>
      <c r="K94" s="291">
        <f>F94+'CFL and LED Cost'!$A$67</f>
        <v>6.7889315175788845</v>
      </c>
    </row>
    <row r="95" spans="1:11">
      <c r="A95" s="238" t="s">
        <v>401</v>
      </c>
      <c r="B95" s="210" t="s">
        <v>407</v>
      </c>
      <c r="C95" s="213" t="s">
        <v>406</v>
      </c>
      <c r="D95" s="211" t="str">
        <f t="shared" si="1"/>
        <v>LEDGlobe665 to 1439 lumens</v>
      </c>
      <c r="E95" s="290">
        <f>E39</f>
        <v>8.9136723969618856</v>
      </c>
      <c r="F95" s="290">
        <f>E95*'CFL and LED Cost'!$A$68</f>
        <v>8.9136723969618856</v>
      </c>
      <c r="G95" s="290">
        <f>F95+'CFL and LED Cost'!$A$65</f>
        <v>11.269249610620658</v>
      </c>
      <c r="H95" s="290">
        <f t="shared" si="2"/>
        <v>11.269249610620658</v>
      </c>
      <c r="I95" s="290">
        <f>F95+'CFL and LED Cost'!$A$66</f>
        <v>10.913672396961886</v>
      </c>
      <c r="J95" s="290">
        <f t="shared" si="3"/>
        <v>10.913672396961886</v>
      </c>
      <c r="K95" s="291">
        <f>F95+'CFL and LED Cost'!$A$67</f>
        <v>9.1136723969618849</v>
      </c>
    </row>
    <row r="96" spans="1:11">
      <c r="A96" s="238" t="s">
        <v>401</v>
      </c>
      <c r="B96" s="210" t="s">
        <v>407</v>
      </c>
      <c r="C96" s="213" t="s">
        <v>408</v>
      </c>
      <c r="D96" s="211" t="str">
        <f t="shared" si="1"/>
        <v>LEDGlobe1440 to 2600 lumens</v>
      </c>
      <c r="E96" s="290">
        <f>F39</f>
        <v>21.692</v>
      </c>
      <c r="F96" s="290">
        <f>E96*'CFL and LED Cost'!$A$68</f>
        <v>21.692</v>
      </c>
      <c r="G96" s="290">
        <f>F96+'CFL and LED Cost'!$A$65</f>
        <v>24.047577213658773</v>
      </c>
      <c r="H96" s="290">
        <f t="shared" si="2"/>
        <v>24.047577213658773</v>
      </c>
      <c r="I96" s="290">
        <f>F96+'CFL and LED Cost'!$A$66</f>
        <v>23.692</v>
      </c>
      <c r="J96" s="290">
        <f t="shared" si="3"/>
        <v>23.692</v>
      </c>
      <c r="K96" s="291">
        <f>F96+'CFL and LED Cost'!$A$67</f>
        <v>21.891999999999999</v>
      </c>
    </row>
    <row r="97" spans="1:11">
      <c r="A97" s="238" t="s">
        <v>401</v>
      </c>
      <c r="B97" s="210" t="s">
        <v>409</v>
      </c>
      <c r="C97" s="211" t="s">
        <v>403</v>
      </c>
      <c r="D97" s="211" t="str">
        <f t="shared" si="1"/>
        <v>LEDReflectors and Outdoor250 to 664 lumens</v>
      </c>
      <c r="E97" s="290">
        <f>D40</f>
        <v>21.195435697005799</v>
      </c>
      <c r="F97" s="290">
        <f>E97*'CFL and LED Cost'!$A$68</f>
        <v>21.195435697005799</v>
      </c>
      <c r="G97" s="290">
        <f>F97+'CFL and LED Cost'!$A$65</f>
        <v>23.551012910664571</v>
      </c>
      <c r="H97" s="290">
        <f t="shared" si="2"/>
        <v>23.551012910664571</v>
      </c>
      <c r="I97" s="290">
        <f>F97+'CFL and LED Cost'!$A$66</f>
        <v>23.195435697005799</v>
      </c>
      <c r="J97" s="290">
        <f t="shared" si="3"/>
        <v>23.195435697005799</v>
      </c>
      <c r="K97" s="291">
        <f>F97+'CFL and LED Cost'!$A$67</f>
        <v>21.395435697005798</v>
      </c>
    </row>
    <row r="98" spans="1:11">
      <c r="A98" s="238" t="s">
        <v>401</v>
      </c>
      <c r="B98" s="210" t="s">
        <v>409</v>
      </c>
      <c r="C98" s="213" t="s">
        <v>406</v>
      </c>
      <c r="D98" s="211" t="str">
        <f t="shared" si="1"/>
        <v>LEDReflectors and Outdoor665 to 1439 lumens</v>
      </c>
      <c r="E98" s="290">
        <f>E40</f>
        <v>17.935480603886987</v>
      </c>
      <c r="F98" s="290">
        <f>E98*'CFL and LED Cost'!$A$68</f>
        <v>17.935480603886987</v>
      </c>
      <c r="G98" s="290">
        <f>F98+'CFL and LED Cost'!$A$65</f>
        <v>20.291057817545759</v>
      </c>
      <c r="H98" s="290">
        <f t="shared" si="2"/>
        <v>20.291057817545759</v>
      </c>
      <c r="I98" s="290">
        <f>F98+'CFL and LED Cost'!$A$66</f>
        <v>19.935480603886987</v>
      </c>
      <c r="J98" s="290">
        <f t="shared" si="3"/>
        <v>19.935480603886987</v>
      </c>
      <c r="K98" s="291">
        <f>F98+'CFL and LED Cost'!$A$67</f>
        <v>18.135480603886986</v>
      </c>
    </row>
    <row r="99" spans="1:11">
      <c r="A99" s="238" t="s">
        <v>401</v>
      </c>
      <c r="B99" s="210" t="s">
        <v>409</v>
      </c>
      <c r="C99" s="213" t="s">
        <v>408</v>
      </c>
      <c r="D99" s="211" t="str">
        <f t="shared" si="1"/>
        <v>LEDReflectors and Outdoor1440 to 2600 lumens</v>
      </c>
      <c r="E99" s="290">
        <f>F40</f>
        <v>32.537999999999997</v>
      </c>
      <c r="F99" s="290">
        <f>E99*'CFL and LED Cost'!$A$68</f>
        <v>32.537999999999997</v>
      </c>
      <c r="G99" s="290">
        <f>F99+'CFL and LED Cost'!$A$65</f>
        <v>34.893577213658766</v>
      </c>
      <c r="H99" s="290">
        <f t="shared" si="2"/>
        <v>34.893577213658766</v>
      </c>
      <c r="I99" s="290">
        <f>F99+'CFL and LED Cost'!$A$66</f>
        <v>34.537999999999997</v>
      </c>
      <c r="J99" s="290">
        <f t="shared" si="3"/>
        <v>34.537999999999997</v>
      </c>
      <c r="K99" s="291">
        <f>F99+'CFL and LED Cost'!$A$67</f>
        <v>32.738</v>
      </c>
    </row>
    <row r="100" spans="1:11">
      <c r="A100" s="238" t="s">
        <v>401</v>
      </c>
      <c r="B100" s="210" t="s">
        <v>410</v>
      </c>
      <c r="C100" s="211" t="s">
        <v>403</v>
      </c>
      <c r="D100" s="211" t="str">
        <f t="shared" si="1"/>
        <v>LEDThree-Way250 to 664 lumens</v>
      </c>
      <c r="E100" s="290">
        <f>D41</f>
        <v>21.195435697005799</v>
      </c>
      <c r="F100" s="290">
        <f>E100*'CFL and LED Cost'!$A$68</f>
        <v>21.195435697005799</v>
      </c>
      <c r="G100" s="290">
        <f>F100+'CFL and LED Cost'!$A$65</f>
        <v>23.551012910664571</v>
      </c>
      <c r="H100" s="290">
        <f t="shared" si="2"/>
        <v>23.551012910664571</v>
      </c>
      <c r="I100" s="290">
        <f>F100+'CFL and LED Cost'!$A$66</f>
        <v>23.195435697005799</v>
      </c>
      <c r="J100" s="290">
        <f t="shared" si="3"/>
        <v>23.195435697005799</v>
      </c>
      <c r="K100" s="291">
        <f>F100+'CFL and LED Cost'!$A$67</f>
        <v>21.395435697005798</v>
      </c>
    </row>
    <row r="101" spans="1:11">
      <c r="A101" s="238" t="s">
        <v>401</v>
      </c>
      <c r="B101" s="210" t="s">
        <v>410</v>
      </c>
      <c r="C101" s="213" t="s">
        <v>406</v>
      </c>
      <c r="D101" s="211" t="str">
        <f t="shared" si="1"/>
        <v>LEDThree-Way665 to 1439 lumens</v>
      </c>
      <c r="E101" s="290">
        <f>E41</f>
        <v>17.935480603886987</v>
      </c>
      <c r="F101" s="290">
        <f>E101*'CFL and LED Cost'!$A$68</f>
        <v>17.935480603886987</v>
      </c>
      <c r="G101" s="290">
        <f>F101+'CFL and LED Cost'!$A$65</f>
        <v>20.291057817545759</v>
      </c>
      <c r="H101" s="290">
        <f t="shared" si="2"/>
        <v>20.291057817545759</v>
      </c>
      <c r="I101" s="290">
        <f>F101+'CFL and LED Cost'!$A$66</f>
        <v>19.935480603886987</v>
      </c>
      <c r="J101" s="290">
        <f t="shared" si="3"/>
        <v>19.935480603886987</v>
      </c>
      <c r="K101" s="291">
        <f>F101+'CFL and LED Cost'!$A$67</f>
        <v>18.135480603886986</v>
      </c>
    </row>
    <row r="102" spans="1:11" ht="13.5" thickBot="1">
      <c r="A102" s="248" t="s">
        <v>401</v>
      </c>
      <c r="B102" s="249" t="s">
        <v>410</v>
      </c>
      <c r="C102" s="230" t="s">
        <v>408</v>
      </c>
      <c r="D102" s="226" t="str">
        <f t="shared" si="1"/>
        <v>LEDThree-Way1440 to 2600 lumens</v>
      </c>
      <c r="E102" s="292">
        <f>F41</f>
        <v>32.537999999999997</v>
      </c>
      <c r="F102" s="292">
        <f>E102*'CFL and LED Cost'!$A$68</f>
        <v>32.537999999999997</v>
      </c>
      <c r="G102" s="292">
        <f>F102+'CFL and LED Cost'!$A$65</f>
        <v>34.893577213658766</v>
      </c>
      <c r="H102" s="292">
        <f t="shared" si="2"/>
        <v>34.893577213658766</v>
      </c>
      <c r="I102" s="292">
        <f>F102+'CFL and LED Cost'!$A$66</f>
        <v>34.537999999999997</v>
      </c>
      <c r="J102" s="292">
        <f t="shared" si="3"/>
        <v>34.537999999999997</v>
      </c>
      <c r="K102" s="293">
        <f>F102+'CFL and LED Cost'!$A$67</f>
        <v>32.738</v>
      </c>
    </row>
  </sheetData>
  <autoFilter ref="A72:C102">
    <sortState ref="A79:C108">
      <sortCondition ref="A78:A108"/>
    </sortState>
  </autoFilter>
  <mergeCells count="4">
    <mergeCell ref="K48:L48"/>
    <mergeCell ref="N48:P48"/>
    <mergeCell ref="R48:S48"/>
    <mergeCell ref="E71:J71"/>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6"/>
  <dimension ref="A2:I85"/>
  <sheetViews>
    <sheetView workbookViewId="0">
      <selection activeCell="B10" sqref="B10"/>
    </sheetView>
  </sheetViews>
  <sheetFormatPr defaultRowHeight="12.75"/>
  <cols>
    <col min="1" max="1" width="22.28515625" style="1" customWidth="1"/>
    <col min="2" max="16384" width="9.140625" style="1"/>
  </cols>
  <sheetData>
    <row r="2" spans="1:9" ht="13.5" thickBot="1">
      <c r="A2" s="294" t="s">
        <v>576</v>
      </c>
      <c r="B2" s="295"/>
      <c r="C2" s="295"/>
      <c r="D2" s="296"/>
      <c r="E2" s="296"/>
      <c r="F2" s="296"/>
      <c r="G2" s="296"/>
      <c r="H2" s="296"/>
      <c r="I2" s="296"/>
    </row>
    <row r="3" spans="1:9" ht="25.5">
      <c r="A3" s="297" t="s">
        <v>398</v>
      </c>
      <c r="B3" s="298" t="s">
        <v>577</v>
      </c>
      <c r="C3" s="299"/>
      <c r="D3" s="300"/>
      <c r="E3" s="300"/>
      <c r="F3" s="300"/>
      <c r="G3" s="300"/>
      <c r="H3" s="300"/>
      <c r="I3" s="300"/>
    </row>
    <row r="4" spans="1:9" ht="15">
      <c r="A4" s="301" t="s">
        <v>578</v>
      </c>
      <c r="B4" s="302">
        <v>10356.725146198831</v>
      </c>
      <c r="C4" s="300" t="s">
        <v>579</v>
      </c>
      <c r="D4" s="303"/>
      <c r="E4" s="300"/>
      <c r="F4" s="300"/>
      <c r="G4" s="300"/>
      <c r="H4" s="300"/>
      <c r="I4" s="300"/>
    </row>
    <row r="5" spans="1:9" ht="15">
      <c r="A5" s="301" t="s">
        <v>404</v>
      </c>
      <c r="B5" s="302">
        <f>B4*D16</f>
        <v>5447.6374269005855</v>
      </c>
      <c r="C5" s="300" t="s">
        <v>580</v>
      </c>
      <c r="D5" s="303"/>
      <c r="E5" s="300"/>
      <c r="F5" s="300"/>
      <c r="G5" s="300"/>
      <c r="H5" s="300"/>
      <c r="I5" s="300"/>
    </row>
    <row r="6" spans="1:9" ht="15">
      <c r="A6" s="301" t="s">
        <v>581</v>
      </c>
      <c r="B6" s="302">
        <v>1000</v>
      </c>
      <c r="C6" s="299" t="s">
        <v>582</v>
      </c>
      <c r="D6" s="300"/>
      <c r="E6" s="300"/>
      <c r="F6" s="300"/>
      <c r="G6" s="300"/>
      <c r="H6" s="300"/>
      <c r="I6" s="300"/>
    </row>
    <row r="7" spans="1:9" ht="15">
      <c r="A7" s="301" t="s">
        <v>583</v>
      </c>
      <c r="B7" s="302">
        <v>1000</v>
      </c>
      <c r="C7" s="299" t="s">
        <v>582</v>
      </c>
      <c r="D7" s="300"/>
      <c r="E7" s="300"/>
      <c r="F7" s="300"/>
      <c r="G7" s="300"/>
      <c r="H7" s="300"/>
      <c r="I7" s="300"/>
    </row>
    <row r="8" spans="1:9" ht="15">
      <c r="A8" s="301" t="s">
        <v>401</v>
      </c>
      <c r="B8" s="302">
        <v>28708.42332613391</v>
      </c>
      <c r="C8" s="300" t="s">
        <v>579</v>
      </c>
      <c r="D8" s="303" t="s">
        <v>584</v>
      </c>
      <c r="E8" s="300"/>
      <c r="F8" s="300"/>
      <c r="G8" s="300"/>
      <c r="H8" s="300"/>
      <c r="I8" s="300"/>
    </row>
    <row r="9" spans="1:9" ht="13.5" thickBot="1">
      <c r="A9" s="304"/>
      <c r="B9" s="300"/>
      <c r="C9" s="305"/>
      <c r="D9" s="300"/>
      <c r="E9" s="300"/>
      <c r="F9" s="300"/>
      <c r="G9" s="300"/>
      <c r="H9" s="300"/>
      <c r="I9" s="300"/>
    </row>
    <row r="10" spans="1:9" ht="13.5" thickBot="1">
      <c r="A10" s="306" t="s">
        <v>585</v>
      </c>
      <c r="B10" s="307">
        <v>12</v>
      </c>
      <c r="C10" s="305" t="s">
        <v>586</v>
      </c>
      <c r="D10" s="300"/>
      <c r="E10" s="300"/>
      <c r="F10" s="300"/>
      <c r="G10" s="300"/>
      <c r="H10" s="300"/>
      <c r="I10" s="300"/>
    </row>
    <row r="11" spans="1:9">
      <c r="A11" s="300"/>
      <c r="B11" s="300"/>
      <c r="C11" s="300"/>
      <c r="D11" s="300"/>
      <c r="E11" s="300"/>
      <c r="F11" s="300"/>
      <c r="G11" s="300"/>
      <c r="H11" s="300"/>
      <c r="I11" s="300"/>
    </row>
    <row r="12" spans="1:9" ht="13.5" thickBot="1">
      <c r="A12" s="300"/>
      <c r="B12" s="300"/>
      <c r="C12" s="300"/>
      <c r="D12" s="300"/>
      <c r="E12" s="300"/>
      <c r="F12" s="300"/>
      <c r="G12" s="300"/>
      <c r="H12" s="300"/>
      <c r="I12" s="300"/>
    </row>
    <row r="13" spans="1:9" ht="13.5" thickBot="1">
      <c r="A13" s="544" t="s">
        <v>587</v>
      </c>
      <c r="B13" s="545"/>
      <c r="C13" s="545"/>
      <c r="D13" s="545"/>
      <c r="E13" s="545"/>
      <c r="F13" s="545"/>
      <c r="G13" s="545"/>
      <c r="H13" s="545"/>
      <c r="I13" s="546"/>
    </row>
    <row r="14" spans="1:9">
      <c r="A14" s="308" t="s">
        <v>420</v>
      </c>
      <c r="B14" s="547" t="s">
        <v>588</v>
      </c>
      <c r="C14" s="548"/>
      <c r="D14" s="548"/>
      <c r="E14" s="549"/>
      <c r="F14" s="547" t="s">
        <v>589</v>
      </c>
      <c r="G14" s="548"/>
      <c r="H14" s="548"/>
      <c r="I14" s="549"/>
    </row>
    <row r="15" spans="1:9" ht="13.5" thickBot="1">
      <c r="A15" s="309"/>
      <c r="B15" s="310" t="s">
        <v>590</v>
      </c>
      <c r="C15" s="311" t="s">
        <v>591</v>
      </c>
      <c r="D15" s="312" t="s">
        <v>592</v>
      </c>
      <c r="E15" s="313" t="s">
        <v>593</v>
      </c>
      <c r="F15" s="310" t="s">
        <v>590</v>
      </c>
      <c r="G15" s="311" t="s">
        <v>591</v>
      </c>
      <c r="H15" s="311" t="s">
        <v>592</v>
      </c>
      <c r="I15" s="313" t="s">
        <v>593</v>
      </c>
    </row>
    <row r="16" spans="1:9">
      <c r="A16" s="314" t="s">
        <v>594</v>
      </c>
      <c r="B16" s="315">
        <v>585</v>
      </c>
      <c r="C16" s="316">
        <v>0.49099999999999999</v>
      </c>
      <c r="D16" s="317">
        <v>0.52600000000000002</v>
      </c>
      <c r="E16" s="318">
        <v>0.56100000000000005</v>
      </c>
      <c r="F16" s="315">
        <v>447</v>
      </c>
      <c r="G16" s="316">
        <v>0.48599999999999999</v>
      </c>
      <c r="H16" s="319">
        <v>0.52100000000000002</v>
      </c>
      <c r="I16" s="318">
        <v>0.55600000000000005</v>
      </c>
    </row>
    <row r="17" spans="1:9">
      <c r="A17" s="320" t="s">
        <v>595</v>
      </c>
      <c r="B17" s="321">
        <v>89</v>
      </c>
      <c r="C17" s="322">
        <v>0.21</v>
      </c>
      <c r="D17" s="323">
        <v>0.25700000000000001</v>
      </c>
      <c r="E17" s="324">
        <v>0.30399999999999999</v>
      </c>
      <c r="F17" s="321">
        <v>71</v>
      </c>
      <c r="G17" s="322">
        <v>0.22</v>
      </c>
      <c r="H17" s="322">
        <v>0.26600000000000001</v>
      </c>
      <c r="I17" s="324">
        <v>0.312</v>
      </c>
    </row>
    <row r="18" spans="1:9">
      <c r="A18" s="320" t="s">
        <v>596</v>
      </c>
      <c r="B18" s="321">
        <v>138</v>
      </c>
      <c r="C18" s="322">
        <v>0.43</v>
      </c>
      <c r="D18" s="323">
        <v>0.46700000000000003</v>
      </c>
      <c r="E18" s="324">
        <v>0.505</v>
      </c>
      <c r="F18" s="321">
        <v>102</v>
      </c>
      <c r="G18" s="322">
        <v>0.41799999999999998</v>
      </c>
      <c r="H18" s="322">
        <v>0.45600000000000002</v>
      </c>
      <c r="I18" s="324">
        <v>0.49399999999999999</v>
      </c>
    </row>
    <row r="19" spans="1:9">
      <c r="A19" s="320" t="s">
        <v>597</v>
      </c>
      <c r="B19" s="321"/>
      <c r="C19" s="322"/>
      <c r="D19" s="325">
        <f>D16</f>
        <v>0.52600000000000002</v>
      </c>
      <c r="E19" s="324"/>
      <c r="F19" s="321"/>
      <c r="G19" s="322"/>
      <c r="H19" s="322"/>
      <c r="I19" s="324"/>
    </row>
    <row r="20" spans="1:9">
      <c r="A20" s="320" t="s">
        <v>598</v>
      </c>
      <c r="B20" s="321"/>
      <c r="C20" s="322"/>
      <c r="D20" s="325">
        <f>D16</f>
        <v>0.52600000000000002</v>
      </c>
      <c r="E20" s="324"/>
      <c r="F20" s="321"/>
      <c r="G20" s="322"/>
      <c r="H20" s="322"/>
      <c r="I20" s="324"/>
    </row>
    <row r="21" spans="1:9">
      <c r="A21" s="320" t="s">
        <v>482</v>
      </c>
      <c r="B21" s="321"/>
      <c r="C21" s="322"/>
      <c r="D21" s="325">
        <f>D30</f>
        <v>0.50800000000000001</v>
      </c>
      <c r="E21" s="324"/>
      <c r="F21" s="321"/>
      <c r="G21" s="322"/>
      <c r="H21" s="322"/>
      <c r="I21" s="324"/>
    </row>
    <row r="22" spans="1:9">
      <c r="A22" s="320" t="s">
        <v>599</v>
      </c>
      <c r="B22" s="321">
        <v>59</v>
      </c>
      <c r="C22" s="322">
        <v>0.66400000000000003</v>
      </c>
      <c r="D22" s="323">
        <v>0.69199999999999995</v>
      </c>
      <c r="E22" s="324">
        <v>0.72</v>
      </c>
      <c r="F22" s="321">
        <v>52</v>
      </c>
      <c r="G22" s="322">
        <v>0.67</v>
      </c>
      <c r="H22" s="322">
        <v>0.69799999999999995</v>
      </c>
      <c r="I22" s="324">
        <v>0.72499999999999998</v>
      </c>
    </row>
    <row r="23" spans="1:9">
      <c r="A23" s="320" t="s">
        <v>600</v>
      </c>
      <c r="B23" s="321">
        <v>12</v>
      </c>
      <c r="C23" s="322">
        <v>0.434</v>
      </c>
      <c r="D23" s="323">
        <v>0.47199999999999998</v>
      </c>
      <c r="E23" s="324">
        <v>0.51</v>
      </c>
      <c r="F23" s="321">
        <v>11</v>
      </c>
      <c r="G23" s="322">
        <v>0.44</v>
      </c>
      <c r="H23" s="322">
        <v>0.47799999999999998</v>
      </c>
      <c r="I23" s="324">
        <v>0.51500000000000001</v>
      </c>
    </row>
    <row r="24" spans="1:9">
      <c r="A24" s="320" t="s">
        <v>601</v>
      </c>
      <c r="B24" s="321">
        <v>42</v>
      </c>
      <c r="C24" s="322">
        <v>0.38700000000000001</v>
      </c>
      <c r="D24" s="323">
        <v>0.42599999999999999</v>
      </c>
      <c r="E24" s="324">
        <v>0.46500000000000002</v>
      </c>
      <c r="F24" s="321">
        <v>31</v>
      </c>
      <c r="G24" s="322">
        <v>0.38700000000000001</v>
      </c>
      <c r="H24" s="322">
        <v>0.42599999999999999</v>
      </c>
      <c r="I24" s="324">
        <v>0.46500000000000002</v>
      </c>
    </row>
    <row r="25" spans="1:9">
      <c r="A25" s="320" t="s">
        <v>602</v>
      </c>
      <c r="B25" s="321">
        <v>82</v>
      </c>
      <c r="C25" s="322">
        <v>0.54700000000000004</v>
      </c>
      <c r="D25" s="323">
        <v>0.57999999999999996</v>
      </c>
      <c r="E25" s="324">
        <v>0.61199999999999999</v>
      </c>
      <c r="F25" s="321">
        <v>53</v>
      </c>
      <c r="G25" s="322">
        <v>0.49199999999999999</v>
      </c>
      <c r="H25" s="322">
        <v>0.52700000000000002</v>
      </c>
      <c r="I25" s="324">
        <v>0.56200000000000006</v>
      </c>
    </row>
    <row r="26" spans="1:9">
      <c r="A26" s="320" t="s">
        <v>603</v>
      </c>
      <c r="B26" s="321">
        <v>20</v>
      </c>
      <c r="C26" s="322">
        <v>0.29899999999999999</v>
      </c>
      <c r="D26" s="323">
        <v>0.34300000000000003</v>
      </c>
      <c r="E26" s="324">
        <v>0.38600000000000001</v>
      </c>
      <c r="F26" s="321">
        <v>17</v>
      </c>
      <c r="G26" s="322">
        <v>0.28499999999999998</v>
      </c>
      <c r="H26" s="316">
        <v>0.32900000000000001</v>
      </c>
      <c r="I26" s="324">
        <v>0.373</v>
      </c>
    </row>
    <row r="27" spans="1:9">
      <c r="A27" s="320" t="s">
        <v>604</v>
      </c>
      <c r="B27" s="321">
        <v>128</v>
      </c>
      <c r="C27" s="322">
        <v>0.70799999999999996</v>
      </c>
      <c r="D27" s="323">
        <v>0.73399999999999999</v>
      </c>
      <c r="E27" s="324">
        <v>0.76</v>
      </c>
      <c r="F27" s="321">
        <v>96</v>
      </c>
      <c r="G27" s="322">
        <v>0.72399999999999998</v>
      </c>
      <c r="H27" s="316">
        <v>0.749</v>
      </c>
      <c r="I27" s="324">
        <v>0.77400000000000002</v>
      </c>
    </row>
    <row r="28" spans="1:9">
      <c r="A28" s="320" t="s">
        <v>605</v>
      </c>
      <c r="B28" s="321"/>
      <c r="C28" s="322"/>
      <c r="D28" s="326">
        <f>D18</f>
        <v>0.46700000000000003</v>
      </c>
      <c r="E28" s="324"/>
      <c r="F28" s="321"/>
      <c r="G28" s="322"/>
      <c r="H28" s="322"/>
      <c r="I28" s="324"/>
    </row>
    <row r="29" spans="1:9">
      <c r="A29" s="320" t="s">
        <v>606</v>
      </c>
      <c r="B29" s="321"/>
      <c r="C29" s="322"/>
      <c r="D29" s="326">
        <f>D16</f>
        <v>0.52600000000000002</v>
      </c>
      <c r="E29" s="324"/>
      <c r="F29" s="321"/>
      <c r="G29" s="322"/>
      <c r="H29" s="322"/>
      <c r="I29" s="324"/>
    </row>
    <row r="30" spans="1:9" ht="13.5" thickBot="1">
      <c r="A30" s="327" t="s">
        <v>27</v>
      </c>
      <c r="B30" s="310">
        <v>15</v>
      </c>
      <c r="C30" s="328">
        <v>0.47199999999999998</v>
      </c>
      <c r="D30" s="329">
        <v>0.50800000000000001</v>
      </c>
      <c r="E30" s="330">
        <v>0.54300000000000004</v>
      </c>
      <c r="F30" s="310">
        <v>14</v>
      </c>
      <c r="G30" s="328">
        <v>0.47599999999999998</v>
      </c>
      <c r="H30" s="331">
        <v>0.51100000000000001</v>
      </c>
      <c r="I30" s="330">
        <v>0.54700000000000004</v>
      </c>
    </row>
    <row r="31" spans="1:9">
      <c r="A31" s="332" t="s">
        <v>607</v>
      </c>
      <c r="B31" s="333"/>
      <c r="C31" s="333"/>
      <c r="D31" s="333"/>
      <c r="E31" s="333"/>
      <c r="F31" s="333"/>
      <c r="G31" s="333"/>
      <c r="H31" s="333"/>
      <c r="I31" s="300"/>
    </row>
    <row r="32" spans="1:9">
      <c r="A32" s="300"/>
      <c r="B32" s="333"/>
      <c r="C32" s="333"/>
      <c r="D32" s="333"/>
      <c r="E32" s="333"/>
      <c r="F32" s="333"/>
      <c r="G32" s="333"/>
      <c r="H32" s="333"/>
      <c r="I32" s="300"/>
    </row>
    <row r="33" spans="1:9">
      <c r="A33" s="334" t="s">
        <v>608</v>
      </c>
      <c r="B33" s="333"/>
      <c r="C33" s="333"/>
      <c r="D33" s="333"/>
      <c r="E33" s="333"/>
      <c r="F33" s="333"/>
      <c r="G33" s="333"/>
      <c r="H33" s="333"/>
      <c r="I33" s="300"/>
    </row>
    <row r="34" spans="1:9">
      <c r="A34" s="333" t="s">
        <v>609</v>
      </c>
      <c r="B34" s="333"/>
      <c r="C34" s="333"/>
      <c r="D34" s="333"/>
      <c r="E34" s="333"/>
      <c r="F34" s="333"/>
      <c r="G34" s="333"/>
      <c r="H34" s="333"/>
      <c r="I34" s="300"/>
    </row>
    <row r="35" spans="1:9">
      <c r="A35" s="333" t="s">
        <v>610</v>
      </c>
      <c r="B35" s="333"/>
      <c r="C35" s="333"/>
      <c r="D35" s="333"/>
      <c r="E35" s="333"/>
      <c r="F35" s="333"/>
      <c r="G35" s="333"/>
      <c r="H35" s="333"/>
      <c r="I35" s="300"/>
    </row>
    <row r="36" spans="1:9">
      <c r="A36" s="333" t="s">
        <v>611</v>
      </c>
      <c r="B36" s="300"/>
      <c r="C36" s="300"/>
      <c r="D36" s="300"/>
      <c r="E36" s="333"/>
      <c r="F36" s="333"/>
      <c r="G36" s="333"/>
      <c r="H36" s="333"/>
      <c r="I36" s="300"/>
    </row>
    <row r="37" spans="1:9">
      <c r="A37" s="333" t="s">
        <v>612</v>
      </c>
      <c r="B37" s="300"/>
      <c r="C37" s="300"/>
      <c r="D37" s="300"/>
      <c r="E37" s="333"/>
      <c r="F37" s="333"/>
      <c r="G37" s="333"/>
      <c r="H37" s="333"/>
      <c r="I37" s="300"/>
    </row>
    <row r="38" spans="1:9">
      <c r="A38" s="335" t="s">
        <v>613</v>
      </c>
      <c r="B38" s="300"/>
      <c r="C38" s="300"/>
      <c r="D38" s="300"/>
      <c r="E38" s="333"/>
      <c r="F38" s="333"/>
      <c r="G38" s="333"/>
      <c r="H38" s="333"/>
      <c r="I38" s="300"/>
    </row>
    <row r="42" spans="1:9" ht="20.25">
      <c r="A42" s="336" t="s">
        <v>614</v>
      </c>
      <c r="B42" s="336"/>
      <c r="C42" s="336"/>
      <c r="D42" s="300"/>
      <c r="E42" s="300"/>
      <c r="F42" s="300"/>
      <c r="G42" s="300"/>
      <c r="H42" s="300"/>
    </row>
    <row r="43" spans="1:9">
      <c r="A43" s="300"/>
      <c r="B43" s="300"/>
      <c r="C43" s="300"/>
      <c r="D43" s="300"/>
      <c r="E43" s="300"/>
      <c r="F43" s="300"/>
      <c r="G43" s="300"/>
      <c r="H43" s="300"/>
    </row>
    <row r="44" spans="1:9">
      <c r="A44" s="300" t="s">
        <v>615</v>
      </c>
      <c r="B44" s="300"/>
      <c r="C44" s="300"/>
      <c r="D44" s="300"/>
      <c r="E44" s="300"/>
      <c r="F44" s="300"/>
      <c r="G44" s="300"/>
      <c r="H44" s="300"/>
    </row>
    <row r="45" spans="1:9">
      <c r="A45" s="550" t="s">
        <v>616</v>
      </c>
      <c r="B45" s="550"/>
      <c r="C45" s="550"/>
      <c r="D45" s="550"/>
      <c r="E45" s="550"/>
      <c r="F45" s="300"/>
      <c r="G45" s="300"/>
      <c r="H45" s="300"/>
    </row>
    <row r="46" spans="1:9">
      <c r="A46" s="550" t="s">
        <v>617</v>
      </c>
      <c r="B46" s="550"/>
      <c r="C46" s="550"/>
      <c r="D46" s="550"/>
      <c r="E46" s="550"/>
      <c r="F46" s="300"/>
      <c r="G46" s="300"/>
      <c r="H46" s="300"/>
    </row>
    <row r="47" spans="1:9">
      <c r="A47" s="300" t="s">
        <v>618</v>
      </c>
      <c r="B47" s="300"/>
      <c r="C47" s="300"/>
      <c r="D47" s="300"/>
      <c r="E47" s="300"/>
      <c r="F47" s="300"/>
      <c r="G47" s="300"/>
      <c r="H47" s="300"/>
    </row>
    <row r="48" spans="1:9">
      <c r="A48" s="300"/>
      <c r="B48" s="300"/>
      <c r="C48" s="300"/>
      <c r="D48" s="300"/>
      <c r="E48" s="300"/>
      <c r="F48" s="300"/>
      <c r="G48" s="300"/>
      <c r="H48" s="300"/>
    </row>
    <row r="49" spans="1:8">
      <c r="A49" s="300"/>
      <c r="B49" s="300"/>
      <c r="C49" s="300"/>
      <c r="D49" s="300"/>
      <c r="E49" s="300"/>
      <c r="F49" s="300"/>
      <c r="G49" s="300"/>
      <c r="H49" s="300"/>
    </row>
    <row r="50" spans="1:8">
      <c r="A50" s="300"/>
      <c r="B50" s="300"/>
      <c r="C50" s="300"/>
      <c r="D50" s="300"/>
      <c r="E50" s="300"/>
      <c r="F50" s="300"/>
      <c r="G50" s="300"/>
      <c r="H50" s="300"/>
    </row>
    <row r="51" spans="1:8" ht="63.75">
      <c r="A51" s="300"/>
      <c r="B51" s="300"/>
      <c r="C51" s="337" t="s">
        <v>619</v>
      </c>
      <c r="D51" s="337" t="s">
        <v>620</v>
      </c>
      <c r="E51" s="337" t="s">
        <v>621</v>
      </c>
      <c r="F51" s="337" t="s">
        <v>622</v>
      </c>
      <c r="G51" s="337" t="s">
        <v>623</v>
      </c>
      <c r="H51" s="300"/>
    </row>
    <row r="52" spans="1:8" ht="38.25">
      <c r="A52" s="300" t="s">
        <v>624</v>
      </c>
      <c r="B52" s="337" t="s">
        <v>625</v>
      </c>
      <c r="C52" s="337" t="s">
        <v>626</v>
      </c>
      <c r="D52" s="300"/>
      <c r="E52" s="300"/>
      <c r="F52" s="300"/>
      <c r="G52" s="300"/>
      <c r="H52" s="300"/>
    </row>
    <row r="53" spans="1:8">
      <c r="A53" s="300">
        <v>1</v>
      </c>
      <c r="B53" s="338">
        <v>0.04</v>
      </c>
      <c r="C53" s="338">
        <f>1-B53</f>
        <v>0.96</v>
      </c>
      <c r="D53" s="339">
        <v>0</v>
      </c>
      <c r="E53" s="339">
        <v>0</v>
      </c>
      <c r="F53" s="339">
        <v>0</v>
      </c>
      <c r="G53" s="339">
        <f t="shared" ref="G53:G66" si="0">SUMPRODUCT(C53:F53,$C$68:$F$68)</f>
        <v>0.72960000000000003</v>
      </c>
      <c r="H53" s="300"/>
    </row>
    <row r="54" spans="1:8">
      <c r="A54" s="300">
        <f t="shared" ref="A54:A66" si="1">A53+1</f>
        <v>2</v>
      </c>
      <c r="B54" s="338">
        <v>0.09</v>
      </c>
      <c r="C54" s="338">
        <f t="shared" ref="C54:C66" si="2">C53-B54</f>
        <v>0.87</v>
      </c>
      <c r="D54" s="338">
        <f t="shared" ref="D54:D66" si="3">C53</f>
        <v>0.96</v>
      </c>
      <c r="E54" s="339">
        <v>0</v>
      </c>
      <c r="F54" s="339">
        <v>0</v>
      </c>
      <c r="G54" s="339">
        <f t="shared" si="0"/>
        <v>0.73799999999999999</v>
      </c>
      <c r="H54" s="300"/>
    </row>
    <row r="55" spans="1:8">
      <c r="A55" s="300">
        <f t="shared" si="1"/>
        <v>3</v>
      </c>
      <c r="B55" s="338">
        <v>0.08</v>
      </c>
      <c r="C55" s="338">
        <f t="shared" si="2"/>
        <v>0.79</v>
      </c>
      <c r="D55" s="338">
        <f t="shared" si="3"/>
        <v>0.87</v>
      </c>
      <c r="E55" s="338">
        <f t="shared" ref="E55:E66" si="4">C53</f>
        <v>0.96</v>
      </c>
      <c r="F55" s="339">
        <v>0</v>
      </c>
      <c r="G55" s="339">
        <f t="shared" si="0"/>
        <v>0.74680000000000002</v>
      </c>
      <c r="H55" s="300"/>
    </row>
    <row r="56" spans="1:8">
      <c r="A56" s="300">
        <f t="shared" si="1"/>
        <v>4</v>
      </c>
      <c r="B56" s="338">
        <v>0.15</v>
      </c>
      <c r="C56" s="338">
        <f t="shared" si="2"/>
        <v>0.64</v>
      </c>
      <c r="D56" s="338">
        <f t="shared" si="3"/>
        <v>0.79</v>
      </c>
      <c r="E56" s="338">
        <f t="shared" si="4"/>
        <v>0.87</v>
      </c>
      <c r="F56" s="338">
        <f t="shared" ref="F56:F66" si="5">C53</f>
        <v>0.96</v>
      </c>
      <c r="G56" s="339">
        <f t="shared" si="0"/>
        <v>0.69599999999999995</v>
      </c>
      <c r="H56" s="300"/>
    </row>
    <row r="57" spans="1:8">
      <c r="A57" s="300">
        <f t="shared" si="1"/>
        <v>5</v>
      </c>
      <c r="B57" s="338">
        <v>0.1</v>
      </c>
      <c r="C57" s="340">
        <f t="shared" si="2"/>
        <v>0.54</v>
      </c>
      <c r="D57" s="338">
        <f t="shared" si="3"/>
        <v>0.64</v>
      </c>
      <c r="E57" s="338">
        <f t="shared" si="4"/>
        <v>0.79</v>
      </c>
      <c r="F57" s="338">
        <f t="shared" si="5"/>
        <v>0.87</v>
      </c>
      <c r="G57" s="339">
        <f t="shared" si="0"/>
        <v>0.59440000000000004</v>
      </c>
      <c r="H57" s="300"/>
    </row>
    <row r="58" spans="1:8">
      <c r="A58" s="300">
        <f t="shared" si="1"/>
        <v>6</v>
      </c>
      <c r="B58" s="338">
        <v>0.08</v>
      </c>
      <c r="C58" s="340">
        <f t="shared" si="2"/>
        <v>0.46</v>
      </c>
      <c r="D58" s="338">
        <f t="shared" si="3"/>
        <v>0.54</v>
      </c>
      <c r="E58" s="338">
        <f t="shared" si="4"/>
        <v>0.64</v>
      </c>
      <c r="F58" s="338">
        <f t="shared" si="5"/>
        <v>0.79</v>
      </c>
      <c r="G58" s="341">
        <f t="shared" si="0"/>
        <v>0.5072000000000001</v>
      </c>
      <c r="H58" s="300"/>
    </row>
    <row r="59" spans="1:8">
      <c r="A59" s="300">
        <f t="shared" si="1"/>
        <v>7</v>
      </c>
      <c r="B59" s="338">
        <v>7.0000000000000007E-2</v>
      </c>
      <c r="C59" s="338">
        <f t="shared" si="2"/>
        <v>0.39</v>
      </c>
      <c r="D59" s="338">
        <f t="shared" si="3"/>
        <v>0.46</v>
      </c>
      <c r="E59" s="338">
        <f t="shared" si="4"/>
        <v>0.54</v>
      </c>
      <c r="F59" s="338">
        <f t="shared" si="5"/>
        <v>0.64</v>
      </c>
      <c r="G59" s="341">
        <f t="shared" si="0"/>
        <v>0.42760000000000004</v>
      </c>
      <c r="H59" s="300"/>
    </row>
    <row r="60" spans="1:8">
      <c r="A60" s="300">
        <f t="shared" si="1"/>
        <v>8</v>
      </c>
      <c r="B60" s="338">
        <v>0.06</v>
      </c>
      <c r="C60" s="338">
        <f t="shared" si="2"/>
        <v>0.33</v>
      </c>
      <c r="D60" s="338">
        <f t="shared" si="3"/>
        <v>0.39</v>
      </c>
      <c r="E60" s="338">
        <f t="shared" si="4"/>
        <v>0.46</v>
      </c>
      <c r="F60" s="338">
        <f t="shared" si="5"/>
        <v>0.54</v>
      </c>
      <c r="G60" s="339">
        <f t="shared" si="0"/>
        <v>0.36200000000000004</v>
      </c>
      <c r="H60" s="300"/>
    </row>
    <row r="61" spans="1:8">
      <c r="A61" s="300">
        <f t="shared" si="1"/>
        <v>9</v>
      </c>
      <c r="B61" s="338">
        <v>0.05</v>
      </c>
      <c r="C61" s="338">
        <f t="shared" si="2"/>
        <v>0.28000000000000003</v>
      </c>
      <c r="D61" s="338">
        <f t="shared" si="3"/>
        <v>0.33</v>
      </c>
      <c r="E61" s="338">
        <f t="shared" si="4"/>
        <v>0.39</v>
      </c>
      <c r="F61" s="338">
        <f t="shared" si="5"/>
        <v>0.46</v>
      </c>
      <c r="G61" s="339">
        <f t="shared" si="0"/>
        <v>0.30720000000000003</v>
      </c>
      <c r="H61" s="300"/>
    </row>
    <row r="62" spans="1:8">
      <c r="A62" s="300">
        <f t="shared" si="1"/>
        <v>10</v>
      </c>
      <c r="B62" s="338">
        <v>0.04</v>
      </c>
      <c r="C62" s="338">
        <f t="shared" si="2"/>
        <v>0.24000000000000002</v>
      </c>
      <c r="D62" s="338">
        <f t="shared" si="3"/>
        <v>0.28000000000000003</v>
      </c>
      <c r="E62" s="338">
        <f t="shared" si="4"/>
        <v>0.33</v>
      </c>
      <c r="F62" s="338">
        <f t="shared" si="5"/>
        <v>0.39</v>
      </c>
      <c r="G62" s="339">
        <f t="shared" si="0"/>
        <v>0.26240000000000002</v>
      </c>
      <c r="H62" s="300"/>
    </row>
    <row r="63" spans="1:8">
      <c r="A63" s="300">
        <f t="shared" si="1"/>
        <v>11</v>
      </c>
      <c r="B63" s="338">
        <v>0.04</v>
      </c>
      <c r="C63" s="338">
        <f t="shared" si="2"/>
        <v>0.2</v>
      </c>
      <c r="D63" s="338">
        <f t="shared" si="3"/>
        <v>0.24000000000000002</v>
      </c>
      <c r="E63" s="338">
        <f t="shared" si="4"/>
        <v>0.28000000000000003</v>
      </c>
      <c r="F63" s="338">
        <f t="shared" si="5"/>
        <v>0.33</v>
      </c>
      <c r="G63" s="339">
        <f t="shared" si="0"/>
        <v>0.22000000000000003</v>
      </c>
      <c r="H63" s="300"/>
    </row>
    <row r="64" spans="1:8">
      <c r="A64" s="300">
        <f t="shared" si="1"/>
        <v>12</v>
      </c>
      <c r="B64" s="338">
        <v>0.03</v>
      </c>
      <c r="C64" s="338">
        <f t="shared" si="2"/>
        <v>0.17</v>
      </c>
      <c r="D64" s="338">
        <f t="shared" si="3"/>
        <v>0.2</v>
      </c>
      <c r="E64" s="338">
        <f t="shared" si="4"/>
        <v>0.24000000000000002</v>
      </c>
      <c r="F64" s="338">
        <f t="shared" si="5"/>
        <v>0.28000000000000003</v>
      </c>
      <c r="G64" s="339">
        <f t="shared" si="0"/>
        <v>0.18679999999999999</v>
      </c>
      <c r="H64" s="300"/>
    </row>
    <row r="65" spans="1:8">
      <c r="A65" s="300">
        <f t="shared" si="1"/>
        <v>13</v>
      </c>
      <c r="B65" s="338">
        <v>0.03</v>
      </c>
      <c r="C65" s="338">
        <f t="shared" si="2"/>
        <v>0.14000000000000001</v>
      </c>
      <c r="D65" s="338">
        <f t="shared" si="3"/>
        <v>0.17</v>
      </c>
      <c r="E65" s="338">
        <f t="shared" si="4"/>
        <v>0.2</v>
      </c>
      <c r="F65" s="338">
        <f t="shared" si="5"/>
        <v>0.24000000000000002</v>
      </c>
      <c r="G65" s="339">
        <f t="shared" si="0"/>
        <v>0.1552</v>
      </c>
      <c r="H65" s="300"/>
    </row>
    <row r="66" spans="1:8">
      <c r="A66" s="300">
        <f t="shared" si="1"/>
        <v>14</v>
      </c>
      <c r="B66" s="338">
        <v>0.02</v>
      </c>
      <c r="C66" s="338">
        <f t="shared" si="2"/>
        <v>0.12000000000000001</v>
      </c>
      <c r="D66" s="338">
        <f t="shared" si="3"/>
        <v>0.14000000000000001</v>
      </c>
      <c r="E66" s="338">
        <f t="shared" si="4"/>
        <v>0.17</v>
      </c>
      <c r="F66" s="338">
        <f t="shared" si="5"/>
        <v>0.2</v>
      </c>
      <c r="G66" s="339">
        <f t="shared" si="0"/>
        <v>0.13200000000000001</v>
      </c>
      <c r="H66" s="300"/>
    </row>
    <row r="67" spans="1:8">
      <c r="A67" s="300"/>
      <c r="B67" s="300"/>
      <c r="C67" s="300"/>
      <c r="D67" s="300"/>
      <c r="E67" s="300"/>
      <c r="F67" s="300"/>
      <c r="G67" s="300"/>
      <c r="H67" s="300"/>
    </row>
    <row r="68" spans="1:8">
      <c r="A68" s="300" t="s">
        <v>627</v>
      </c>
      <c r="B68" s="338">
        <v>0.24</v>
      </c>
      <c r="C68" s="338">
        <f>1-B68</f>
        <v>0.76</v>
      </c>
      <c r="D68" s="339">
        <f>$B$68/3</f>
        <v>0.08</v>
      </c>
      <c r="E68" s="339">
        <f>$B$68/3</f>
        <v>0.08</v>
      </c>
      <c r="F68" s="339">
        <f>$B$68/3</f>
        <v>0.08</v>
      </c>
      <c r="G68" s="300"/>
      <c r="H68" s="300"/>
    </row>
    <row r="69" spans="1:8">
      <c r="A69" s="300"/>
      <c r="B69" s="300"/>
      <c r="C69" s="300"/>
      <c r="D69" s="300"/>
      <c r="E69" s="300"/>
      <c r="F69" s="300"/>
      <c r="G69" s="300"/>
      <c r="H69" s="300"/>
    </row>
    <row r="70" spans="1:8">
      <c r="A70" s="300"/>
      <c r="B70" s="300"/>
      <c r="C70" s="300"/>
      <c r="D70" s="300"/>
      <c r="E70" s="300"/>
      <c r="F70" s="300"/>
      <c r="G70" s="300"/>
      <c r="H70" s="300"/>
    </row>
    <row r="71" spans="1:8">
      <c r="A71" s="300" t="s">
        <v>628</v>
      </c>
      <c r="B71" s="300"/>
      <c r="C71" s="300"/>
      <c r="D71" s="300"/>
      <c r="E71" s="300"/>
      <c r="F71" s="300"/>
      <c r="G71" s="300"/>
      <c r="H71" s="300"/>
    </row>
    <row r="72" spans="1:8">
      <c r="A72" s="300"/>
      <c r="B72" s="300"/>
      <c r="C72" s="300"/>
      <c r="D72" s="300"/>
      <c r="E72" s="300"/>
      <c r="F72" s="300"/>
      <c r="G72" s="300"/>
      <c r="H72" s="300"/>
    </row>
    <row r="73" spans="1:8">
      <c r="A73" s="300" t="s">
        <v>629</v>
      </c>
      <c r="B73" s="300"/>
      <c r="C73" s="339">
        <f>6/5.5</f>
        <v>1.0909090909090908</v>
      </c>
      <c r="D73" s="300" t="s">
        <v>630</v>
      </c>
      <c r="E73" s="300"/>
      <c r="F73" s="300"/>
      <c r="G73" s="300"/>
      <c r="H73" s="300"/>
    </row>
    <row r="74" spans="1:8">
      <c r="A74" s="300"/>
      <c r="B74" s="300"/>
      <c r="C74" s="300"/>
      <c r="D74" s="300"/>
      <c r="E74" s="300"/>
      <c r="F74" s="300"/>
      <c r="G74" s="300"/>
      <c r="H74" s="300"/>
    </row>
    <row r="75" spans="1:8">
      <c r="A75" s="300"/>
      <c r="B75" s="300"/>
      <c r="C75" s="300"/>
      <c r="D75" s="300"/>
      <c r="E75" s="300"/>
      <c r="F75" s="300"/>
      <c r="G75" s="300"/>
      <c r="H75" s="300"/>
    </row>
    <row r="76" spans="1:8">
      <c r="A76" s="300"/>
      <c r="B76" s="300"/>
      <c r="C76" s="300"/>
      <c r="D76" s="300"/>
      <c r="E76" s="300"/>
      <c r="F76" s="300"/>
      <c r="G76" s="300"/>
      <c r="H76" s="300"/>
    </row>
    <row r="77" spans="1:8">
      <c r="A77" s="300"/>
      <c r="B77" s="300"/>
      <c r="C77" s="300"/>
      <c r="D77" s="300"/>
      <c r="E77" s="300"/>
      <c r="F77" s="300"/>
      <c r="G77" s="300"/>
      <c r="H77" s="300"/>
    </row>
    <row r="78" spans="1:8">
      <c r="A78" s="300"/>
      <c r="B78" s="300"/>
      <c r="C78" s="300"/>
      <c r="D78" s="300"/>
      <c r="E78" s="300"/>
      <c r="F78" s="300"/>
      <c r="G78" s="300"/>
      <c r="H78" s="300"/>
    </row>
    <row r="79" spans="1:8">
      <c r="A79" s="300"/>
      <c r="B79" s="300"/>
      <c r="C79" s="300"/>
      <c r="D79" s="300"/>
      <c r="E79" s="300"/>
      <c r="F79" s="300"/>
      <c r="G79" s="300"/>
      <c r="H79" s="300"/>
    </row>
    <row r="80" spans="1:8">
      <c r="A80" s="300"/>
      <c r="B80" s="300"/>
      <c r="C80" s="300"/>
      <c r="D80" s="300"/>
      <c r="E80" s="300"/>
      <c r="F80" s="300"/>
      <c r="G80" s="300"/>
      <c r="H80" s="300"/>
    </row>
    <row r="81" spans="1:8">
      <c r="A81" s="300"/>
      <c r="B81" s="300"/>
      <c r="C81" s="300"/>
      <c r="D81" s="300"/>
      <c r="E81" s="300"/>
      <c r="F81" s="300"/>
      <c r="G81" s="300"/>
      <c r="H81" s="300"/>
    </row>
    <row r="82" spans="1:8">
      <c r="A82" s="300"/>
      <c r="B82" s="300"/>
      <c r="C82" s="300"/>
      <c r="D82" s="300"/>
      <c r="E82" s="300"/>
      <c r="F82" s="300"/>
      <c r="G82" s="300"/>
      <c r="H82" s="300"/>
    </row>
    <row r="83" spans="1:8">
      <c r="A83" s="300"/>
      <c r="B83" s="300"/>
      <c r="C83" s="300"/>
      <c r="D83" s="300"/>
      <c r="E83" s="300"/>
      <c r="F83" s="300"/>
      <c r="G83" s="300"/>
      <c r="H83" s="300"/>
    </row>
    <row r="84" spans="1:8">
      <c r="A84" s="300"/>
      <c r="B84" s="300"/>
      <c r="C84" s="300"/>
      <c r="D84" s="300"/>
      <c r="E84" s="300"/>
      <c r="F84" s="300"/>
      <c r="G84" s="300"/>
      <c r="H84" s="300"/>
    </row>
    <row r="85" spans="1:8">
      <c r="A85" s="300"/>
      <c r="B85" s="300"/>
      <c r="C85" s="300"/>
      <c r="D85" s="300"/>
      <c r="E85" s="300"/>
      <c r="F85" s="300"/>
      <c r="G85" s="300"/>
      <c r="H85" s="300"/>
    </row>
  </sheetData>
  <mergeCells count="5">
    <mergeCell ref="A13:I13"/>
    <mergeCell ref="B14:E14"/>
    <mergeCell ref="F14:I14"/>
    <mergeCell ref="A45:E45"/>
    <mergeCell ref="A46:E46"/>
  </mergeCells>
  <hyperlinks>
    <hyperlink ref="D8" r:id="rId1"/>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codeName="Sheet19"/>
  <dimension ref="A1:I28"/>
  <sheetViews>
    <sheetView zoomScaleNormal="100" workbookViewId="0">
      <selection activeCell="B28" sqref="B28"/>
    </sheetView>
  </sheetViews>
  <sheetFormatPr defaultRowHeight="12.75"/>
  <cols>
    <col min="1" max="1" width="34.85546875" customWidth="1"/>
    <col min="2" max="2" width="20.5703125" bestFit="1" customWidth="1"/>
    <col min="4" max="4" width="10.85546875" customWidth="1"/>
    <col min="5" max="7" width="10" customWidth="1"/>
    <col min="8" max="8" width="21.85546875" customWidth="1"/>
    <col min="9" max="35" width="10" customWidth="1"/>
  </cols>
  <sheetData>
    <row r="1" spans="1:9" ht="13.5" thickBot="1">
      <c r="A1" s="359" t="s">
        <v>641</v>
      </c>
      <c r="B1" s="359" t="s">
        <v>705</v>
      </c>
      <c r="C1" s="359" t="s">
        <v>706</v>
      </c>
      <c r="D1" s="359"/>
      <c r="E1" s="359"/>
      <c r="F1" s="359"/>
      <c r="G1" s="359"/>
    </row>
    <row r="2" spans="1:9" ht="13.5" customHeight="1" thickBot="1">
      <c r="A2" s="556" t="s">
        <v>642</v>
      </c>
      <c r="B2" s="553" t="s">
        <v>643</v>
      </c>
      <c r="C2" s="555"/>
      <c r="D2" s="359"/>
      <c r="E2" s="359"/>
      <c r="F2" s="359"/>
      <c r="G2" s="359"/>
    </row>
    <row r="3" spans="1:9" ht="48.75" thickBot="1">
      <c r="A3" s="557"/>
      <c r="B3" s="360" t="s">
        <v>644</v>
      </c>
      <c r="C3" s="361" t="s">
        <v>645</v>
      </c>
      <c r="D3" s="362" t="s">
        <v>646</v>
      </c>
      <c r="E3" s="359"/>
      <c r="F3" s="359"/>
      <c r="G3" s="359"/>
      <c r="H3" s="342" t="s">
        <v>631</v>
      </c>
      <c r="I3" s="343"/>
    </row>
    <row r="4" spans="1:9">
      <c r="A4" s="363" t="s">
        <v>647</v>
      </c>
      <c r="B4" s="364">
        <v>-0.46152449492979231</v>
      </c>
      <c r="C4" s="365">
        <v>-0.5</v>
      </c>
      <c r="D4" s="366">
        <v>0.26</v>
      </c>
      <c r="E4" s="359"/>
      <c r="F4" s="359"/>
      <c r="G4" s="359"/>
      <c r="H4" s="344" t="s">
        <v>632</v>
      </c>
      <c r="I4" s="345">
        <f>-B4</f>
        <v>0.46152449492979231</v>
      </c>
    </row>
    <row r="5" spans="1:9">
      <c r="A5" s="363" t="s">
        <v>648</v>
      </c>
      <c r="B5" s="364">
        <v>-0.50234159388570954</v>
      </c>
      <c r="C5" s="365">
        <v>-0.625</v>
      </c>
      <c r="D5" s="367">
        <v>0.1</v>
      </c>
      <c r="E5" s="359"/>
      <c r="F5" s="359"/>
      <c r="G5" s="359"/>
      <c r="H5" s="346" t="s">
        <v>633</v>
      </c>
      <c r="I5" s="347">
        <f>D7</f>
        <v>0.51</v>
      </c>
    </row>
    <row r="6" spans="1:9">
      <c r="A6" s="363" t="s">
        <v>649</v>
      </c>
      <c r="B6" s="364">
        <v>-0.27496231317673292</v>
      </c>
      <c r="C6" s="365">
        <v>-0.15397011426897156</v>
      </c>
      <c r="D6" s="367">
        <v>0.13</v>
      </c>
      <c r="E6" s="359"/>
      <c r="F6" s="359"/>
      <c r="G6" s="359"/>
      <c r="H6" s="346" t="s">
        <v>634</v>
      </c>
      <c r="I6" s="347">
        <v>0.8</v>
      </c>
    </row>
    <row r="7" spans="1:9" ht="13.5" thickBot="1">
      <c r="A7" s="368" t="s">
        <v>650</v>
      </c>
      <c r="B7" s="364">
        <v>0</v>
      </c>
      <c r="C7" s="369">
        <v>0</v>
      </c>
      <c r="D7" s="370">
        <f>1-SUM(D4:D6)</f>
        <v>0.51</v>
      </c>
      <c r="E7" s="359"/>
      <c r="F7" s="359"/>
      <c r="G7" s="359"/>
      <c r="H7" s="346" t="s">
        <v>635</v>
      </c>
      <c r="I7" s="351">
        <f>I4*I5/I6</f>
        <v>0.2942218655177426</v>
      </c>
    </row>
    <row r="8" spans="1:9">
      <c r="A8" s="359"/>
      <c r="B8" s="359"/>
      <c r="C8" s="359"/>
      <c r="D8" s="359"/>
      <c r="E8" s="371"/>
      <c r="F8" s="359"/>
      <c r="G8" s="359"/>
      <c r="H8" s="352" t="s">
        <v>636</v>
      </c>
      <c r="I8" s="353">
        <f>1/29.3001111</f>
        <v>3.4129563419983078E-2</v>
      </c>
    </row>
    <row r="9" spans="1:9" ht="13.5" thickBot="1">
      <c r="A9" s="359" t="s">
        <v>651</v>
      </c>
      <c r="B9" s="359"/>
      <c r="C9" s="359"/>
      <c r="D9" s="359"/>
      <c r="E9" s="371"/>
      <c r="F9" s="359"/>
      <c r="G9" s="359"/>
      <c r="H9" s="354" t="s">
        <v>637</v>
      </c>
      <c r="I9" s="355">
        <f>I7*I8</f>
        <v>1.0041663818733528E-2</v>
      </c>
    </row>
    <row r="10" spans="1:9" ht="13.5" customHeight="1" thickBot="1">
      <c r="A10" s="558" t="s">
        <v>652</v>
      </c>
      <c r="B10" s="553" t="s">
        <v>643</v>
      </c>
      <c r="C10" s="555"/>
      <c r="D10" s="359"/>
      <c r="E10" s="371"/>
      <c r="F10" s="359"/>
      <c r="G10" s="359"/>
    </row>
    <row r="11" spans="1:9" ht="48">
      <c r="A11" s="559"/>
      <c r="B11" s="360" t="s">
        <v>644</v>
      </c>
      <c r="C11" s="361" t="s">
        <v>645</v>
      </c>
      <c r="D11" s="362" t="s">
        <v>646</v>
      </c>
      <c r="E11" s="362" t="s">
        <v>653</v>
      </c>
      <c r="F11" s="359"/>
      <c r="G11" s="359"/>
    </row>
    <row r="12" spans="1:9">
      <c r="A12" s="372">
        <v>1</v>
      </c>
      <c r="B12" s="373">
        <v>3.3084964552829943E-2</v>
      </c>
      <c r="C12" s="374">
        <v>9.4513846153846157E-2</v>
      </c>
      <c r="D12" s="366">
        <v>0.59</v>
      </c>
      <c r="E12" s="551">
        <v>0.72</v>
      </c>
      <c r="F12" s="359"/>
      <c r="G12" s="359"/>
    </row>
    <row r="13" spans="1:9">
      <c r="A13" s="372">
        <v>2</v>
      </c>
      <c r="B13" s="373">
        <v>5.2851320104587263E-2</v>
      </c>
      <c r="C13" s="374">
        <v>9.4513846153846157E-2</v>
      </c>
      <c r="D13" s="367">
        <v>0.27</v>
      </c>
      <c r="E13" s="551"/>
      <c r="F13" s="359"/>
      <c r="G13" s="359"/>
    </row>
    <row r="14" spans="1:9" ht="13.5" thickBot="1">
      <c r="A14" s="375">
        <v>3</v>
      </c>
      <c r="B14" s="373">
        <v>7.3644270960588454E-2</v>
      </c>
      <c r="C14" s="376">
        <v>9.4513846153846157E-2</v>
      </c>
      <c r="D14" s="370">
        <v>0.14000000000000001</v>
      </c>
      <c r="E14" s="552"/>
      <c r="F14" s="359"/>
      <c r="G14" s="359"/>
    </row>
    <row r="15" spans="1:9">
      <c r="A15" s="359"/>
      <c r="B15" s="359"/>
      <c r="C15" s="359"/>
      <c r="D15" s="359"/>
      <c r="E15" s="359"/>
      <c r="F15" s="359"/>
      <c r="G15" s="359"/>
    </row>
    <row r="16" spans="1:9" ht="13.5" thickBot="1">
      <c r="A16" s="359" t="s">
        <v>654</v>
      </c>
      <c r="B16" s="359"/>
      <c r="C16" s="359"/>
      <c r="D16" s="359"/>
      <c r="E16" s="359"/>
      <c r="F16" s="359"/>
      <c r="G16" s="359"/>
    </row>
    <row r="17" spans="1:7" ht="12.75" customHeight="1">
      <c r="A17" s="553" t="s">
        <v>655</v>
      </c>
      <c r="B17" s="554"/>
      <c r="C17" s="555"/>
      <c r="D17" s="359"/>
      <c r="E17" s="359"/>
      <c r="F17" s="359"/>
      <c r="G17" s="359"/>
    </row>
    <row r="18" spans="1:7" ht="26.25" thickBot="1">
      <c r="A18" s="377"/>
      <c r="B18" s="378" t="s">
        <v>644</v>
      </c>
      <c r="C18" s="379" t="s">
        <v>645</v>
      </c>
      <c r="D18" s="359"/>
      <c r="E18" s="359"/>
      <c r="F18" s="359"/>
      <c r="G18" s="359"/>
    </row>
    <row r="19" spans="1:7">
      <c r="A19" s="380" t="s">
        <v>641</v>
      </c>
      <c r="B19" s="381">
        <f>SUMPRODUCT(B4:B7,$D$4:$D$7)</f>
        <v>-0.20597562878329223</v>
      </c>
      <c r="C19" s="382">
        <v>-0.2125161148549663</v>
      </c>
      <c r="D19" s="359"/>
      <c r="E19" s="359"/>
      <c r="F19" s="359"/>
      <c r="G19" s="359"/>
    </row>
    <row r="20" spans="1:7" ht="13.5" thickBot="1">
      <c r="A20" s="383" t="s">
        <v>651</v>
      </c>
      <c r="B20" s="384">
        <f>SUMPRODUCT(B12:B14,$D$12:$D$14)*E12</f>
        <v>3.1752132083201233E-2</v>
      </c>
      <c r="C20" s="376">
        <v>6.8049969230769225E-2</v>
      </c>
      <c r="D20" s="359"/>
      <c r="E20" s="359"/>
      <c r="F20" s="359"/>
      <c r="G20" s="359"/>
    </row>
    <row r="21" spans="1:7" ht="13.5" thickBot="1">
      <c r="A21" s="385" t="s">
        <v>656</v>
      </c>
      <c r="B21" s="386">
        <f>SUM(B19:B20)</f>
        <v>-0.17422349670009099</v>
      </c>
      <c r="C21" s="387">
        <v>-0.14446614562419707</v>
      </c>
      <c r="D21" s="359"/>
      <c r="E21" s="359"/>
      <c r="F21" s="359"/>
      <c r="G21" s="359"/>
    </row>
    <row r="22" spans="1:7">
      <c r="A22" s="359"/>
      <c r="B22" s="388"/>
      <c r="C22" s="388"/>
      <c r="D22" s="359"/>
      <c r="E22" s="359"/>
      <c r="F22" s="359"/>
      <c r="G22" s="359"/>
    </row>
    <row r="23" spans="1:7" ht="12.75" customHeight="1">
      <c r="A23" s="359" t="s">
        <v>657</v>
      </c>
      <c r="B23" s="388">
        <f>-B21/B28</f>
        <v>0.19698387922912527</v>
      </c>
      <c r="C23" s="388"/>
      <c r="D23" s="359"/>
      <c r="F23" s="359"/>
      <c r="G23" s="359"/>
    </row>
    <row r="24" spans="1:7">
      <c r="A24" s="359"/>
      <c r="B24" s="388"/>
      <c r="C24" s="388"/>
      <c r="D24" s="359"/>
      <c r="F24" s="359"/>
      <c r="G24" s="359"/>
    </row>
    <row r="25" spans="1:7" ht="12.75" customHeight="1">
      <c r="A25" s="359"/>
      <c r="B25" s="388"/>
      <c r="C25" s="388"/>
      <c r="D25" s="359"/>
      <c r="F25" s="359"/>
      <c r="G25" s="359"/>
    </row>
    <row r="26" spans="1:7" ht="13.5" thickBot="1"/>
    <row r="27" spans="1:7" ht="26.25" thickBot="1">
      <c r="A27" s="356" t="s">
        <v>0</v>
      </c>
      <c r="B27" s="357" t="s">
        <v>638</v>
      </c>
      <c r="C27" s="357" t="s">
        <v>482</v>
      </c>
      <c r="D27" s="358" t="s">
        <v>639</v>
      </c>
    </row>
    <row r="28" spans="1:7">
      <c r="A28" s="348" t="s">
        <v>640</v>
      </c>
      <c r="B28" s="349">
        <v>0.88445560815380153</v>
      </c>
      <c r="C28" s="349">
        <v>0.11554439184619844</v>
      </c>
      <c r="D28" s="350">
        <v>1</v>
      </c>
    </row>
  </sheetData>
  <mergeCells count="6">
    <mergeCell ref="E12:E14"/>
    <mergeCell ref="A17:C17"/>
    <mergeCell ref="A2:A3"/>
    <mergeCell ref="B2:C2"/>
    <mergeCell ref="A10:A11"/>
    <mergeCell ref="B10: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D242"/>
  <sheetViews>
    <sheetView workbookViewId="0">
      <selection activeCell="E19" sqref="E19"/>
    </sheetView>
  </sheetViews>
  <sheetFormatPr defaultRowHeight="12.75"/>
  <cols>
    <col min="1" max="2" width="21.85546875" customWidth="1"/>
    <col min="3" max="3" width="40.28515625" bestFit="1" customWidth="1"/>
    <col min="4" max="4" width="12.28515625" bestFit="1" customWidth="1"/>
    <col min="5" max="5" width="30.5703125" bestFit="1" customWidth="1"/>
  </cols>
  <sheetData>
    <row r="1" spans="1:56" ht="15.75" thickBot="1">
      <c r="A1" s="61" t="s">
        <v>801</v>
      </c>
      <c r="B1" s="61" t="s">
        <v>802</v>
      </c>
      <c r="C1" s="61" t="s">
        <v>803</v>
      </c>
      <c r="D1" s="61" t="s">
        <v>804</v>
      </c>
      <c r="E1" s="61" t="s">
        <v>805</v>
      </c>
      <c r="F1" s="61" t="s">
        <v>806</v>
      </c>
      <c r="G1" s="61" t="s">
        <v>807</v>
      </c>
      <c r="H1" s="61" t="s">
        <v>808</v>
      </c>
      <c r="I1" s="61" t="s">
        <v>75</v>
      </c>
      <c r="J1" s="61" t="s">
        <v>76</v>
      </c>
      <c r="K1" s="74">
        <v>2016</v>
      </c>
      <c r="L1" s="67">
        <v>2017</v>
      </c>
      <c r="M1" s="67">
        <v>2018</v>
      </c>
      <c r="N1" s="67">
        <v>2019</v>
      </c>
      <c r="O1" s="67">
        <v>2020</v>
      </c>
      <c r="P1" s="67">
        <v>2021</v>
      </c>
      <c r="Q1" s="67">
        <v>2022</v>
      </c>
      <c r="R1" s="67">
        <v>2023</v>
      </c>
      <c r="S1" s="67">
        <v>2024</v>
      </c>
      <c r="T1" s="67">
        <v>2025</v>
      </c>
      <c r="U1" s="67">
        <v>2026</v>
      </c>
      <c r="V1" s="67">
        <v>2027</v>
      </c>
      <c r="W1" s="67">
        <v>2028</v>
      </c>
      <c r="X1" s="67">
        <v>2029</v>
      </c>
      <c r="Y1" s="67">
        <v>2030</v>
      </c>
      <c r="Z1" s="67">
        <v>2031</v>
      </c>
      <c r="AA1" s="67">
        <v>2032</v>
      </c>
      <c r="AB1" s="67">
        <v>2033</v>
      </c>
      <c r="AC1" s="67">
        <v>2034</v>
      </c>
      <c r="AD1" s="67">
        <v>2035</v>
      </c>
      <c r="AE1" s="68" t="s">
        <v>159</v>
      </c>
      <c r="AF1" s="48" t="s">
        <v>765</v>
      </c>
      <c r="AG1" s="49"/>
      <c r="AH1" s="49"/>
      <c r="AI1" s="49"/>
      <c r="AJ1" s="49"/>
      <c r="AK1" s="49"/>
      <c r="AL1" s="49"/>
      <c r="AM1" s="49"/>
      <c r="AN1" s="49"/>
      <c r="AO1" s="49"/>
      <c r="AP1" s="49"/>
      <c r="AQ1" s="50"/>
      <c r="AR1" s="47"/>
      <c r="AS1" s="48" t="s">
        <v>766</v>
      </c>
      <c r="AT1" s="49"/>
      <c r="AU1" s="49"/>
      <c r="AV1" s="49"/>
      <c r="AW1" s="49"/>
      <c r="AX1" s="49"/>
      <c r="AY1" s="49"/>
      <c r="AZ1" s="49"/>
      <c r="BA1" s="49"/>
      <c r="BB1" s="49"/>
      <c r="BC1" s="49"/>
      <c r="BD1" s="50"/>
    </row>
    <row r="2" spans="1:56" ht="15">
      <c r="A2" s="61"/>
      <c r="B2" s="61"/>
      <c r="C2" s="61"/>
      <c r="D2" s="61"/>
      <c r="E2" s="61"/>
      <c r="F2" s="61" t="s">
        <v>767</v>
      </c>
      <c r="G2" s="61" t="s">
        <v>36</v>
      </c>
      <c r="H2" s="61" t="s">
        <v>74</v>
      </c>
      <c r="I2" s="61">
        <v>1</v>
      </c>
      <c r="J2" s="61"/>
      <c r="K2" s="75" t="str">
        <f t="shared" ref="K2:AD2" si="0">CONCATENATE("aMW_",K$1)</f>
        <v>aMW_2016</v>
      </c>
      <c r="L2" s="69" t="str">
        <f t="shared" si="0"/>
        <v>aMW_2017</v>
      </c>
      <c r="M2" s="69" t="str">
        <f t="shared" si="0"/>
        <v>aMW_2018</v>
      </c>
      <c r="N2" s="69" t="str">
        <f t="shared" si="0"/>
        <v>aMW_2019</v>
      </c>
      <c r="O2" s="69" t="str">
        <f t="shared" si="0"/>
        <v>aMW_2020</v>
      </c>
      <c r="P2" s="69" t="str">
        <f t="shared" si="0"/>
        <v>aMW_2021</v>
      </c>
      <c r="Q2" s="69" t="str">
        <f t="shared" si="0"/>
        <v>aMW_2022</v>
      </c>
      <c r="R2" s="69" t="str">
        <f t="shared" si="0"/>
        <v>aMW_2023</v>
      </c>
      <c r="S2" s="69" t="str">
        <f t="shared" si="0"/>
        <v>aMW_2024</v>
      </c>
      <c r="T2" s="69" t="str">
        <f t="shared" si="0"/>
        <v>aMW_2025</v>
      </c>
      <c r="U2" s="69" t="str">
        <f t="shared" si="0"/>
        <v>aMW_2026</v>
      </c>
      <c r="V2" s="69" t="str">
        <f t="shared" si="0"/>
        <v>aMW_2027</v>
      </c>
      <c r="W2" s="69" t="str">
        <f t="shared" si="0"/>
        <v>aMW_2028</v>
      </c>
      <c r="X2" s="69" t="str">
        <f t="shared" si="0"/>
        <v>aMW_2029</v>
      </c>
      <c r="Y2" s="69" t="str">
        <f t="shared" si="0"/>
        <v>aMW_2030</v>
      </c>
      <c r="Z2" s="69" t="str">
        <f t="shared" si="0"/>
        <v>aMW_2031</v>
      </c>
      <c r="AA2" s="69" t="str">
        <f t="shared" si="0"/>
        <v>aMW_2032</v>
      </c>
      <c r="AB2" s="69" t="str">
        <f t="shared" si="0"/>
        <v>aMW_2033</v>
      </c>
      <c r="AC2" s="69" t="str">
        <f t="shared" si="0"/>
        <v>aMW_2034</v>
      </c>
      <c r="AD2" s="69" t="str">
        <f t="shared" si="0"/>
        <v>aMW_2035</v>
      </c>
      <c r="AE2" s="70" t="s">
        <v>159</v>
      </c>
      <c r="AF2" s="53" t="s">
        <v>47</v>
      </c>
      <c r="AG2" s="53" t="s">
        <v>48</v>
      </c>
      <c r="AH2" s="53" t="s">
        <v>49</v>
      </c>
      <c r="AI2" s="53" t="s">
        <v>50</v>
      </c>
      <c r="AJ2" s="53" t="s">
        <v>51</v>
      </c>
      <c r="AK2" s="53" t="s">
        <v>52</v>
      </c>
      <c r="AL2" s="53" t="s">
        <v>53</v>
      </c>
      <c r="AM2" s="53" t="s">
        <v>54</v>
      </c>
      <c r="AN2" s="53" t="s">
        <v>55</v>
      </c>
      <c r="AO2" s="53" t="s">
        <v>56</v>
      </c>
      <c r="AP2" s="53" t="s">
        <v>57</v>
      </c>
      <c r="AQ2" s="53" t="s">
        <v>58</v>
      </c>
      <c r="AR2" s="53"/>
      <c r="AS2" s="53" t="s">
        <v>47</v>
      </c>
      <c r="AT2" s="53" t="s">
        <v>48</v>
      </c>
      <c r="AU2" s="53" t="s">
        <v>49</v>
      </c>
      <c r="AV2" s="53" t="s">
        <v>50</v>
      </c>
      <c r="AW2" s="53" t="s">
        <v>51</v>
      </c>
      <c r="AX2" s="53" t="s">
        <v>52</v>
      </c>
      <c r="AY2" s="53" t="s">
        <v>53</v>
      </c>
      <c r="AZ2" s="53" t="s">
        <v>54</v>
      </c>
      <c r="BA2" s="53" t="s">
        <v>55</v>
      </c>
      <c r="BB2" s="53" t="s">
        <v>56</v>
      </c>
      <c r="BC2" s="53" t="s">
        <v>57</v>
      </c>
      <c r="BD2" s="53" t="s">
        <v>58</v>
      </c>
    </row>
    <row r="3" spans="1:56" ht="15">
      <c r="A3" s="63" t="str">
        <f>VLOOKUP(CONCATENATE($C3," - ",$B3),[2]ACHIEV!$B$12:$C$100,2,FALSE)</f>
        <v>LO20Fast</v>
      </c>
      <c r="B3" s="63" t="str">
        <f>'SC-New'!$C$7</f>
        <v>New</v>
      </c>
      <c r="C3" s="63" t="str">
        <f>'SC-New'!$C$8</f>
        <v>Lighting</v>
      </c>
      <c r="D3" s="63" t="s">
        <v>795</v>
      </c>
      <c r="E3" s="63" t="str">
        <f>'SC-New'!$A$9</f>
        <v>Lighting</v>
      </c>
      <c r="F3" s="478">
        <f t="shared" ref="F3:F139" si="1">VLOOKUP($J3,MeasureOutput,14,FALSE)</f>
        <v>5.0254466343264623E-3</v>
      </c>
      <c r="G3" s="71">
        <f>'SC-New'!A44</f>
        <v>19.236292058718274</v>
      </c>
      <c r="H3" s="71">
        <f>'SC-New'!B44</f>
        <v>-15.059976945801358</v>
      </c>
      <c r="I3" s="1" t="str">
        <f>'SC-New'!C44</f>
        <v>Single Family</v>
      </c>
      <c r="J3" s="1" t="str">
        <f>'SC-New'!D44</f>
        <v>2016 - LEDDecorative and Mini-Base250 to 664 lumensANY</v>
      </c>
      <c r="K3" s="37">
        <f>'SC-New'!E44</f>
        <v>0.1615842375722944</v>
      </c>
      <c r="L3" s="37">
        <f>'SC-New'!F44</f>
        <v>0</v>
      </c>
      <c r="M3" s="37">
        <f>'SC-New'!G44</f>
        <v>0</v>
      </c>
      <c r="N3" s="37">
        <f>'SC-New'!H44</f>
        <v>0</v>
      </c>
      <c r="O3" s="37">
        <f>'SC-New'!I44</f>
        <v>0</v>
      </c>
      <c r="P3" s="37">
        <f>'SC-New'!J44</f>
        <v>0</v>
      </c>
      <c r="Q3" s="37">
        <f>'SC-New'!K44</f>
        <v>0</v>
      </c>
      <c r="R3" s="37">
        <f>'SC-New'!L44</f>
        <v>0</v>
      </c>
      <c r="S3" s="37">
        <f>'SC-New'!M44</f>
        <v>0</v>
      </c>
      <c r="T3" s="37">
        <f>'SC-New'!N44</f>
        <v>0</v>
      </c>
      <c r="U3" s="37">
        <f>'SC-New'!O44</f>
        <v>0</v>
      </c>
      <c r="V3" s="37">
        <f>'SC-New'!P44</f>
        <v>0</v>
      </c>
      <c r="W3" s="37">
        <f>'SC-New'!Q44</f>
        <v>0</v>
      </c>
      <c r="X3" s="37">
        <f>'SC-New'!R44</f>
        <v>0</v>
      </c>
      <c r="Y3" s="37">
        <f>'SC-New'!S44</f>
        <v>0</v>
      </c>
      <c r="Z3" s="37">
        <f>'SC-New'!T44</f>
        <v>0</v>
      </c>
      <c r="AA3" s="37">
        <f>'SC-New'!U44</f>
        <v>0</v>
      </c>
      <c r="AB3" s="37">
        <f>'SC-New'!V44</f>
        <v>0</v>
      </c>
      <c r="AC3" s="37">
        <f>'SC-New'!W44</f>
        <v>0</v>
      </c>
      <c r="AD3" s="37">
        <f>'SC-New'!X44</f>
        <v>0</v>
      </c>
      <c r="AE3" s="37">
        <f>'SC-New'!Y44</f>
        <v>0.1615842375722944</v>
      </c>
      <c r="AF3" s="479">
        <f t="shared" ref="AF3:AF139" si="2">VLOOKUP($J3,MeasureOutput,15,FALSE)</f>
        <v>1.3763331088755877</v>
      </c>
      <c r="AG3" s="479">
        <f t="shared" ref="AG3:AG139" si="3">VLOOKUP($J3,MeasureOutput,16,FALSE)</f>
        <v>1.0946729129136159</v>
      </c>
      <c r="AH3" s="479">
        <f t="shared" ref="AH3:AH139" si="4">VLOOKUP($J3,MeasureOutput,17,FALSE)</f>
        <v>1.10596842097751</v>
      </c>
      <c r="AI3" s="479">
        <f t="shared" ref="AI3:AI139" si="5">VLOOKUP($J3,MeasureOutput,18,FALSE)</f>
        <v>0.90199850982713226</v>
      </c>
      <c r="AJ3" s="479">
        <f t="shared" ref="AJ3:AJ139" si="6">VLOOKUP($J3,MeasureOutput,19,FALSE)</f>
        <v>0.8213510905085285</v>
      </c>
      <c r="AK3" s="479">
        <f t="shared" ref="AK3:AK139" si="7">VLOOKUP($J3,MeasureOutput,20,FALSE)</f>
        <v>0.84395611939220683</v>
      </c>
      <c r="AL3" s="479">
        <f t="shared" ref="AL3:AL139" si="8">VLOOKUP($J3,MeasureOutput,21,FALSE)</f>
        <v>0.69650888416077883</v>
      </c>
      <c r="AM3" s="479">
        <f t="shared" ref="AM3:AM139" si="9">VLOOKUP($J3,MeasureOutput,22,FALSE)</f>
        <v>0.79447386889558136</v>
      </c>
      <c r="AN3" s="479">
        <f t="shared" ref="AN3:AN139" si="10">VLOOKUP($J3,MeasureOutput,23,FALSE)</f>
        <v>0.87483573463123632</v>
      </c>
      <c r="AO3" s="479">
        <f t="shared" ref="AO3:AO139" si="11">VLOOKUP($J3,MeasureOutput,24,FALSE)</f>
        <v>1.2767468561222706</v>
      </c>
      <c r="AP3" s="479">
        <f t="shared" ref="AP3:AP139" si="12">VLOOKUP($J3,MeasureOutput,25,FALSE)</f>
        <v>1.2888332260572761</v>
      </c>
      <c r="AQ3" s="479">
        <f t="shared" ref="AQ3:AQ139" si="13">VLOOKUP($J3,MeasureOutput,26,FALSE)</f>
        <v>1.4148838032011544</v>
      </c>
      <c r="AR3" s="479"/>
      <c r="AS3" s="479">
        <f t="shared" ref="AS3:AS139" si="14">VLOOKUP($J3,MeasureOutput,28,FALSE)</f>
        <v>0.71800903353135914</v>
      </c>
      <c r="AT3" s="479">
        <f t="shared" ref="AT3:AT139" si="15">VLOOKUP($J3,MeasureOutput,29,FALSE)</f>
        <v>0.55182399385616432</v>
      </c>
      <c r="AU3" s="479">
        <f t="shared" ref="AU3:AU139" si="16">VLOOKUP($J3,MeasureOutput,30,FALSE)</f>
        <v>0.5143194225763198</v>
      </c>
      <c r="AV3" s="479">
        <f t="shared" ref="AV3:AV139" si="17">VLOOKUP($J3,MeasureOutput,31,FALSE)</f>
        <v>0.50452207163582741</v>
      </c>
      <c r="AW3" s="479">
        <f t="shared" ref="AW3:AW139" si="18">VLOOKUP($J3,MeasureOutput,32,FALSE)</f>
        <v>0.49018445281257317</v>
      </c>
      <c r="AX3" s="479">
        <f t="shared" ref="AX3:AX139" si="19">VLOOKUP($J3,MeasureOutput,33,FALSE)</f>
        <v>0.45840866289244864</v>
      </c>
      <c r="AY3" s="479">
        <f t="shared" ref="AY3:AY139" si="20">VLOOKUP($J3,MeasureOutput,34,FALSE)</f>
        <v>0.52295507315804879</v>
      </c>
      <c r="AZ3" s="479">
        <f t="shared" ref="AZ3:AZ139" si="21">VLOOKUP($J3,MeasureOutput,35,FALSE)</f>
        <v>0.47308987382783491</v>
      </c>
      <c r="BA3" s="479">
        <f t="shared" ref="BA3:BA139" si="22">VLOOKUP($J3,MeasureOutput,36,FALSE)</f>
        <v>0.54834070088478171</v>
      </c>
      <c r="BB3" s="479">
        <f t="shared" ref="BB3:BB139" si="23">VLOOKUP($J3,MeasureOutput,37,FALSE)</f>
        <v>0.54512559911926328</v>
      </c>
      <c r="BC3" s="479">
        <f t="shared" ref="BC3:BC139" si="24">VLOOKUP($J3,MeasureOutput,38,FALSE)</f>
        <v>0.68654981223644318</v>
      </c>
      <c r="BD3" s="479">
        <f t="shared" ref="BD3:BD139" si="25">VLOOKUP($J3,MeasureOutput,39,FALSE)</f>
        <v>0.73240082662432637</v>
      </c>
    </row>
    <row r="4" spans="1:56" ht="15">
      <c r="A4" s="63" t="str">
        <f>VLOOKUP(CONCATENATE($C4," - ",$B4),[2]ACHIEV!$B$12:$C$100,2,FALSE)</f>
        <v>LO20Fast</v>
      </c>
      <c r="B4" s="63" t="str">
        <f>'SC-New'!$C$7</f>
        <v>New</v>
      </c>
      <c r="C4" s="63" t="str">
        <f>'SC-New'!$C$8</f>
        <v>Lighting</v>
      </c>
      <c r="D4" s="63" t="s">
        <v>795</v>
      </c>
      <c r="E4" s="63" t="str">
        <f>'SC-New'!$A$9</f>
        <v>Lighting</v>
      </c>
      <c r="F4" s="478">
        <f t="shared" si="1"/>
        <v>3.7860143455178382E-3</v>
      </c>
      <c r="G4" s="71">
        <f>'SC-New'!A45</f>
        <v>14.492020906444102</v>
      </c>
      <c r="H4" s="71">
        <f>'SC-New'!B45</f>
        <v>-3.5286913755547569</v>
      </c>
      <c r="I4" s="1" t="str">
        <f>'SC-New'!C45</f>
        <v>Single Family</v>
      </c>
      <c r="J4" s="1" t="str">
        <f>'SC-New'!D45</f>
        <v>2016 - LEDDecorative and Mini-Base665 to 1439 lumensANY</v>
      </c>
      <c r="K4" s="37">
        <f>'SC-New'!E45</f>
        <v>3.3387861443476094E-2</v>
      </c>
      <c r="L4" s="37">
        <f>'SC-New'!F45</f>
        <v>0</v>
      </c>
      <c r="M4" s="37">
        <f>'SC-New'!G45</f>
        <v>0</v>
      </c>
      <c r="N4" s="37">
        <f>'SC-New'!H45</f>
        <v>0</v>
      </c>
      <c r="O4" s="37">
        <f>'SC-New'!I45</f>
        <v>0</v>
      </c>
      <c r="P4" s="37">
        <f>'SC-New'!J45</f>
        <v>0</v>
      </c>
      <c r="Q4" s="37">
        <f>'SC-New'!K45</f>
        <v>0</v>
      </c>
      <c r="R4" s="37">
        <f>'SC-New'!L45</f>
        <v>0</v>
      </c>
      <c r="S4" s="37">
        <f>'SC-New'!M45</f>
        <v>0</v>
      </c>
      <c r="T4" s="37">
        <f>'SC-New'!N45</f>
        <v>0</v>
      </c>
      <c r="U4" s="37">
        <f>'SC-New'!O45</f>
        <v>0</v>
      </c>
      <c r="V4" s="37">
        <f>'SC-New'!P45</f>
        <v>0</v>
      </c>
      <c r="W4" s="37">
        <f>'SC-New'!Q45</f>
        <v>0</v>
      </c>
      <c r="X4" s="37">
        <f>'SC-New'!R45</f>
        <v>0</v>
      </c>
      <c r="Y4" s="37">
        <f>'SC-New'!S45</f>
        <v>0</v>
      </c>
      <c r="Z4" s="37">
        <f>'SC-New'!T45</f>
        <v>0</v>
      </c>
      <c r="AA4" s="37">
        <f>'SC-New'!U45</f>
        <v>0</v>
      </c>
      <c r="AB4" s="37">
        <f>'SC-New'!V45</f>
        <v>0</v>
      </c>
      <c r="AC4" s="37">
        <f>'SC-New'!W45</f>
        <v>0</v>
      </c>
      <c r="AD4" s="37">
        <f>'SC-New'!X45</f>
        <v>0</v>
      </c>
      <c r="AE4" s="37">
        <f>'SC-New'!Y45</f>
        <v>3.3387861443476094E-2</v>
      </c>
      <c r="AF4" s="479">
        <f t="shared" si="2"/>
        <v>1.0368863254504586</v>
      </c>
      <c r="AG4" s="479">
        <f t="shared" si="3"/>
        <v>0.8246923414989582</v>
      </c>
      <c r="AH4" s="479">
        <f t="shared" si="4"/>
        <v>0.83320202405686417</v>
      </c>
      <c r="AI4" s="479">
        <f t="shared" si="5"/>
        <v>0.67953747125979169</v>
      </c>
      <c r="AJ4" s="479">
        <f t="shared" si="6"/>
        <v>0.61878022743918382</v>
      </c>
      <c r="AK4" s="479">
        <f t="shared" si="7"/>
        <v>0.63581014932709601</v>
      </c>
      <c r="AL4" s="479">
        <f t="shared" si="8"/>
        <v>0.52472801306878369</v>
      </c>
      <c r="AM4" s="479">
        <f t="shared" si="9"/>
        <v>0.59853176914311479</v>
      </c>
      <c r="AN4" s="479">
        <f t="shared" si="10"/>
        <v>0.65907388582376392</v>
      </c>
      <c r="AO4" s="479">
        <f t="shared" si="11"/>
        <v>0.96186115674901895</v>
      </c>
      <c r="AP4" s="479">
        <f t="shared" si="12"/>
        <v>0.97096664990988701</v>
      </c>
      <c r="AQ4" s="479">
        <f t="shared" si="13"/>
        <v>1.065929213051598</v>
      </c>
      <c r="AR4" s="479"/>
      <c r="AS4" s="479">
        <f t="shared" si="14"/>
        <v>0.5409255532817846</v>
      </c>
      <c r="AT4" s="479">
        <f t="shared" si="15"/>
        <v>0.41572694109812058</v>
      </c>
      <c r="AU4" s="479">
        <f t="shared" si="16"/>
        <v>0.3874721698867219</v>
      </c>
      <c r="AV4" s="479">
        <f t="shared" si="17"/>
        <v>0.38009115205729899</v>
      </c>
      <c r="AW4" s="479">
        <f t="shared" si="18"/>
        <v>0.36928963838195134</v>
      </c>
      <c r="AX4" s="479">
        <f t="shared" si="19"/>
        <v>0.34535075190447584</v>
      </c>
      <c r="AY4" s="479">
        <f t="shared" si="20"/>
        <v>0.39397799899293179</v>
      </c>
      <c r="AZ4" s="479">
        <f t="shared" si="21"/>
        <v>0.35641111713276868</v>
      </c>
      <c r="BA4" s="479">
        <f t="shared" si="22"/>
        <v>0.41310273709817824</v>
      </c>
      <c r="BB4" s="479">
        <f t="shared" si="23"/>
        <v>0.41068057996623142</v>
      </c>
      <c r="BC4" s="479">
        <f t="shared" si="24"/>
        <v>0.51722515970724714</v>
      </c>
      <c r="BD4" s="479">
        <f t="shared" si="25"/>
        <v>0.55176788015787159</v>
      </c>
    </row>
    <row r="5" spans="1:56" ht="15">
      <c r="A5" s="63" t="str">
        <f>VLOOKUP(CONCATENATE($C5," - ",$B5),[2]ACHIEV!$B$12:$C$100,2,FALSE)</f>
        <v>LO20Fast</v>
      </c>
      <c r="B5" s="63" t="str">
        <f>'SC-New'!$C$7</f>
        <v>New</v>
      </c>
      <c r="C5" s="63" t="str">
        <f>'SC-New'!$C$8</f>
        <v>Lighting</v>
      </c>
      <c r="D5" s="63" t="s">
        <v>795</v>
      </c>
      <c r="E5" s="63" t="str">
        <f>'SC-New'!$A$9</f>
        <v>Lighting</v>
      </c>
      <c r="F5" s="478">
        <f t="shared" si="1"/>
        <v>1.8749503794567041E-3</v>
      </c>
      <c r="G5" s="71">
        <f>'SC-New'!A46</f>
        <v>7.1768930642853626</v>
      </c>
      <c r="H5" s="71">
        <f>'SC-New'!B46</f>
        <v>355.22288385759038</v>
      </c>
      <c r="I5" s="1" t="str">
        <f>'SC-New'!C46</f>
        <v>Single Family</v>
      </c>
      <c r="J5" s="1" t="str">
        <f>'SC-New'!D46</f>
        <v>2016 - LEDDecorative and Mini-Base1440 to 2600 lumensANY</v>
      </c>
      <c r="K5" s="37">
        <f>'SC-New'!E46</f>
        <v>3.2484845637821845E-4</v>
      </c>
      <c r="L5" s="37">
        <f>'SC-New'!F46</f>
        <v>0</v>
      </c>
      <c r="M5" s="37">
        <f>'SC-New'!G46</f>
        <v>0</v>
      </c>
      <c r="N5" s="37">
        <f>'SC-New'!H46</f>
        <v>0</v>
      </c>
      <c r="O5" s="37">
        <f>'SC-New'!I46</f>
        <v>0</v>
      </c>
      <c r="P5" s="37">
        <f>'SC-New'!J46</f>
        <v>0</v>
      </c>
      <c r="Q5" s="37">
        <f>'SC-New'!K46</f>
        <v>0</v>
      </c>
      <c r="R5" s="37">
        <f>'SC-New'!L46</f>
        <v>0</v>
      </c>
      <c r="S5" s="37">
        <f>'SC-New'!M46</f>
        <v>0</v>
      </c>
      <c r="T5" s="37">
        <f>'SC-New'!N46</f>
        <v>0</v>
      </c>
      <c r="U5" s="37">
        <f>'SC-New'!O46</f>
        <v>0</v>
      </c>
      <c r="V5" s="37">
        <f>'SC-New'!P46</f>
        <v>0</v>
      </c>
      <c r="W5" s="37">
        <f>'SC-New'!Q46</f>
        <v>0</v>
      </c>
      <c r="X5" s="37">
        <f>'SC-New'!R46</f>
        <v>0</v>
      </c>
      <c r="Y5" s="37">
        <f>'SC-New'!S46</f>
        <v>0</v>
      </c>
      <c r="Z5" s="37">
        <f>'SC-New'!T46</f>
        <v>0</v>
      </c>
      <c r="AA5" s="37">
        <f>'SC-New'!U46</f>
        <v>0</v>
      </c>
      <c r="AB5" s="37">
        <f>'SC-New'!V46</f>
        <v>0</v>
      </c>
      <c r="AC5" s="37">
        <f>'SC-New'!W46</f>
        <v>0</v>
      </c>
      <c r="AD5" s="37">
        <f>'SC-New'!X46</f>
        <v>0</v>
      </c>
      <c r="AE5" s="37">
        <f>'SC-New'!Y46</f>
        <v>3.2484845637821845E-4</v>
      </c>
      <c r="AF5" s="479">
        <f t="shared" si="2"/>
        <v>0.51349789829993253</v>
      </c>
      <c r="AG5" s="479">
        <f t="shared" si="3"/>
        <v>0.40841293178381172</v>
      </c>
      <c r="AH5" s="479">
        <f t="shared" si="4"/>
        <v>0.41262718748516447</v>
      </c>
      <c r="AI5" s="479">
        <f t="shared" si="5"/>
        <v>0.33652778973274827</v>
      </c>
      <c r="AJ5" s="479">
        <f t="shared" si="6"/>
        <v>0.30643893983415893</v>
      </c>
      <c r="AK5" s="479">
        <f t="shared" si="7"/>
        <v>0.31487267927406898</v>
      </c>
      <c r="AL5" s="479">
        <f t="shared" si="8"/>
        <v>0.25986139972755762</v>
      </c>
      <c r="AM5" s="479">
        <f t="shared" si="9"/>
        <v>0.29641128248770077</v>
      </c>
      <c r="AN5" s="479">
        <f t="shared" si="10"/>
        <v>0.32639359483099145</v>
      </c>
      <c r="AO5" s="479">
        <f t="shared" si="11"/>
        <v>0.47634313455950961</v>
      </c>
      <c r="AP5" s="479">
        <f t="shared" si="12"/>
        <v>0.4808524539384289</v>
      </c>
      <c r="AQ5" s="479">
        <f t="shared" si="13"/>
        <v>0.52788082666700065</v>
      </c>
      <c r="AR5" s="479"/>
      <c r="AS5" s="479">
        <f t="shared" si="14"/>
        <v>0.26788291824203048</v>
      </c>
      <c r="AT5" s="479">
        <f t="shared" si="15"/>
        <v>0.20588072701971843</v>
      </c>
      <c r="AU5" s="479">
        <f t="shared" si="16"/>
        <v>0.19188809805174015</v>
      </c>
      <c r="AV5" s="479">
        <f t="shared" si="17"/>
        <v>0.18823279172770654</v>
      </c>
      <c r="AW5" s="479">
        <f t="shared" si="18"/>
        <v>0.18288355099166023</v>
      </c>
      <c r="AX5" s="479">
        <f t="shared" si="19"/>
        <v>0.17102828046479313</v>
      </c>
      <c r="AY5" s="479">
        <f t="shared" si="20"/>
        <v>0.19510998408759461</v>
      </c>
      <c r="AZ5" s="479">
        <f t="shared" si="21"/>
        <v>0.17650571242599744</v>
      </c>
      <c r="BA5" s="479">
        <f t="shared" si="22"/>
        <v>0.20458114074337783</v>
      </c>
      <c r="BB5" s="479">
        <f t="shared" si="23"/>
        <v>0.20338161427063109</v>
      </c>
      <c r="BC5" s="479">
        <f t="shared" si="24"/>
        <v>0.25614575671266115</v>
      </c>
      <c r="BD5" s="479">
        <f t="shared" si="25"/>
        <v>0.27325237092637639</v>
      </c>
    </row>
    <row r="6" spans="1:56" ht="15">
      <c r="A6" s="63" t="str">
        <f>VLOOKUP(CONCATENATE($C6," - ",$B6),[2]ACHIEV!$B$12:$C$100,2,FALSE)</f>
        <v>LO20Fast</v>
      </c>
      <c r="B6" s="63" t="str">
        <f>'SC-New'!$C$7</f>
        <v>New</v>
      </c>
      <c r="C6" s="63" t="str">
        <f>'SC-New'!$C$8</f>
        <v>Lighting</v>
      </c>
      <c r="D6" s="63" t="s">
        <v>795</v>
      </c>
      <c r="E6" s="63" t="str">
        <f>'SC-New'!$A$9</f>
        <v>Lighting</v>
      </c>
      <c r="F6" s="478">
        <f t="shared" si="1"/>
        <v>4.7955325150829165E-4</v>
      </c>
      <c r="G6" s="71">
        <f>'SC-New'!A47</f>
        <v>1.835623194306955</v>
      </c>
      <c r="H6" s="71">
        <f>'SC-New'!B47</f>
        <v>45.354656455601045</v>
      </c>
      <c r="I6" s="1" t="str">
        <f>'SC-New'!C47</f>
        <v>Single Family</v>
      </c>
      <c r="J6" s="1" t="str">
        <f>'SC-New'!D47</f>
        <v>2016 - LEDGeneral Purpose and Dimmable250 to 664 lumensANY</v>
      </c>
      <c r="K6" s="37">
        <f>'SC-New'!E47</f>
        <v>1.2875771216382517E-2</v>
      </c>
      <c r="L6" s="37">
        <f>'SC-New'!F47</f>
        <v>0</v>
      </c>
      <c r="M6" s="37">
        <f>'SC-New'!G47</f>
        <v>0</v>
      </c>
      <c r="N6" s="37">
        <f>'SC-New'!H47</f>
        <v>0</v>
      </c>
      <c r="O6" s="37">
        <f>'SC-New'!I47</f>
        <v>0</v>
      </c>
      <c r="P6" s="37">
        <f>'SC-New'!J47</f>
        <v>0</v>
      </c>
      <c r="Q6" s="37">
        <f>'SC-New'!K47</f>
        <v>0</v>
      </c>
      <c r="R6" s="37">
        <f>'SC-New'!L47</f>
        <v>0</v>
      </c>
      <c r="S6" s="37">
        <f>'SC-New'!M47</f>
        <v>0</v>
      </c>
      <c r="T6" s="37">
        <f>'SC-New'!N47</f>
        <v>0</v>
      </c>
      <c r="U6" s="37">
        <f>'SC-New'!O47</f>
        <v>0</v>
      </c>
      <c r="V6" s="37">
        <f>'SC-New'!P47</f>
        <v>0</v>
      </c>
      <c r="W6" s="37">
        <f>'SC-New'!Q47</f>
        <v>0</v>
      </c>
      <c r="X6" s="37">
        <f>'SC-New'!R47</f>
        <v>0</v>
      </c>
      <c r="Y6" s="37">
        <f>'SC-New'!S47</f>
        <v>0</v>
      </c>
      <c r="Z6" s="37">
        <f>'SC-New'!T47</f>
        <v>0</v>
      </c>
      <c r="AA6" s="37">
        <f>'SC-New'!U47</f>
        <v>0</v>
      </c>
      <c r="AB6" s="37">
        <f>'SC-New'!V47</f>
        <v>0</v>
      </c>
      <c r="AC6" s="37">
        <f>'SC-New'!W47</f>
        <v>0</v>
      </c>
      <c r="AD6" s="37">
        <f>'SC-New'!X47</f>
        <v>0</v>
      </c>
      <c r="AE6" s="37">
        <f>'SC-New'!Y47</f>
        <v>1.2875771216382517E-2</v>
      </c>
      <c r="AF6" s="479">
        <f t="shared" si="2"/>
        <v>0.13133658867482209</v>
      </c>
      <c r="AG6" s="479">
        <f t="shared" si="3"/>
        <v>0.10445916411489954</v>
      </c>
      <c r="AH6" s="479">
        <f t="shared" si="4"/>
        <v>0.1055370379863439</v>
      </c>
      <c r="AI6" s="479">
        <f t="shared" si="5"/>
        <v>8.6073208953935804E-2</v>
      </c>
      <c r="AJ6" s="479">
        <f t="shared" si="6"/>
        <v>7.837742886230771E-2</v>
      </c>
      <c r="AK6" s="479">
        <f t="shared" si="7"/>
        <v>8.0534513772445179E-2</v>
      </c>
      <c r="AL6" s="479">
        <f t="shared" si="8"/>
        <v>6.6464361161896968E-2</v>
      </c>
      <c r="AM6" s="479">
        <f t="shared" si="9"/>
        <v>7.5812669955515485E-2</v>
      </c>
      <c r="AN6" s="479">
        <f t="shared" si="10"/>
        <v>8.3481201096125474E-2</v>
      </c>
      <c r="AO6" s="479">
        <f t="shared" si="11"/>
        <v>0.12183357037846314</v>
      </c>
      <c r="AP6" s="479">
        <f t="shared" si="12"/>
        <v>0.12298691224496987</v>
      </c>
      <c r="AQ6" s="479">
        <f t="shared" si="13"/>
        <v>0.13501528873014673</v>
      </c>
      <c r="AR6" s="479"/>
      <c r="AS6" s="479">
        <f t="shared" si="14"/>
        <v>6.851601294308389E-2</v>
      </c>
      <c r="AT6" s="479">
        <f t="shared" si="15"/>
        <v>5.2657805319523042E-2</v>
      </c>
      <c r="AU6" s="479">
        <f t="shared" si="16"/>
        <v>4.9078931557174459E-2</v>
      </c>
      <c r="AV6" s="479">
        <f t="shared" si="17"/>
        <v>4.8144019331146884E-2</v>
      </c>
      <c r="AW6" s="479">
        <f t="shared" si="18"/>
        <v>4.6775852036599626E-2</v>
      </c>
      <c r="AX6" s="479">
        <f t="shared" si="19"/>
        <v>4.3743647242829607E-2</v>
      </c>
      <c r="AY6" s="479">
        <f t="shared" si="20"/>
        <v>4.99029885249812E-2</v>
      </c>
      <c r="AZ6" s="479">
        <f t="shared" si="21"/>
        <v>4.5144601815116529E-2</v>
      </c>
      <c r="BA6" s="479">
        <f t="shared" si="22"/>
        <v>5.2325412083273619E-2</v>
      </c>
      <c r="BB6" s="479">
        <f t="shared" si="23"/>
        <v>5.2018610993186824E-2</v>
      </c>
      <c r="BC6" s="479">
        <f t="shared" si="24"/>
        <v>6.5514016710779291E-2</v>
      </c>
      <c r="BD6" s="479">
        <f t="shared" si="25"/>
        <v>6.98893498173878E-2</v>
      </c>
    </row>
    <row r="7" spans="1:56" ht="15">
      <c r="A7" s="63" t="str">
        <f>VLOOKUP(CONCATENATE($C7," - ",$B7),[2]ACHIEV!$B$12:$C$100,2,FALSE)</f>
        <v>LO20Fast</v>
      </c>
      <c r="B7" s="63" t="str">
        <f>'SC-New'!$C$7</f>
        <v>New</v>
      </c>
      <c r="C7" s="63" t="str">
        <f>'SC-New'!$C$8</f>
        <v>Lighting</v>
      </c>
      <c r="D7" s="63" t="s">
        <v>795</v>
      </c>
      <c r="E7" s="63" t="str">
        <f>'SC-New'!$A$9</f>
        <v>Lighting</v>
      </c>
      <c r="F7" s="478">
        <f t="shared" si="1"/>
        <v>1.8717307205817217E-3</v>
      </c>
      <c r="G7" s="71">
        <f>'SC-New'!A48</f>
        <v>7.1645689261628798</v>
      </c>
      <c r="H7" s="71">
        <f>'SC-New'!B48</f>
        <v>56.611757463143533</v>
      </c>
      <c r="I7" s="1" t="str">
        <f>'SC-New'!C48</f>
        <v>Single Family</v>
      </c>
      <c r="J7" s="1" t="str">
        <f>'SC-New'!D48</f>
        <v>2016 - LEDGeneral Purpose and Dimmable665 to 1439 lumensANY</v>
      </c>
      <c r="K7" s="37">
        <f>'SC-New'!E48</f>
        <v>0.38779130543257134</v>
      </c>
      <c r="L7" s="37">
        <f>'SC-New'!F48</f>
        <v>0</v>
      </c>
      <c r="M7" s="37">
        <f>'SC-New'!G48</f>
        <v>0</v>
      </c>
      <c r="N7" s="37">
        <f>'SC-New'!H48</f>
        <v>0</v>
      </c>
      <c r="O7" s="37">
        <f>'SC-New'!I48</f>
        <v>0</v>
      </c>
      <c r="P7" s="37">
        <f>'SC-New'!J48</f>
        <v>0</v>
      </c>
      <c r="Q7" s="37">
        <f>'SC-New'!K48</f>
        <v>0</v>
      </c>
      <c r="R7" s="37">
        <f>'SC-New'!L48</f>
        <v>0</v>
      </c>
      <c r="S7" s="37">
        <f>'SC-New'!M48</f>
        <v>0</v>
      </c>
      <c r="T7" s="37">
        <f>'SC-New'!N48</f>
        <v>0</v>
      </c>
      <c r="U7" s="37">
        <f>'SC-New'!O48</f>
        <v>0</v>
      </c>
      <c r="V7" s="37">
        <f>'SC-New'!P48</f>
        <v>0</v>
      </c>
      <c r="W7" s="37">
        <f>'SC-New'!Q48</f>
        <v>0</v>
      </c>
      <c r="X7" s="37">
        <f>'SC-New'!R48</f>
        <v>0</v>
      </c>
      <c r="Y7" s="37">
        <f>'SC-New'!S48</f>
        <v>0</v>
      </c>
      <c r="Z7" s="37">
        <f>'SC-New'!T48</f>
        <v>0</v>
      </c>
      <c r="AA7" s="37">
        <f>'SC-New'!U48</f>
        <v>0</v>
      </c>
      <c r="AB7" s="37">
        <f>'SC-New'!V48</f>
        <v>0</v>
      </c>
      <c r="AC7" s="37">
        <f>'SC-New'!W48</f>
        <v>0</v>
      </c>
      <c r="AD7" s="37">
        <f>'SC-New'!X48</f>
        <v>0</v>
      </c>
      <c r="AE7" s="37">
        <f>'SC-New'!Y48</f>
        <v>0.38779130543257134</v>
      </c>
      <c r="AF7" s="479">
        <f t="shared" si="2"/>
        <v>0.5126161213293734</v>
      </c>
      <c r="AG7" s="479">
        <f t="shared" si="3"/>
        <v>0.40771160638614634</v>
      </c>
      <c r="AH7" s="479">
        <f t="shared" si="4"/>
        <v>0.41191862538090729</v>
      </c>
      <c r="AI7" s="479">
        <f t="shared" si="5"/>
        <v>0.33594990527417118</v>
      </c>
      <c r="AJ7" s="479">
        <f t="shared" si="6"/>
        <v>0.3059127238536789</v>
      </c>
      <c r="AK7" s="479">
        <f t="shared" si="7"/>
        <v>0.31433198090283632</v>
      </c>
      <c r="AL7" s="479">
        <f t="shared" si="8"/>
        <v>0.25941516655196784</v>
      </c>
      <c r="AM7" s="479">
        <f t="shared" si="9"/>
        <v>0.2959022859687726</v>
      </c>
      <c r="AN7" s="479">
        <f t="shared" si="10"/>
        <v>0.32583311277992005</v>
      </c>
      <c r="AO7" s="479">
        <f t="shared" si="11"/>
        <v>0.47552515963199937</v>
      </c>
      <c r="AP7" s="479">
        <f t="shared" si="12"/>
        <v>0.48002673562191084</v>
      </c>
      <c r="AQ7" s="479">
        <f t="shared" si="13"/>
        <v>0.52697435137723647</v>
      </c>
      <c r="AR7" s="479"/>
      <c r="AS7" s="479">
        <f t="shared" si="14"/>
        <v>0.26742291054016054</v>
      </c>
      <c r="AT7" s="479">
        <f t="shared" si="15"/>
        <v>0.20552718928496042</v>
      </c>
      <c r="AU7" s="479">
        <f t="shared" si="16"/>
        <v>0.19155858841529055</v>
      </c>
      <c r="AV7" s="479">
        <f t="shared" si="17"/>
        <v>0.18790955897174189</v>
      </c>
      <c r="AW7" s="479">
        <f t="shared" si="18"/>
        <v>0.18256950393500734</v>
      </c>
      <c r="AX7" s="479">
        <f t="shared" si="19"/>
        <v>0.17073459124127832</v>
      </c>
      <c r="AY7" s="479">
        <f t="shared" si="20"/>
        <v>0.19477494183861133</v>
      </c>
      <c r="AZ7" s="479">
        <f t="shared" si="21"/>
        <v>0.17620261737360352</v>
      </c>
      <c r="BA7" s="479">
        <f t="shared" si="22"/>
        <v>0.20422983465407252</v>
      </c>
      <c r="BB7" s="479">
        <f t="shared" si="23"/>
        <v>0.20303236800439955</v>
      </c>
      <c r="BC7" s="479">
        <f t="shared" si="24"/>
        <v>0.25570590402753146</v>
      </c>
      <c r="BD7" s="479">
        <f t="shared" si="25"/>
        <v>0.27278314281730076</v>
      </c>
    </row>
    <row r="8" spans="1:56" ht="15">
      <c r="A8" s="63" t="str">
        <f>VLOOKUP(CONCATENATE($C8," - ",$B8),[2]ACHIEV!$B$12:$C$100,2,FALSE)</f>
        <v>LO20Fast</v>
      </c>
      <c r="B8" s="63" t="str">
        <f>'SC-New'!$C$7</f>
        <v>New</v>
      </c>
      <c r="C8" s="63" t="str">
        <f>'SC-New'!$C$8</f>
        <v>Lighting</v>
      </c>
      <c r="D8" s="63" t="s">
        <v>795</v>
      </c>
      <c r="E8" s="63" t="str">
        <f>'SC-New'!$A$9</f>
        <v>Lighting</v>
      </c>
      <c r="F8" s="478">
        <f t="shared" si="1"/>
        <v>3.4972440175301935E-3</v>
      </c>
      <c r="G8" s="71">
        <f>'SC-New'!A49</f>
        <v>13.386672313322151</v>
      </c>
      <c r="H8" s="71">
        <f>'SC-New'!B49</f>
        <v>91.063681093838966</v>
      </c>
      <c r="I8" s="1" t="str">
        <f>'SC-New'!C49</f>
        <v>Single Family</v>
      </c>
      <c r="J8" s="1" t="str">
        <f>'SC-New'!D49</f>
        <v>2016 - LEDGeneral Purpose and Dimmable1440 to 2600 lumensANY</v>
      </c>
      <c r="K8" s="37">
        <f>'SC-New'!E49</f>
        <v>7.2240605652077211E-2</v>
      </c>
      <c r="L8" s="37">
        <f>'SC-New'!F49</f>
        <v>0</v>
      </c>
      <c r="M8" s="37">
        <f>'SC-New'!G49</f>
        <v>0</v>
      </c>
      <c r="N8" s="37">
        <f>'SC-New'!H49</f>
        <v>0</v>
      </c>
      <c r="O8" s="37">
        <f>'SC-New'!I49</f>
        <v>0</v>
      </c>
      <c r="P8" s="37">
        <f>'SC-New'!J49</f>
        <v>0</v>
      </c>
      <c r="Q8" s="37">
        <f>'SC-New'!K49</f>
        <v>0</v>
      </c>
      <c r="R8" s="37">
        <f>'SC-New'!L49</f>
        <v>0</v>
      </c>
      <c r="S8" s="37">
        <f>'SC-New'!M49</f>
        <v>0</v>
      </c>
      <c r="T8" s="37">
        <f>'SC-New'!N49</f>
        <v>0</v>
      </c>
      <c r="U8" s="37">
        <f>'SC-New'!O49</f>
        <v>0</v>
      </c>
      <c r="V8" s="37">
        <f>'SC-New'!P49</f>
        <v>0</v>
      </c>
      <c r="W8" s="37">
        <f>'SC-New'!Q49</f>
        <v>0</v>
      </c>
      <c r="X8" s="37">
        <f>'SC-New'!R49</f>
        <v>0</v>
      </c>
      <c r="Y8" s="37">
        <f>'SC-New'!S49</f>
        <v>0</v>
      </c>
      <c r="Z8" s="37">
        <f>'SC-New'!T49</f>
        <v>0</v>
      </c>
      <c r="AA8" s="37">
        <f>'SC-New'!U49</f>
        <v>0</v>
      </c>
      <c r="AB8" s="37">
        <f>'SC-New'!V49</f>
        <v>0</v>
      </c>
      <c r="AC8" s="37">
        <f>'SC-New'!W49</f>
        <v>0</v>
      </c>
      <c r="AD8" s="37">
        <f>'SC-New'!X49</f>
        <v>0</v>
      </c>
      <c r="AE8" s="37">
        <f>'SC-New'!Y49</f>
        <v>7.2240605652077211E-2</v>
      </c>
      <c r="AF8" s="479">
        <f t="shared" si="2"/>
        <v>0.95779998901311492</v>
      </c>
      <c r="AG8" s="479">
        <f t="shared" si="3"/>
        <v>0.76179065750890984</v>
      </c>
      <c r="AH8" s="479">
        <f t="shared" si="4"/>
        <v>0.76965128182269515</v>
      </c>
      <c r="AI8" s="479">
        <f t="shared" si="5"/>
        <v>0.62770717149140953</v>
      </c>
      <c r="AJ8" s="479">
        <f t="shared" si="6"/>
        <v>0.57158405940526624</v>
      </c>
      <c r="AK8" s="479">
        <f t="shared" si="7"/>
        <v>0.58731505960921848</v>
      </c>
      <c r="AL8" s="479">
        <f t="shared" si="8"/>
        <v>0.48470548103121619</v>
      </c>
      <c r="AM8" s="479">
        <f t="shared" si="9"/>
        <v>0.552880009928018</v>
      </c>
      <c r="AN8" s="479">
        <f t="shared" si="10"/>
        <v>0.60880440324699125</v>
      </c>
      <c r="AO8" s="479">
        <f t="shared" si="11"/>
        <v>0.888497208183473</v>
      </c>
      <c r="AP8" s="479">
        <f t="shared" si="12"/>
        <v>0.89690819889226614</v>
      </c>
      <c r="AQ8" s="479">
        <f t="shared" si="13"/>
        <v>0.98462769108855308</v>
      </c>
      <c r="AR8" s="479"/>
      <c r="AS8" s="479">
        <f t="shared" si="14"/>
        <v>0.49966758773207559</v>
      </c>
      <c r="AT8" s="479">
        <f t="shared" si="15"/>
        <v>0.38401823791364159</v>
      </c>
      <c r="AU8" s="479">
        <f t="shared" si="16"/>
        <v>0.35791854029819764</v>
      </c>
      <c r="AV8" s="479">
        <f t="shared" si="17"/>
        <v>0.35110049417066713</v>
      </c>
      <c r="AW8" s="479">
        <f t="shared" si="18"/>
        <v>0.34112284336590948</v>
      </c>
      <c r="AX8" s="479">
        <f t="shared" si="19"/>
        <v>0.31900984540043698</v>
      </c>
      <c r="AY8" s="479">
        <f t="shared" si="20"/>
        <v>0.36392815089243707</v>
      </c>
      <c r="AZ8" s="479">
        <f t="shared" si="21"/>
        <v>0.32922660439717438</v>
      </c>
      <c r="BA8" s="479">
        <f t="shared" si="22"/>
        <v>0.38159418958681945</v>
      </c>
      <c r="BB8" s="479">
        <f t="shared" si="23"/>
        <v>0.37935677742559831</v>
      </c>
      <c r="BC8" s="479">
        <f t="shared" si="24"/>
        <v>0.47777489212203672</v>
      </c>
      <c r="BD8" s="479">
        <f t="shared" si="25"/>
        <v>0.50968293879602289</v>
      </c>
    </row>
    <row r="9" spans="1:56" ht="15">
      <c r="A9" s="63" t="str">
        <f>VLOOKUP(CONCATENATE($C9," - ",$B9),[2]ACHIEV!$B$12:$C$100,2,FALSE)</f>
        <v>LO20Fast</v>
      </c>
      <c r="B9" s="63" t="str">
        <f>'SC-New'!$C$7</f>
        <v>New</v>
      </c>
      <c r="C9" s="63" t="str">
        <f>'SC-New'!$C$8</f>
        <v>Lighting</v>
      </c>
      <c r="D9" s="63" t="s">
        <v>795</v>
      </c>
      <c r="E9" s="63" t="str">
        <f>'SC-New'!$A$9</f>
        <v>Lighting</v>
      </c>
      <c r="F9" s="478">
        <f t="shared" si="1"/>
        <v>3.7448609823725787E-3</v>
      </c>
      <c r="G9" s="71">
        <f>'SC-New'!A50</f>
        <v>14.33449498481688</v>
      </c>
      <c r="H9" s="71">
        <f>'SC-New'!B50</f>
        <v>-37.397069706053522</v>
      </c>
      <c r="I9" s="1" t="str">
        <f>'SC-New'!C50</f>
        <v>Single Family</v>
      </c>
      <c r="J9" s="1" t="str">
        <f>'SC-New'!D50</f>
        <v>2016 - LEDGlobe250 to 664 lumensANY</v>
      </c>
      <c r="K9" s="37">
        <f>'SC-New'!E50</f>
        <v>6.6113878749598343E-2</v>
      </c>
      <c r="L9" s="37">
        <f>'SC-New'!F50</f>
        <v>0</v>
      </c>
      <c r="M9" s="37">
        <f>'SC-New'!G50</f>
        <v>0</v>
      </c>
      <c r="N9" s="37">
        <f>'SC-New'!H50</f>
        <v>0</v>
      </c>
      <c r="O9" s="37">
        <f>'SC-New'!I50</f>
        <v>0</v>
      </c>
      <c r="P9" s="37">
        <f>'SC-New'!J50</f>
        <v>0</v>
      </c>
      <c r="Q9" s="37">
        <f>'SC-New'!K50</f>
        <v>0</v>
      </c>
      <c r="R9" s="37">
        <f>'SC-New'!L50</f>
        <v>0</v>
      </c>
      <c r="S9" s="37">
        <f>'SC-New'!M50</f>
        <v>0</v>
      </c>
      <c r="T9" s="37">
        <f>'SC-New'!N50</f>
        <v>0</v>
      </c>
      <c r="U9" s="37">
        <f>'SC-New'!O50</f>
        <v>0</v>
      </c>
      <c r="V9" s="37">
        <f>'SC-New'!P50</f>
        <v>0</v>
      </c>
      <c r="W9" s="37">
        <f>'SC-New'!Q50</f>
        <v>0</v>
      </c>
      <c r="X9" s="37">
        <f>'SC-New'!R50</f>
        <v>0</v>
      </c>
      <c r="Y9" s="37">
        <f>'SC-New'!S50</f>
        <v>0</v>
      </c>
      <c r="Z9" s="37">
        <f>'SC-New'!T50</f>
        <v>0</v>
      </c>
      <c r="AA9" s="37">
        <f>'SC-New'!U50</f>
        <v>0</v>
      </c>
      <c r="AB9" s="37">
        <f>'SC-New'!V50</f>
        <v>0</v>
      </c>
      <c r="AC9" s="37">
        <f>'SC-New'!W50</f>
        <v>0</v>
      </c>
      <c r="AD9" s="37">
        <f>'SC-New'!X50</f>
        <v>0</v>
      </c>
      <c r="AE9" s="37">
        <f>'SC-New'!Y50</f>
        <v>6.6113878749598343E-2</v>
      </c>
      <c r="AF9" s="479">
        <f t="shared" si="2"/>
        <v>1.0256155389194634</v>
      </c>
      <c r="AG9" s="479">
        <f t="shared" si="3"/>
        <v>0.81572806922856911</v>
      </c>
      <c r="AH9" s="479">
        <f t="shared" si="4"/>
        <v>0.82414525291441687</v>
      </c>
      <c r="AI9" s="479">
        <f t="shared" si="5"/>
        <v>0.67215100893466262</v>
      </c>
      <c r="AJ9" s="479">
        <f t="shared" si="6"/>
        <v>0.61205418652043819</v>
      </c>
      <c r="AK9" s="479">
        <f t="shared" si="7"/>
        <v>0.62889899591383003</v>
      </c>
      <c r="AL9" s="479">
        <f t="shared" si="8"/>
        <v>0.51902430449729475</v>
      </c>
      <c r="AM9" s="479">
        <f t="shared" si="9"/>
        <v>0.59202582568870554</v>
      </c>
      <c r="AN9" s="479">
        <f t="shared" si="10"/>
        <v>0.65190985936016288</v>
      </c>
      <c r="AO9" s="479">
        <f t="shared" si="11"/>
        <v>0.95140588165850748</v>
      </c>
      <c r="AP9" s="479">
        <f t="shared" si="12"/>
        <v>0.96041239958249891</v>
      </c>
      <c r="AQ9" s="479">
        <f t="shared" si="13"/>
        <v>1.0543427350331549</v>
      </c>
      <c r="AR9" s="479"/>
      <c r="AS9" s="479">
        <f t="shared" si="14"/>
        <v>0.53504578006985537</v>
      </c>
      <c r="AT9" s="479">
        <f t="shared" si="15"/>
        <v>0.4112080565364355</v>
      </c>
      <c r="AU9" s="479">
        <f t="shared" si="16"/>
        <v>0.38326041011489015</v>
      </c>
      <c r="AV9" s="479">
        <f t="shared" si="17"/>
        <v>0.37595962275460831</v>
      </c>
      <c r="AW9" s="479">
        <f t="shared" si="18"/>
        <v>0.36527551978461797</v>
      </c>
      <c r="AX9" s="479">
        <f t="shared" si="19"/>
        <v>0.34159684512849148</v>
      </c>
      <c r="AY9" s="479">
        <f t="shared" si="20"/>
        <v>0.38969552191172535</v>
      </c>
      <c r="AZ9" s="479">
        <f t="shared" si="21"/>
        <v>0.35253698597694333</v>
      </c>
      <c r="BA9" s="479">
        <f t="shared" si="22"/>
        <v>0.40861237720922838</v>
      </c>
      <c r="BB9" s="479">
        <f t="shared" si="23"/>
        <v>0.40621654853326428</v>
      </c>
      <c r="BC9" s="479">
        <f t="shared" si="24"/>
        <v>0.51160300593741348</v>
      </c>
      <c r="BD9" s="479">
        <f t="shared" si="25"/>
        <v>0.54577025260769885</v>
      </c>
    </row>
    <row r="10" spans="1:56" ht="15">
      <c r="A10" s="63" t="str">
        <f>VLOOKUP(CONCATENATE($C10," - ",$B10),[2]ACHIEV!$B$12:$C$100,2,FALSE)</f>
        <v>LO20Fast</v>
      </c>
      <c r="B10" s="63" t="str">
        <f>'SC-New'!$C$7</f>
        <v>New</v>
      </c>
      <c r="C10" s="63" t="str">
        <f>'SC-New'!$C$8</f>
        <v>Lighting</v>
      </c>
      <c r="D10" s="63" t="s">
        <v>795</v>
      </c>
      <c r="E10" s="63" t="str">
        <f>'SC-New'!$A$9</f>
        <v>Lighting</v>
      </c>
      <c r="F10" s="478">
        <f t="shared" si="1"/>
        <v>2.5791399031027257E-3</v>
      </c>
      <c r="G10" s="71">
        <f>'SC-New'!A51</f>
        <v>9.8723739493112301</v>
      </c>
      <c r="H10" s="71">
        <f>'SC-New'!B51</f>
        <v>-94.996719014918995</v>
      </c>
      <c r="I10" s="1" t="str">
        <f>'SC-New'!C51</f>
        <v>Single Family</v>
      </c>
      <c r="J10" s="1" t="str">
        <f>'SC-New'!D51</f>
        <v>2016 - LEDGlobe665 to 1439 lumensANY</v>
      </c>
      <c r="K10" s="37">
        <f>'SC-New'!E51</f>
        <v>2.7765215939883906E-2</v>
      </c>
      <c r="L10" s="37">
        <f>'SC-New'!F51</f>
        <v>0</v>
      </c>
      <c r="M10" s="37">
        <f>'SC-New'!G51</f>
        <v>0</v>
      </c>
      <c r="N10" s="37">
        <f>'SC-New'!H51</f>
        <v>0</v>
      </c>
      <c r="O10" s="37">
        <f>'SC-New'!I51</f>
        <v>0</v>
      </c>
      <c r="P10" s="37">
        <f>'SC-New'!J51</f>
        <v>0</v>
      </c>
      <c r="Q10" s="37">
        <f>'SC-New'!K51</f>
        <v>0</v>
      </c>
      <c r="R10" s="37">
        <f>'SC-New'!L51</f>
        <v>0</v>
      </c>
      <c r="S10" s="37">
        <f>'SC-New'!M51</f>
        <v>0</v>
      </c>
      <c r="T10" s="37">
        <f>'SC-New'!N51</f>
        <v>0</v>
      </c>
      <c r="U10" s="37">
        <f>'SC-New'!O51</f>
        <v>0</v>
      </c>
      <c r="V10" s="37">
        <f>'SC-New'!P51</f>
        <v>0</v>
      </c>
      <c r="W10" s="37">
        <f>'SC-New'!Q51</f>
        <v>0</v>
      </c>
      <c r="X10" s="37">
        <f>'SC-New'!R51</f>
        <v>0</v>
      </c>
      <c r="Y10" s="37">
        <f>'SC-New'!S51</f>
        <v>0</v>
      </c>
      <c r="Z10" s="37">
        <f>'SC-New'!T51</f>
        <v>0</v>
      </c>
      <c r="AA10" s="37">
        <f>'SC-New'!U51</f>
        <v>0</v>
      </c>
      <c r="AB10" s="37">
        <f>'SC-New'!V51</f>
        <v>0</v>
      </c>
      <c r="AC10" s="37">
        <f>'SC-New'!W51</f>
        <v>0</v>
      </c>
      <c r="AD10" s="37">
        <f>'SC-New'!X51</f>
        <v>0</v>
      </c>
      <c r="AE10" s="37">
        <f>'SC-New'!Y51</f>
        <v>2.7765215939883906E-2</v>
      </c>
      <c r="AF10" s="479">
        <f t="shared" si="2"/>
        <v>0.70635625037101069</v>
      </c>
      <c r="AG10" s="479">
        <f t="shared" si="3"/>
        <v>0.5618037153666039</v>
      </c>
      <c r="AH10" s="479">
        <f t="shared" si="4"/>
        <v>0.5676007514697069</v>
      </c>
      <c r="AI10" s="479">
        <f t="shared" si="5"/>
        <v>0.46292011805357608</v>
      </c>
      <c r="AJ10" s="479">
        <f t="shared" si="6"/>
        <v>0.42153056755549467</v>
      </c>
      <c r="AK10" s="479">
        <f t="shared" si="7"/>
        <v>0.43313183133301719</v>
      </c>
      <c r="AL10" s="479">
        <f t="shared" si="8"/>
        <v>0.35745954274676744</v>
      </c>
      <c r="AM10" s="479">
        <f t="shared" si="9"/>
        <v>0.40773674587345871</v>
      </c>
      <c r="AN10" s="479">
        <f t="shared" si="10"/>
        <v>0.44897974568782045</v>
      </c>
      <c r="AO10" s="479">
        <f t="shared" si="11"/>
        <v>0.65524698646555923</v>
      </c>
      <c r="AP10" s="479">
        <f t="shared" si="12"/>
        <v>0.66144990557927741</v>
      </c>
      <c r="AQ10" s="479">
        <f t="shared" si="13"/>
        <v>0.72614108568261104</v>
      </c>
      <c r="AR10" s="479"/>
      <c r="AS10" s="479">
        <f t="shared" si="14"/>
        <v>0.36849376461782796</v>
      </c>
      <c r="AT10" s="479">
        <f t="shared" si="15"/>
        <v>0.28320493393015522</v>
      </c>
      <c r="AU10" s="479">
        <f t="shared" si="16"/>
        <v>0.26395698576254489</v>
      </c>
      <c r="AV10" s="479">
        <f t="shared" si="17"/>
        <v>0.25892882795011757</v>
      </c>
      <c r="AW10" s="479">
        <f t="shared" si="18"/>
        <v>0.25157053176009392</v>
      </c>
      <c r="AX10" s="479">
        <f t="shared" si="19"/>
        <v>0.2352626861696519</v>
      </c>
      <c r="AY10" s="479">
        <f t="shared" si="20"/>
        <v>0.26838894029817884</v>
      </c>
      <c r="AZ10" s="479">
        <f t="shared" si="21"/>
        <v>0.24279731934845944</v>
      </c>
      <c r="BA10" s="479">
        <f t="shared" si="22"/>
        <v>0.28141725204824536</v>
      </c>
      <c r="BB10" s="479">
        <f t="shared" si="23"/>
        <v>0.27976721019935885</v>
      </c>
      <c r="BC10" s="479">
        <f t="shared" si="24"/>
        <v>0.35234838712878186</v>
      </c>
      <c r="BD10" s="479">
        <f t="shared" si="25"/>
        <v>0.37587986391290973</v>
      </c>
    </row>
    <row r="11" spans="1:56" ht="15">
      <c r="A11" s="63" t="str">
        <f>VLOOKUP(CONCATENATE($C11," - ",$B11),[2]ACHIEV!$B$12:$C$100,2,FALSE)</f>
        <v>LO20Fast</v>
      </c>
      <c r="B11" s="63" t="str">
        <f>'SC-New'!$C$7</f>
        <v>New</v>
      </c>
      <c r="C11" s="63" t="str">
        <f>'SC-New'!$C$8</f>
        <v>Lighting</v>
      </c>
      <c r="D11" s="63" t="s">
        <v>795</v>
      </c>
      <c r="E11" s="63" t="str">
        <f>'SC-New'!$A$9</f>
        <v>Lighting</v>
      </c>
      <c r="F11" s="478">
        <f t="shared" si="1"/>
        <v>2.7904432298357131E-3</v>
      </c>
      <c r="G11" s="71">
        <f>'SC-New'!A52</f>
        <v>10.681196090262945</v>
      </c>
      <c r="H11" s="71">
        <f>'SC-New'!B52</f>
        <v>-99.87829920820603</v>
      </c>
      <c r="I11" s="1" t="str">
        <f>'SC-New'!C52</f>
        <v>Single Family</v>
      </c>
      <c r="J11" s="1" t="str">
        <f>'SC-New'!D52</f>
        <v>2016 - LEDGlobe1440 to 2600 lumensANY</v>
      </c>
      <c r="K11" s="37">
        <f>'SC-New'!E52</f>
        <v>2.2635354627524545E-3</v>
      </c>
      <c r="L11" s="37">
        <f>'SC-New'!F52</f>
        <v>0</v>
      </c>
      <c r="M11" s="37">
        <f>'SC-New'!G52</f>
        <v>0</v>
      </c>
      <c r="N11" s="37">
        <f>'SC-New'!H52</f>
        <v>0</v>
      </c>
      <c r="O11" s="37">
        <f>'SC-New'!I52</f>
        <v>0</v>
      </c>
      <c r="P11" s="37">
        <f>'SC-New'!J52</f>
        <v>0</v>
      </c>
      <c r="Q11" s="37">
        <f>'SC-New'!K52</f>
        <v>0</v>
      </c>
      <c r="R11" s="37">
        <f>'SC-New'!L52</f>
        <v>0</v>
      </c>
      <c r="S11" s="37">
        <f>'SC-New'!M52</f>
        <v>0</v>
      </c>
      <c r="T11" s="37">
        <f>'SC-New'!N52</f>
        <v>0</v>
      </c>
      <c r="U11" s="37">
        <f>'SC-New'!O52</f>
        <v>0</v>
      </c>
      <c r="V11" s="37">
        <f>'SC-New'!P52</f>
        <v>0</v>
      </c>
      <c r="W11" s="37">
        <f>'SC-New'!Q52</f>
        <v>0</v>
      </c>
      <c r="X11" s="37">
        <f>'SC-New'!R52</f>
        <v>0</v>
      </c>
      <c r="Y11" s="37">
        <f>'SC-New'!S52</f>
        <v>0</v>
      </c>
      <c r="Z11" s="37">
        <f>'SC-New'!T52</f>
        <v>0</v>
      </c>
      <c r="AA11" s="37">
        <f>'SC-New'!U52</f>
        <v>0</v>
      </c>
      <c r="AB11" s="37">
        <f>'SC-New'!V52</f>
        <v>0</v>
      </c>
      <c r="AC11" s="37">
        <f>'SC-New'!W52</f>
        <v>0</v>
      </c>
      <c r="AD11" s="37">
        <f>'SC-New'!X52</f>
        <v>0</v>
      </c>
      <c r="AE11" s="37">
        <f>'SC-New'!Y52</f>
        <v>2.2635354627524545E-3</v>
      </c>
      <c r="AF11" s="479">
        <f t="shared" si="2"/>
        <v>0.7642264827622347</v>
      </c>
      <c r="AG11" s="479">
        <f t="shared" si="3"/>
        <v>0.60783107273682868</v>
      </c>
      <c r="AH11" s="479">
        <f t="shared" si="4"/>
        <v>0.61410304740852306</v>
      </c>
      <c r="AI11" s="479">
        <f t="shared" si="5"/>
        <v>0.50084615721053449</v>
      </c>
      <c r="AJ11" s="479">
        <f t="shared" si="6"/>
        <v>0.45606565079660444</v>
      </c>
      <c r="AK11" s="479">
        <f t="shared" si="7"/>
        <v>0.46861738090111776</v>
      </c>
      <c r="AL11" s="479">
        <f t="shared" si="8"/>
        <v>0.38674542617789825</v>
      </c>
      <c r="AM11" s="479">
        <f t="shared" si="9"/>
        <v>0.44114173128378797</v>
      </c>
      <c r="AN11" s="479">
        <f t="shared" si="10"/>
        <v>0.48576368043499596</v>
      </c>
      <c r="AO11" s="479">
        <f t="shared" si="11"/>
        <v>0.70892994794639019</v>
      </c>
      <c r="AP11" s="479">
        <f t="shared" si="12"/>
        <v>0.71564105874160944</v>
      </c>
      <c r="AQ11" s="479">
        <f t="shared" si="13"/>
        <v>0.78563224663035736</v>
      </c>
      <c r="AR11" s="479"/>
      <c r="AS11" s="479">
        <f t="shared" si="14"/>
        <v>0.39868365786496762</v>
      </c>
      <c r="AT11" s="479">
        <f t="shared" si="15"/>
        <v>0.30640729864664351</v>
      </c>
      <c r="AU11" s="479">
        <f t="shared" si="16"/>
        <v>0.28558240791934209</v>
      </c>
      <c r="AV11" s="479">
        <f t="shared" si="17"/>
        <v>0.28014230406559065</v>
      </c>
      <c r="AW11" s="479">
        <f t="shared" si="18"/>
        <v>0.27218115866131221</v>
      </c>
      <c r="AX11" s="479">
        <f t="shared" si="19"/>
        <v>0.25453724672527844</v>
      </c>
      <c r="AY11" s="479">
        <f t="shared" si="20"/>
        <v>0.29037746285762667</v>
      </c>
      <c r="AZ11" s="479">
        <f t="shared" si="21"/>
        <v>0.26268917602457925</v>
      </c>
      <c r="BA11" s="479">
        <f t="shared" si="22"/>
        <v>0.30447315587351431</v>
      </c>
      <c r="BB11" s="479">
        <f t="shared" si="23"/>
        <v>0.30268792968216585</v>
      </c>
      <c r="BC11" s="479">
        <f t="shared" si="24"/>
        <v>0.3812155246887674</v>
      </c>
      <c r="BD11" s="479">
        <f t="shared" si="25"/>
        <v>0.4066748842222741</v>
      </c>
    </row>
    <row r="12" spans="1:56" ht="15">
      <c r="A12" s="63" t="str">
        <f>VLOOKUP(CONCATENATE($C12," - ",$B12),[2]ACHIEV!$B$12:$C$100,2,FALSE)</f>
        <v>LO20Fast</v>
      </c>
      <c r="B12" s="63" t="str">
        <f>'SC-New'!$C$7</f>
        <v>New</v>
      </c>
      <c r="C12" s="63" t="str">
        <f>'SC-New'!$C$8</f>
        <v>Lighting</v>
      </c>
      <c r="D12" s="63" t="s">
        <v>795</v>
      </c>
      <c r="E12" s="63" t="str">
        <f>'SC-New'!$A$9</f>
        <v>Lighting</v>
      </c>
      <c r="F12" s="478">
        <f t="shared" si="1"/>
        <v>5.3228772760490119E-3</v>
      </c>
      <c r="G12" s="71">
        <f>'SC-New'!A53</f>
        <v>20.374790406766845</v>
      </c>
      <c r="H12" s="71">
        <f>'SC-New'!B53</f>
        <v>-38.377975660533203</v>
      </c>
      <c r="I12" s="1" t="str">
        <f>'SC-New'!C53</f>
        <v>Single Family</v>
      </c>
      <c r="J12" s="1" t="str">
        <f>'SC-New'!D53</f>
        <v>2016 - LEDReflectors and Outdoor250 to 664 lumensANY</v>
      </c>
      <c r="K12" s="37">
        <f>'SC-New'!E53</f>
        <v>2.9890860589702219E-2</v>
      </c>
      <c r="L12" s="37">
        <f>'SC-New'!F53</f>
        <v>0</v>
      </c>
      <c r="M12" s="37">
        <f>'SC-New'!G53</f>
        <v>0</v>
      </c>
      <c r="N12" s="37">
        <f>'SC-New'!H53</f>
        <v>0</v>
      </c>
      <c r="O12" s="37">
        <f>'SC-New'!I53</f>
        <v>0</v>
      </c>
      <c r="P12" s="37">
        <f>'SC-New'!J53</f>
        <v>0</v>
      </c>
      <c r="Q12" s="37">
        <f>'SC-New'!K53</f>
        <v>0</v>
      </c>
      <c r="R12" s="37">
        <f>'SC-New'!L53</f>
        <v>0</v>
      </c>
      <c r="S12" s="37">
        <f>'SC-New'!M53</f>
        <v>0</v>
      </c>
      <c r="T12" s="37">
        <f>'SC-New'!N53</f>
        <v>0</v>
      </c>
      <c r="U12" s="37">
        <f>'SC-New'!O53</f>
        <v>0</v>
      </c>
      <c r="V12" s="37">
        <f>'SC-New'!P53</f>
        <v>0</v>
      </c>
      <c r="W12" s="37">
        <f>'SC-New'!Q53</f>
        <v>0</v>
      </c>
      <c r="X12" s="37">
        <f>'SC-New'!R53</f>
        <v>0</v>
      </c>
      <c r="Y12" s="37">
        <f>'SC-New'!S53</f>
        <v>0</v>
      </c>
      <c r="Z12" s="37">
        <f>'SC-New'!T53</f>
        <v>0</v>
      </c>
      <c r="AA12" s="37">
        <f>'SC-New'!U53</f>
        <v>0</v>
      </c>
      <c r="AB12" s="37">
        <f>'SC-New'!V53</f>
        <v>0</v>
      </c>
      <c r="AC12" s="37">
        <f>'SC-New'!W53</f>
        <v>0</v>
      </c>
      <c r="AD12" s="37">
        <f>'SC-New'!X53</f>
        <v>0</v>
      </c>
      <c r="AE12" s="37">
        <f>'SC-New'!Y53</f>
        <v>2.9890860589702219E-2</v>
      </c>
      <c r="AF12" s="479">
        <f t="shared" si="2"/>
        <v>1.4577912696290392</v>
      </c>
      <c r="AG12" s="479">
        <f t="shared" si="3"/>
        <v>1.1594610383590722</v>
      </c>
      <c r="AH12" s="479">
        <f t="shared" si="4"/>
        <v>1.1714250701297106</v>
      </c>
      <c r="AI12" s="479">
        <f t="shared" si="5"/>
        <v>0.95538321672624815</v>
      </c>
      <c r="AJ12" s="479">
        <f t="shared" si="6"/>
        <v>0.86996268659250697</v>
      </c>
      <c r="AK12" s="479">
        <f t="shared" si="7"/>
        <v>0.89390559223346777</v>
      </c>
      <c r="AL12" s="479">
        <f t="shared" si="8"/>
        <v>0.73773170462938431</v>
      </c>
      <c r="AM12" s="479">
        <f t="shared" si="9"/>
        <v>0.84149473885037285</v>
      </c>
      <c r="AN12" s="479">
        <f t="shared" si="10"/>
        <v>0.92661281493607173</v>
      </c>
      <c r="AO12" s="479">
        <f t="shared" si="11"/>
        <v>1.3523110127764957</v>
      </c>
      <c r="AP12" s="479">
        <f t="shared" si="12"/>
        <v>1.3651127135124117</v>
      </c>
      <c r="AQ12" s="479">
        <f t="shared" si="13"/>
        <v>1.4986235835968849</v>
      </c>
      <c r="AR12" s="479"/>
      <c r="AS12" s="479">
        <f t="shared" si="14"/>
        <v>0.76050433855501731</v>
      </c>
      <c r="AT12" s="479">
        <f t="shared" si="15"/>
        <v>0.58448365110721312</v>
      </c>
      <c r="AU12" s="479">
        <f t="shared" si="16"/>
        <v>0.54475937489067727</v>
      </c>
      <c r="AV12" s="479">
        <f t="shared" si="17"/>
        <v>0.53438216854837683</v>
      </c>
      <c r="AW12" s="479">
        <f t="shared" si="18"/>
        <v>0.51919597894571268</v>
      </c>
      <c r="AX12" s="479">
        <f t="shared" si="19"/>
        <v>0.48553954153793449</v>
      </c>
      <c r="AY12" s="479">
        <f t="shared" si="20"/>
        <v>0.55390612573495235</v>
      </c>
      <c r="AZ12" s="479">
        <f t="shared" si="21"/>
        <v>0.5010896587233542</v>
      </c>
      <c r="BA12" s="479">
        <f t="shared" si="22"/>
        <v>0.58079419973058355</v>
      </c>
      <c r="BB12" s="479">
        <f t="shared" si="23"/>
        <v>0.57738881243406592</v>
      </c>
      <c r="BC12" s="479">
        <f t="shared" si="24"/>
        <v>0.72718320586024165</v>
      </c>
      <c r="BD12" s="479">
        <f t="shared" si="25"/>
        <v>0.77574790872704857</v>
      </c>
    </row>
    <row r="13" spans="1:56" ht="15">
      <c r="A13" s="63" t="str">
        <f>VLOOKUP(CONCATENATE($C13," - ",$B13),[2]ACHIEV!$B$12:$C$100,2,FALSE)</f>
        <v>LO20Fast</v>
      </c>
      <c r="B13" s="63" t="str">
        <f>'SC-New'!$C$7</f>
        <v>New</v>
      </c>
      <c r="C13" s="63" t="str">
        <f>'SC-New'!$C$8</f>
        <v>Lighting</v>
      </c>
      <c r="D13" s="63" t="s">
        <v>795</v>
      </c>
      <c r="E13" s="63" t="str">
        <f>'SC-New'!$A$9</f>
        <v>Lighting</v>
      </c>
      <c r="F13" s="478">
        <f t="shared" si="1"/>
        <v>4.0588070052657264E-3</v>
      </c>
      <c r="G13" s="71">
        <f>'SC-New'!A54</f>
        <v>15.536210538971808</v>
      </c>
      <c r="H13" s="71">
        <f>'SC-New'!B54</f>
        <v>-47.72588478334999</v>
      </c>
      <c r="I13" s="1" t="str">
        <f>'SC-New'!C54</f>
        <v>Single Family</v>
      </c>
      <c r="J13" s="1" t="str">
        <f>'SC-New'!D54</f>
        <v>2016 - LEDReflectors and Outdoor665 to 1439 lumensANY</v>
      </c>
      <c r="K13" s="37">
        <f>'SC-New'!E54</f>
        <v>0.23031051333284341</v>
      </c>
      <c r="L13" s="37">
        <f>'SC-New'!F54</f>
        <v>0</v>
      </c>
      <c r="M13" s="37">
        <f>'SC-New'!G54</f>
        <v>0</v>
      </c>
      <c r="N13" s="37">
        <f>'SC-New'!H54</f>
        <v>0</v>
      </c>
      <c r="O13" s="37">
        <f>'SC-New'!I54</f>
        <v>0</v>
      </c>
      <c r="P13" s="37">
        <f>'SC-New'!J54</f>
        <v>0</v>
      </c>
      <c r="Q13" s="37">
        <f>'SC-New'!K54</f>
        <v>0</v>
      </c>
      <c r="R13" s="37">
        <f>'SC-New'!L54</f>
        <v>0</v>
      </c>
      <c r="S13" s="37">
        <f>'SC-New'!M54</f>
        <v>0</v>
      </c>
      <c r="T13" s="37">
        <f>'SC-New'!N54</f>
        <v>0</v>
      </c>
      <c r="U13" s="37">
        <f>'SC-New'!O54</f>
        <v>0</v>
      </c>
      <c r="V13" s="37">
        <f>'SC-New'!P54</f>
        <v>0</v>
      </c>
      <c r="W13" s="37">
        <f>'SC-New'!Q54</f>
        <v>0</v>
      </c>
      <c r="X13" s="37">
        <f>'SC-New'!R54</f>
        <v>0</v>
      </c>
      <c r="Y13" s="37">
        <f>'SC-New'!S54</f>
        <v>0</v>
      </c>
      <c r="Z13" s="37">
        <f>'SC-New'!T54</f>
        <v>0</v>
      </c>
      <c r="AA13" s="37">
        <f>'SC-New'!U54</f>
        <v>0</v>
      </c>
      <c r="AB13" s="37">
        <f>'SC-New'!V54</f>
        <v>0</v>
      </c>
      <c r="AC13" s="37">
        <f>'SC-New'!W54</f>
        <v>0</v>
      </c>
      <c r="AD13" s="37">
        <f>'SC-New'!X54</f>
        <v>0</v>
      </c>
      <c r="AE13" s="37">
        <f>'SC-New'!Y54</f>
        <v>0.23031051333284341</v>
      </c>
      <c r="AF13" s="479">
        <f t="shared" si="2"/>
        <v>1.1115968132516232</v>
      </c>
      <c r="AG13" s="479">
        <f t="shared" si="3"/>
        <v>0.88411367400858021</v>
      </c>
      <c r="AH13" s="479">
        <f t="shared" si="4"/>
        <v>0.89323650240449115</v>
      </c>
      <c r="AI13" s="479">
        <f t="shared" si="5"/>
        <v>0.72849999946647181</v>
      </c>
      <c r="AJ13" s="479">
        <f t="shared" si="6"/>
        <v>0.66336503051642903</v>
      </c>
      <c r="AK13" s="479">
        <f t="shared" si="7"/>
        <v>0.68162200472457402</v>
      </c>
      <c r="AL13" s="479">
        <f t="shared" si="8"/>
        <v>0.5625360975782151</v>
      </c>
      <c r="AM13" s="479">
        <f t="shared" si="9"/>
        <v>0.64165761557353207</v>
      </c>
      <c r="AN13" s="479">
        <f t="shared" si="10"/>
        <v>0.70656195688643419</v>
      </c>
      <c r="AO13" s="479">
        <f t="shared" si="11"/>
        <v>1.0311658765180765</v>
      </c>
      <c r="AP13" s="479">
        <f t="shared" si="12"/>
        <v>1.0409274452959347</v>
      </c>
      <c r="AQ13" s="479">
        <f t="shared" si="13"/>
        <v>1.1427323201173605</v>
      </c>
      <c r="AR13" s="479"/>
      <c r="AS13" s="479">
        <f t="shared" si="14"/>
        <v>0.57990071474149463</v>
      </c>
      <c r="AT13" s="479">
        <f t="shared" si="15"/>
        <v>0.44568120107742304</v>
      </c>
      <c r="AU13" s="479">
        <f t="shared" si="16"/>
        <v>0.41539059653685312</v>
      </c>
      <c r="AV13" s="479">
        <f t="shared" si="17"/>
        <v>0.40747775624148563</v>
      </c>
      <c r="AW13" s="479">
        <f t="shared" si="18"/>
        <v>0.39589796404527355</v>
      </c>
      <c r="AX13" s="479">
        <f t="shared" si="19"/>
        <v>0.3702342155050527</v>
      </c>
      <c r="AY13" s="479">
        <f t="shared" si="20"/>
        <v>0.42236518837446929</v>
      </c>
      <c r="AZ13" s="479">
        <f t="shared" si="21"/>
        <v>0.38209151021460364</v>
      </c>
      <c r="BA13" s="479">
        <f t="shared" si="22"/>
        <v>0.44286791602190761</v>
      </c>
      <c r="BB13" s="479">
        <f t="shared" si="23"/>
        <v>0.44027123586229888</v>
      </c>
      <c r="BC13" s="479">
        <f t="shared" si="24"/>
        <v>0.55449264316834523</v>
      </c>
      <c r="BD13" s="479">
        <f t="shared" si="25"/>
        <v>0.59152426084087517</v>
      </c>
    </row>
    <row r="14" spans="1:56" ht="15">
      <c r="A14" s="63" t="str">
        <f>VLOOKUP(CONCATENATE($C14," - ",$B14),[2]ACHIEV!$B$12:$C$100,2,FALSE)</f>
        <v>LO20Fast</v>
      </c>
      <c r="B14" s="63" t="str">
        <f>'SC-New'!$C$7</f>
        <v>New</v>
      </c>
      <c r="C14" s="63" t="str">
        <f>'SC-New'!$C$8</f>
        <v>Lighting</v>
      </c>
      <c r="D14" s="63" t="s">
        <v>795</v>
      </c>
      <c r="E14" s="63" t="str">
        <f>'SC-New'!$A$9</f>
        <v>Lighting</v>
      </c>
      <c r="F14" s="478">
        <f t="shared" si="1"/>
        <v>2.1728858656963793E-2</v>
      </c>
      <c r="G14" s="71">
        <f>'SC-New'!A55</f>
        <v>83.173238448682625</v>
      </c>
      <c r="H14" s="71">
        <f>'SC-New'!B55</f>
        <v>-27.334459272113147</v>
      </c>
      <c r="I14" s="1" t="str">
        <f>'SC-New'!C55</f>
        <v>Single Family</v>
      </c>
      <c r="J14" s="1" t="str">
        <f>'SC-New'!D55</f>
        <v>2016 - LEDReflectors and Outdoor1440 to 2600 lumensANY</v>
      </c>
      <c r="K14" s="37">
        <f>'SC-New'!E55</f>
        <v>0.10132211963691286</v>
      </c>
      <c r="L14" s="37">
        <f>'SC-New'!F55</f>
        <v>0</v>
      </c>
      <c r="M14" s="37">
        <f>'SC-New'!G55</f>
        <v>0</v>
      </c>
      <c r="N14" s="37">
        <f>'SC-New'!H55</f>
        <v>0</v>
      </c>
      <c r="O14" s="37">
        <f>'SC-New'!I55</f>
        <v>0</v>
      </c>
      <c r="P14" s="37">
        <f>'SC-New'!J55</f>
        <v>0</v>
      </c>
      <c r="Q14" s="37">
        <f>'SC-New'!K55</f>
        <v>0</v>
      </c>
      <c r="R14" s="37">
        <f>'SC-New'!L55</f>
        <v>0</v>
      </c>
      <c r="S14" s="37">
        <f>'SC-New'!M55</f>
        <v>0</v>
      </c>
      <c r="T14" s="37">
        <f>'SC-New'!N55</f>
        <v>0</v>
      </c>
      <c r="U14" s="37">
        <f>'SC-New'!O55</f>
        <v>0</v>
      </c>
      <c r="V14" s="37">
        <f>'SC-New'!P55</f>
        <v>0</v>
      </c>
      <c r="W14" s="37">
        <f>'SC-New'!Q55</f>
        <v>0</v>
      </c>
      <c r="X14" s="37">
        <f>'SC-New'!R55</f>
        <v>0</v>
      </c>
      <c r="Y14" s="37">
        <f>'SC-New'!S55</f>
        <v>0</v>
      </c>
      <c r="Z14" s="37">
        <f>'SC-New'!T55</f>
        <v>0</v>
      </c>
      <c r="AA14" s="37">
        <f>'SC-New'!U55</f>
        <v>0</v>
      </c>
      <c r="AB14" s="37">
        <f>'SC-New'!V55</f>
        <v>0</v>
      </c>
      <c r="AC14" s="37">
        <f>'SC-New'!W55</f>
        <v>0</v>
      </c>
      <c r="AD14" s="37">
        <f>'SC-New'!X55</f>
        <v>0</v>
      </c>
      <c r="AE14" s="37">
        <f>'SC-New'!Y55</f>
        <v>0.10132211963691286</v>
      </c>
      <c r="AF14" s="479">
        <f t="shared" si="2"/>
        <v>5.9509432223162761</v>
      </c>
      <c r="AG14" s="479">
        <f t="shared" si="3"/>
        <v>4.7331102548847825</v>
      </c>
      <c r="AH14" s="479">
        <f t="shared" si="4"/>
        <v>4.7819493961667678</v>
      </c>
      <c r="AI14" s="479">
        <f t="shared" si="5"/>
        <v>3.9000310927493396</v>
      </c>
      <c r="AJ14" s="479">
        <f t="shared" si="6"/>
        <v>3.5513304691165719</v>
      </c>
      <c r="AK14" s="479">
        <f t="shared" si="7"/>
        <v>3.6490693395674088</v>
      </c>
      <c r="AL14" s="479">
        <f t="shared" si="8"/>
        <v>3.0115418983605462</v>
      </c>
      <c r="AM14" s="479">
        <f t="shared" si="9"/>
        <v>3.4351196341371462</v>
      </c>
      <c r="AN14" s="479">
        <f t="shared" si="10"/>
        <v>3.7825855907055974</v>
      </c>
      <c r="AO14" s="479">
        <f t="shared" si="11"/>
        <v>5.5203555019188597</v>
      </c>
      <c r="AP14" s="479">
        <f t="shared" si="12"/>
        <v>5.5726141453993536</v>
      </c>
      <c r="AQ14" s="479">
        <f t="shared" si="13"/>
        <v>6.1176274295281043</v>
      </c>
      <c r="AR14" s="479"/>
      <c r="AS14" s="479">
        <f t="shared" si="14"/>
        <v>3.104503527598812</v>
      </c>
      <c r="AT14" s="479">
        <f t="shared" si="15"/>
        <v>2.3859581920779633</v>
      </c>
      <c r="AU14" s="479">
        <f t="shared" si="16"/>
        <v>2.2237971768234481</v>
      </c>
      <c r="AV14" s="479">
        <f t="shared" si="17"/>
        <v>2.181435717377334</v>
      </c>
      <c r="AW14" s="479">
        <f t="shared" si="18"/>
        <v>2.1194431989890319</v>
      </c>
      <c r="AX14" s="479">
        <f t="shared" si="19"/>
        <v>1.9820520976346545</v>
      </c>
      <c r="AY14" s="479">
        <f t="shared" si="20"/>
        <v>2.2611357149783688</v>
      </c>
      <c r="AZ14" s="479">
        <f t="shared" si="21"/>
        <v>2.0455302281453043</v>
      </c>
      <c r="BA14" s="479">
        <f t="shared" si="22"/>
        <v>2.3708972460281177</v>
      </c>
      <c r="BB14" s="479">
        <f t="shared" si="23"/>
        <v>2.3569958961752469</v>
      </c>
      <c r="BC14" s="479">
        <f t="shared" si="24"/>
        <v>2.9684811951147281</v>
      </c>
      <c r="BD14" s="479">
        <f t="shared" si="25"/>
        <v>3.1667302828888446</v>
      </c>
    </row>
    <row r="15" spans="1:56" ht="15">
      <c r="A15" s="63" t="str">
        <f>VLOOKUP(CONCATENATE($C15," - ",$B15),[2]ACHIEV!$B$12:$C$100,2,FALSE)</f>
        <v>LO20Fast</v>
      </c>
      <c r="B15" s="63" t="str">
        <f>'SC-New'!$C$7</f>
        <v>New</v>
      </c>
      <c r="C15" s="63" t="str">
        <f>'SC-New'!$C$8</f>
        <v>Lighting</v>
      </c>
      <c r="D15" s="63" t="s">
        <v>795</v>
      </c>
      <c r="E15" s="63" t="str">
        <f>'SC-New'!$A$9</f>
        <v>Lighting</v>
      </c>
      <c r="F15" s="478">
        <f t="shared" si="1"/>
        <v>1.2650011213785653E-2</v>
      </c>
      <c r="G15" s="71">
        <f>'SC-New'!A56</f>
        <v>48.421429568529426</v>
      </c>
      <c r="H15" s="71">
        <f>'SC-New'!B56</f>
        <v>-0.28395098554769854</v>
      </c>
      <c r="I15" s="1" t="str">
        <f>'SC-New'!C56</f>
        <v>Single Family</v>
      </c>
      <c r="J15" s="1" t="str">
        <f>'SC-New'!D56</f>
        <v>2016 - LEDThree-Way250 to 664 lumensANY</v>
      </c>
      <c r="K15" s="37">
        <f>'SC-New'!E56</f>
        <v>9.2559020685497879E-4</v>
      </c>
      <c r="L15" s="37">
        <f>'SC-New'!F56</f>
        <v>0</v>
      </c>
      <c r="M15" s="37">
        <f>'SC-New'!G56</f>
        <v>0</v>
      </c>
      <c r="N15" s="37">
        <f>'SC-New'!H56</f>
        <v>0</v>
      </c>
      <c r="O15" s="37">
        <f>'SC-New'!I56</f>
        <v>0</v>
      </c>
      <c r="P15" s="37">
        <f>'SC-New'!J56</f>
        <v>0</v>
      </c>
      <c r="Q15" s="37">
        <f>'SC-New'!K56</f>
        <v>0</v>
      </c>
      <c r="R15" s="37">
        <f>'SC-New'!L56</f>
        <v>0</v>
      </c>
      <c r="S15" s="37">
        <f>'SC-New'!M56</f>
        <v>0</v>
      </c>
      <c r="T15" s="37">
        <f>'SC-New'!N56</f>
        <v>0</v>
      </c>
      <c r="U15" s="37">
        <f>'SC-New'!O56</f>
        <v>0</v>
      </c>
      <c r="V15" s="37">
        <f>'SC-New'!P56</f>
        <v>0</v>
      </c>
      <c r="W15" s="37">
        <f>'SC-New'!Q56</f>
        <v>0</v>
      </c>
      <c r="X15" s="37">
        <f>'SC-New'!R56</f>
        <v>0</v>
      </c>
      <c r="Y15" s="37">
        <f>'SC-New'!S56</f>
        <v>0</v>
      </c>
      <c r="Z15" s="37">
        <f>'SC-New'!T56</f>
        <v>0</v>
      </c>
      <c r="AA15" s="37">
        <f>'SC-New'!U56</f>
        <v>0</v>
      </c>
      <c r="AB15" s="37">
        <f>'SC-New'!V56</f>
        <v>0</v>
      </c>
      <c r="AC15" s="37">
        <f>'SC-New'!W56</f>
        <v>0</v>
      </c>
      <c r="AD15" s="37">
        <f>'SC-New'!X56</f>
        <v>0</v>
      </c>
      <c r="AE15" s="37">
        <f>'SC-New'!Y56</f>
        <v>9.2559020685497879E-4</v>
      </c>
      <c r="AF15" s="479">
        <f t="shared" si="2"/>
        <v>3.4644939103037795</v>
      </c>
      <c r="AG15" s="479">
        <f t="shared" si="3"/>
        <v>2.7555012780750743</v>
      </c>
      <c r="AH15" s="479">
        <f t="shared" si="4"/>
        <v>2.783934234202329</v>
      </c>
      <c r="AI15" s="479">
        <f t="shared" si="5"/>
        <v>2.2705029213110808</v>
      </c>
      <c r="AJ15" s="479">
        <f t="shared" si="6"/>
        <v>2.067497928327021</v>
      </c>
      <c r="AK15" s="479">
        <f t="shared" si="7"/>
        <v>2.1243991133706071</v>
      </c>
      <c r="AL15" s="479">
        <f t="shared" si="8"/>
        <v>1.7532461960599572</v>
      </c>
      <c r="AM15" s="479">
        <f t="shared" si="9"/>
        <v>1.9998428163461626</v>
      </c>
      <c r="AN15" s="479">
        <f t="shared" si="10"/>
        <v>2.2021290162976261</v>
      </c>
      <c r="AO15" s="479">
        <f t="shared" si="11"/>
        <v>3.2138162480511396</v>
      </c>
      <c r="AP15" s="479">
        <f t="shared" si="12"/>
        <v>3.2442399549048635</v>
      </c>
      <c r="AQ15" s="479">
        <f t="shared" si="13"/>
        <v>3.5615333877875557</v>
      </c>
      <c r="AR15" s="479"/>
      <c r="AS15" s="479">
        <f t="shared" si="14"/>
        <v>1.8073661878589267</v>
      </c>
      <c r="AT15" s="479">
        <f t="shared" si="15"/>
        <v>1.3890466297334463</v>
      </c>
      <c r="AU15" s="479">
        <f t="shared" si="16"/>
        <v>1.2946404442179886</v>
      </c>
      <c r="AV15" s="479">
        <f t="shared" si="17"/>
        <v>1.2699786363667083</v>
      </c>
      <c r="AW15" s="479">
        <f t="shared" si="18"/>
        <v>1.2338881050984445</v>
      </c>
      <c r="AX15" s="479">
        <f t="shared" si="19"/>
        <v>1.1539023589419051</v>
      </c>
      <c r="AY15" s="479">
        <f t="shared" si="20"/>
        <v>1.3163780298787402</v>
      </c>
      <c r="AZ15" s="479">
        <f t="shared" si="21"/>
        <v>1.1908577773311961</v>
      </c>
      <c r="BA15" s="479">
        <f t="shared" si="22"/>
        <v>1.3802785145080427</v>
      </c>
      <c r="BB15" s="479">
        <f t="shared" si="23"/>
        <v>1.3721854878883859</v>
      </c>
      <c r="BC15" s="479">
        <f t="shared" si="24"/>
        <v>1.7281773055336467</v>
      </c>
      <c r="BD15" s="479">
        <f t="shared" si="25"/>
        <v>1.8435930861347887</v>
      </c>
    </row>
    <row r="16" spans="1:56" ht="15">
      <c r="A16" s="63" t="str">
        <f>VLOOKUP(CONCATENATE($C16," - ",$B16),[2]ACHIEV!$B$12:$C$100,2,FALSE)</f>
        <v>LO20Fast</v>
      </c>
      <c r="B16" s="63" t="str">
        <f>'SC-New'!$C$7</f>
        <v>New</v>
      </c>
      <c r="C16" s="63" t="str">
        <f>'SC-New'!$C$8</f>
        <v>Lighting</v>
      </c>
      <c r="D16" s="63" t="s">
        <v>795</v>
      </c>
      <c r="E16" s="63" t="str">
        <f>'SC-New'!$A$9</f>
        <v>Lighting</v>
      </c>
      <c r="F16" s="478">
        <f t="shared" si="1"/>
        <v>1.3626103635974879E-2</v>
      </c>
      <c r="G16" s="71">
        <f>'SC-New'!A57</f>
        <v>52.157694278074032</v>
      </c>
      <c r="H16" s="71">
        <f>'SC-New'!B57</f>
        <v>-8.9398321624848585</v>
      </c>
      <c r="I16" s="1" t="str">
        <f>'SC-New'!C57</f>
        <v>Single Family</v>
      </c>
      <c r="J16" s="1" t="str">
        <f>'SC-New'!D57</f>
        <v>2016 - LEDThree-Way665 to 1439 lumensANY</v>
      </c>
      <c r="K16" s="37">
        <f>'SC-New'!E57</f>
        <v>1.2306514340645799E-2</v>
      </c>
      <c r="L16" s="37">
        <f>'SC-New'!F57</f>
        <v>0</v>
      </c>
      <c r="M16" s="37">
        <f>'SC-New'!G57</f>
        <v>0</v>
      </c>
      <c r="N16" s="37">
        <f>'SC-New'!H57</f>
        <v>0</v>
      </c>
      <c r="O16" s="37">
        <f>'SC-New'!I57</f>
        <v>0</v>
      </c>
      <c r="P16" s="37">
        <f>'SC-New'!J57</f>
        <v>0</v>
      </c>
      <c r="Q16" s="37">
        <f>'SC-New'!K57</f>
        <v>0</v>
      </c>
      <c r="R16" s="37">
        <f>'SC-New'!L57</f>
        <v>0</v>
      </c>
      <c r="S16" s="37">
        <f>'SC-New'!M57</f>
        <v>0</v>
      </c>
      <c r="T16" s="37">
        <f>'SC-New'!N57</f>
        <v>0</v>
      </c>
      <c r="U16" s="37">
        <f>'SC-New'!O57</f>
        <v>0</v>
      </c>
      <c r="V16" s="37">
        <f>'SC-New'!P57</f>
        <v>0</v>
      </c>
      <c r="W16" s="37">
        <f>'SC-New'!Q57</f>
        <v>0</v>
      </c>
      <c r="X16" s="37">
        <f>'SC-New'!R57</f>
        <v>0</v>
      </c>
      <c r="Y16" s="37">
        <f>'SC-New'!S57</f>
        <v>0</v>
      </c>
      <c r="Z16" s="37">
        <f>'SC-New'!T57</f>
        <v>0</v>
      </c>
      <c r="AA16" s="37">
        <f>'SC-New'!U57</f>
        <v>0</v>
      </c>
      <c r="AB16" s="37">
        <f>'SC-New'!V57</f>
        <v>0</v>
      </c>
      <c r="AC16" s="37">
        <f>'SC-New'!W57</f>
        <v>0</v>
      </c>
      <c r="AD16" s="37">
        <f>'SC-New'!X57</f>
        <v>0</v>
      </c>
      <c r="AE16" s="37">
        <f>'SC-New'!Y57</f>
        <v>1.2306514340645799E-2</v>
      </c>
      <c r="AF16" s="479">
        <f t="shared" si="2"/>
        <v>3.731819068789251</v>
      </c>
      <c r="AG16" s="479">
        <f t="shared" si="3"/>
        <v>2.9681195810478593</v>
      </c>
      <c r="AH16" s="479">
        <f t="shared" si="4"/>
        <v>2.9987464635319547</v>
      </c>
      <c r="AI16" s="479">
        <f t="shared" si="5"/>
        <v>2.44569807794739</v>
      </c>
      <c r="AJ16" s="479">
        <f t="shared" si="6"/>
        <v>2.2270289379543238</v>
      </c>
      <c r="AK16" s="479">
        <f t="shared" si="7"/>
        <v>2.2883206974089516</v>
      </c>
      <c r="AL16" s="479">
        <f t="shared" si="8"/>
        <v>1.8885291058759777</v>
      </c>
      <c r="AM16" s="479">
        <f t="shared" si="9"/>
        <v>2.154153463634584</v>
      </c>
      <c r="AN16" s="479">
        <f t="shared" si="10"/>
        <v>2.3720483475270466</v>
      </c>
      <c r="AO16" s="479">
        <f t="shared" si="11"/>
        <v>3.4617987702020074</v>
      </c>
      <c r="AP16" s="479">
        <f t="shared" si="12"/>
        <v>3.4945700125015868</v>
      </c>
      <c r="AQ16" s="479">
        <f t="shared" si="13"/>
        <v>3.8363462470366358</v>
      </c>
      <c r="AR16" s="479"/>
      <c r="AS16" s="479">
        <f t="shared" si="14"/>
        <v>1.9468250713552193</v>
      </c>
      <c r="AT16" s="479">
        <f t="shared" si="15"/>
        <v>1.4962273955396257</v>
      </c>
      <c r="AU16" s="479">
        <f t="shared" si="16"/>
        <v>1.3945366977235774</v>
      </c>
      <c r="AV16" s="479">
        <f t="shared" si="17"/>
        <v>1.3679719505504024</v>
      </c>
      <c r="AW16" s="479">
        <f t="shared" si="18"/>
        <v>1.3290966237994797</v>
      </c>
      <c r="AX16" s="479">
        <f t="shared" si="19"/>
        <v>1.2429390664573923</v>
      </c>
      <c r="AY16" s="479">
        <f t="shared" si="20"/>
        <v>1.4179515856634783</v>
      </c>
      <c r="AZ16" s="479">
        <f t="shared" si="21"/>
        <v>1.2827460162199764</v>
      </c>
      <c r="BA16" s="479">
        <f t="shared" si="22"/>
        <v>1.4867827203741746</v>
      </c>
      <c r="BB16" s="479">
        <f t="shared" si="23"/>
        <v>1.4780652245882442</v>
      </c>
      <c r="BC16" s="479">
        <f t="shared" si="24"/>
        <v>1.8615258649635777</v>
      </c>
      <c r="BD16" s="479">
        <f t="shared" si="25"/>
        <v>1.98584728738131</v>
      </c>
    </row>
    <row r="17" spans="1:56" ht="15">
      <c r="A17" s="63" t="str">
        <f>VLOOKUP(CONCATENATE($C17," - ",$B17),[2]ACHIEV!$B$12:$C$100,2,FALSE)</f>
        <v>LO20Fast</v>
      </c>
      <c r="B17" s="63" t="str">
        <f>'SC-New'!$C$7</f>
        <v>New</v>
      </c>
      <c r="C17" s="63" t="str">
        <f>'SC-New'!$C$8</f>
        <v>Lighting</v>
      </c>
      <c r="D17" s="63" t="s">
        <v>795</v>
      </c>
      <c r="E17" s="63" t="str">
        <f>'SC-New'!$A$9</f>
        <v>Lighting</v>
      </c>
      <c r="F17" s="478">
        <f t="shared" si="1"/>
        <v>1.2193310022794003E-2</v>
      </c>
      <c r="G17" s="71">
        <f>'SC-New'!A58</f>
        <v>46.673278979590322</v>
      </c>
      <c r="H17" s="71">
        <f>'SC-New'!B58</f>
        <v>-22.011904676498236</v>
      </c>
      <c r="I17" s="1" t="str">
        <f>'SC-New'!C58</f>
        <v>Single Family</v>
      </c>
      <c r="J17" s="1" t="str">
        <f>'SC-New'!D58</f>
        <v>2016 - LEDThree-Way1440 to 2600 lumensANY</v>
      </c>
      <c r="K17" s="37">
        <f>'SC-New'!E58</f>
        <v>4.2584062965933873E-2</v>
      </c>
      <c r="L17" s="37">
        <f>'SC-New'!F58</f>
        <v>0</v>
      </c>
      <c r="M17" s="37">
        <f>'SC-New'!G58</f>
        <v>0</v>
      </c>
      <c r="N17" s="37">
        <f>'SC-New'!H58</f>
        <v>0</v>
      </c>
      <c r="O17" s="37">
        <f>'SC-New'!I58</f>
        <v>0</v>
      </c>
      <c r="P17" s="37">
        <f>'SC-New'!J58</f>
        <v>0</v>
      </c>
      <c r="Q17" s="37">
        <f>'SC-New'!K58</f>
        <v>0</v>
      </c>
      <c r="R17" s="37">
        <f>'SC-New'!L58</f>
        <v>0</v>
      </c>
      <c r="S17" s="37">
        <f>'SC-New'!M58</f>
        <v>0</v>
      </c>
      <c r="T17" s="37">
        <f>'SC-New'!N58</f>
        <v>0</v>
      </c>
      <c r="U17" s="37">
        <f>'SC-New'!O58</f>
        <v>0</v>
      </c>
      <c r="V17" s="37">
        <f>'SC-New'!P58</f>
        <v>0</v>
      </c>
      <c r="W17" s="37">
        <f>'SC-New'!Q58</f>
        <v>0</v>
      </c>
      <c r="X17" s="37">
        <f>'SC-New'!R58</f>
        <v>0</v>
      </c>
      <c r="Y17" s="37">
        <f>'SC-New'!S58</f>
        <v>0</v>
      </c>
      <c r="Z17" s="37">
        <f>'SC-New'!T58</f>
        <v>0</v>
      </c>
      <c r="AA17" s="37">
        <f>'SC-New'!U58</f>
        <v>0</v>
      </c>
      <c r="AB17" s="37">
        <f>'SC-New'!V58</f>
        <v>0</v>
      </c>
      <c r="AC17" s="37">
        <f>'SC-New'!W58</f>
        <v>0</v>
      </c>
      <c r="AD17" s="37">
        <f>'SC-New'!X58</f>
        <v>0</v>
      </c>
      <c r="AE17" s="37">
        <f>'SC-New'!Y58</f>
        <v>4.2584062965933873E-2</v>
      </c>
      <c r="AF17" s="479">
        <f t="shared" si="2"/>
        <v>3.3394158792823707</v>
      </c>
      <c r="AG17" s="479">
        <f t="shared" si="3"/>
        <v>2.6560198867776115</v>
      </c>
      <c r="AH17" s="479">
        <f t="shared" si="4"/>
        <v>2.6834263327534305</v>
      </c>
      <c r="AI17" s="479">
        <f t="shared" si="5"/>
        <v>2.1885313427260153</v>
      </c>
      <c r="AJ17" s="479">
        <f t="shared" si="6"/>
        <v>1.9928554042784474</v>
      </c>
      <c r="AK17" s="479">
        <f t="shared" si="7"/>
        <v>2.0477022955716913</v>
      </c>
      <c r="AL17" s="479">
        <f t="shared" si="8"/>
        <v>1.6899490485467938</v>
      </c>
      <c r="AM17" s="479">
        <f t="shared" si="9"/>
        <v>1.927642833232625</v>
      </c>
      <c r="AN17" s="479">
        <f t="shared" si="10"/>
        <v>2.1226259291094984</v>
      </c>
      <c r="AO17" s="479">
        <f t="shared" si="11"/>
        <v>3.0977883897901326</v>
      </c>
      <c r="AP17" s="479">
        <f t="shared" si="12"/>
        <v>3.127113714759473</v>
      </c>
      <c r="AQ17" s="479">
        <f t="shared" si="13"/>
        <v>3.4329519571097302</v>
      </c>
      <c r="AR17" s="479"/>
      <c r="AS17" s="479">
        <f t="shared" si="14"/>
        <v>1.7421151555393914</v>
      </c>
      <c r="AT17" s="479">
        <f t="shared" si="15"/>
        <v>1.3388981168648673</v>
      </c>
      <c r="AU17" s="479">
        <f t="shared" si="16"/>
        <v>1.2479002617163344</v>
      </c>
      <c r="AV17" s="479">
        <f t="shared" si="17"/>
        <v>1.22412881489536</v>
      </c>
      <c r="AW17" s="479">
        <f t="shared" si="18"/>
        <v>1.1893412539039743</v>
      </c>
      <c r="AX17" s="479">
        <f t="shared" si="19"/>
        <v>1.1122432194588867</v>
      </c>
      <c r="AY17" s="479">
        <f t="shared" si="20"/>
        <v>1.2688530590403191</v>
      </c>
      <c r="AZ17" s="479">
        <f t="shared" si="21"/>
        <v>1.1478644426995133</v>
      </c>
      <c r="BA17" s="479">
        <f t="shared" si="22"/>
        <v>1.330446555403608</v>
      </c>
      <c r="BB17" s="479">
        <f t="shared" si="23"/>
        <v>1.3226457099396403</v>
      </c>
      <c r="BC17" s="479">
        <f t="shared" si="24"/>
        <v>1.6657852158869719</v>
      </c>
      <c r="BD17" s="479">
        <f t="shared" si="25"/>
        <v>1.7770341603036266</v>
      </c>
    </row>
    <row r="18" spans="1:56" ht="15">
      <c r="A18" s="63" t="str">
        <f>VLOOKUP(CONCATENATE($C18," - ",$B18),[2]ACHIEV!$B$12:$C$100,2,FALSE)</f>
        <v>LO20Fast</v>
      </c>
      <c r="B18" s="63" t="str">
        <f>'SC-New'!$C$7</f>
        <v>New</v>
      </c>
      <c r="C18" s="63" t="str">
        <f>'SC-New'!$C$8</f>
        <v>Lighting</v>
      </c>
      <c r="D18" s="63" t="s">
        <v>795</v>
      </c>
      <c r="E18" s="63" t="str">
        <f>'SC-New'!$A$9</f>
        <v>Lighting</v>
      </c>
      <c r="F18" s="478">
        <f t="shared" si="1"/>
        <v>5.0254466343264623E-3</v>
      </c>
      <c r="G18" s="71">
        <f>'SC-New'!A59</f>
        <v>19.236292058718274</v>
      </c>
      <c r="H18" s="71">
        <f>'SC-New'!B59</f>
        <v>-15.059976945801358</v>
      </c>
      <c r="I18" s="1" t="str">
        <f>'SC-New'!C59</f>
        <v>Multifamily - Low Rise</v>
      </c>
      <c r="J18" s="1" t="str">
        <f>'SC-New'!D59</f>
        <v>2016 - LEDDecorative and Mini-Base250 to 664 lumensANY</v>
      </c>
      <c r="K18" s="37">
        <f>'SC-New'!E59</f>
        <v>1.7924896914952932E-2</v>
      </c>
      <c r="L18" s="37">
        <f>'SC-New'!F59</f>
        <v>0</v>
      </c>
      <c r="M18" s="37">
        <f>'SC-New'!G59</f>
        <v>0</v>
      </c>
      <c r="N18" s="37">
        <f>'SC-New'!H59</f>
        <v>0</v>
      </c>
      <c r="O18" s="37">
        <f>'SC-New'!I59</f>
        <v>0</v>
      </c>
      <c r="P18" s="37">
        <f>'SC-New'!J59</f>
        <v>0</v>
      </c>
      <c r="Q18" s="37">
        <f>'SC-New'!K59</f>
        <v>0</v>
      </c>
      <c r="R18" s="37">
        <f>'SC-New'!L59</f>
        <v>0</v>
      </c>
      <c r="S18" s="37">
        <f>'SC-New'!M59</f>
        <v>0</v>
      </c>
      <c r="T18" s="37">
        <f>'SC-New'!N59</f>
        <v>0</v>
      </c>
      <c r="U18" s="37">
        <f>'SC-New'!O59</f>
        <v>0</v>
      </c>
      <c r="V18" s="37">
        <f>'SC-New'!P59</f>
        <v>0</v>
      </c>
      <c r="W18" s="37">
        <f>'SC-New'!Q59</f>
        <v>0</v>
      </c>
      <c r="X18" s="37">
        <f>'SC-New'!R59</f>
        <v>0</v>
      </c>
      <c r="Y18" s="37">
        <f>'SC-New'!S59</f>
        <v>0</v>
      </c>
      <c r="Z18" s="37">
        <f>'SC-New'!T59</f>
        <v>0</v>
      </c>
      <c r="AA18" s="37">
        <f>'SC-New'!U59</f>
        <v>0</v>
      </c>
      <c r="AB18" s="37">
        <f>'SC-New'!V59</f>
        <v>0</v>
      </c>
      <c r="AC18" s="37">
        <f>'SC-New'!W59</f>
        <v>0</v>
      </c>
      <c r="AD18" s="37">
        <f>'SC-New'!X59</f>
        <v>0</v>
      </c>
      <c r="AE18" s="37">
        <f>'SC-New'!Y59</f>
        <v>1.7924896914952932E-2</v>
      </c>
      <c r="AF18" s="479">
        <f t="shared" si="2"/>
        <v>1.3763331088755877</v>
      </c>
      <c r="AG18" s="479">
        <f t="shared" si="3"/>
        <v>1.0946729129136159</v>
      </c>
      <c r="AH18" s="479">
        <f t="shared" si="4"/>
        <v>1.10596842097751</v>
      </c>
      <c r="AI18" s="479">
        <f t="shared" si="5"/>
        <v>0.90199850982713226</v>
      </c>
      <c r="AJ18" s="479">
        <f t="shared" si="6"/>
        <v>0.8213510905085285</v>
      </c>
      <c r="AK18" s="479">
        <f t="shared" si="7"/>
        <v>0.84395611939220683</v>
      </c>
      <c r="AL18" s="479">
        <f t="shared" si="8"/>
        <v>0.69650888416077883</v>
      </c>
      <c r="AM18" s="479">
        <f t="shared" si="9"/>
        <v>0.79447386889558136</v>
      </c>
      <c r="AN18" s="479">
        <f t="shared" si="10"/>
        <v>0.87483573463123632</v>
      </c>
      <c r="AO18" s="479">
        <f t="shared" si="11"/>
        <v>1.2767468561222706</v>
      </c>
      <c r="AP18" s="479">
        <f t="shared" si="12"/>
        <v>1.2888332260572761</v>
      </c>
      <c r="AQ18" s="479">
        <f t="shared" si="13"/>
        <v>1.4148838032011544</v>
      </c>
      <c r="AR18" s="479"/>
      <c r="AS18" s="479">
        <f t="shared" si="14"/>
        <v>0.71800903353135914</v>
      </c>
      <c r="AT18" s="479">
        <f t="shared" si="15"/>
        <v>0.55182399385616432</v>
      </c>
      <c r="AU18" s="479">
        <f t="shared" si="16"/>
        <v>0.5143194225763198</v>
      </c>
      <c r="AV18" s="479">
        <f t="shared" si="17"/>
        <v>0.50452207163582741</v>
      </c>
      <c r="AW18" s="479">
        <f t="shared" si="18"/>
        <v>0.49018445281257317</v>
      </c>
      <c r="AX18" s="479">
        <f t="shared" si="19"/>
        <v>0.45840866289244864</v>
      </c>
      <c r="AY18" s="479">
        <f t="shared" si="20"/>
        <v>0.52295507315804879</v>
      </c>
      <c r="AZ18" s="479">
        <f t="shared" si="21"/>
        <v>0.47308987382783491</v>
      </c>
      <c r="BA18" s="479">
        <f t="shared" si="22"/>
        <v>0.54834070088478171</v>
      </c>
      <c r="BB18" s="479">
        <f t="shared" si="23"/>
        <v>0.54512559911926328</v>
      </c>
      <c r="BC18" s="479">
        <f t="shared" si="24"/>
        <v>0.68654981223644318</v>
      </c>
      <c r="BD18" s="479">
        <f t="shared" si="25"/>
        <v>0.73240082662432637</v>
      </c>
    </row>
    <row r="19" spans="1:56" ht="15">
      <c r="A19" s="63" t="str">
        <f>VLOOKUP(CONCATENATE($C19," - ",$B19),[2]ACHIEV!$B$12:$C$100,2,FALSE)</f>
        <v>LO20Fast</v>
      </c>
      <c r="B19" s="63" t="str">
        <f>'SC-New'!$C$7</f>
        <v>New</v>
      </c>
      <c r="C19" s="63" t="str">
        <f>'SC-New'!$C$8</f>
        <v>Lighting</v>
      </c>
      <c r="D19" s="63" t="s">
        <v>795</v>
      </c>
      <c r="E19" s="63" t="str">
        <f>'SC-New'!$A$9</f>
        <v>Lighting</v>
      </c>
      <c r="F19" s="478">
        <f t="shared" si="1"/>
        <v>3.7860143455178382E-3</v>
      </c>
      <c r="G19" s="71">
        <f>'SC-New'!A60</f>
        <v>14.492020906444102</v>
      </c>
      <c r="H19" s="71">
        <f>'SC-New'!B60</f>
        <v>-3.5286913755547569</v>
      </c>
      <c r="I19" s="1" t="str">
        <f>'SC-New'!C60</f>
        <v>Multifamily - Low Rise</v>
      </c>
      <c r="J19" s="1" t="str">
        <f>'SC-New'!D60</f>
        <v>2016 - LEDDecorative and Mini-Base665 to 1439 lumensANY</v>
      </c>
      <c r="K19" s="37">
        <f>'SC-New'!E60</f>
        <v>3.703789327330132E-3</v>
      </c>
      <c r="L19" s="37">
        <f>'SC-New'!F60</f>
        <v>0</v>
      </c>
      <c r="M19" s="37">
        <f>'SC-New'!G60</f>
        <v>0</v>
      </c>
      <c r="N19" s="37">
        <f>'SC-New'!H60</f>
        <v>0</v>
      </c>
      <c r="O19" s="37">
        <f>'SC-New'!I60</f>
        <v>0</v>
      </c>
      <c r="P19" s="37">
        <f>'SC-New'!J60</f>
        <v>0</v>
      </c>
      <c r="Q19" s="37">
        <f>'SC-New'!K60</f>
        <v>0</v>
      </c>
      <c r="R19" s="37">
        <f>'SC-New'!L60</f>
        <v>0</v>
      </c>
      <c r="S19" s="37">
        <f>'SC-New'!M60</f>
        <v>0</v>
      </c>
      <c r="T19" s="37">
        <f>'SC-New'!N60</f>
        <v>0</v>
      </c>
      <c r="U19" s="37">
        <f>'SC-New'!O60</f>
        <v>0</v>
      </c>
      <c r="V19" s="37">
        <f>'SC-New'!P60</f>
        <v>0</v>
      </c>
      <c r="W19" s="37">
        <f>'SC-New'!Q60</f>
        <v>0</v>
      </c>
      <c r="X19" s="37">
        <f>'SC-New'!R60</f>
        <v>0</v>
      </c>
      <c r="Y19" s="37">
        <f>'SC-New'!S60</f>
        <v>0</v>
      </c>
      <c r="Z19" s="37">
        <f>'SC-New'!T60</f>
        <v>0</v>
      </c>
      <c r="AA19" s="37">
        <f>'SC-New'!U60</f>
        <v>0</v>
      </c>
      <c r="AB19" s="37">
        <f>'SC-New'!V60</f>
        <v>0</v>
      </c>
      <c r="AC19" s="37">
        <f>'SC-New'!W60</f>
        <v>0</v>
      </c>
      <c r="AD19" s="37">
        <f>'SC-New'!X60</f>
        <v>0</v>
      </c>
      <c r="AE19" s="37">
        <f>'SC-New'!Y60</f>
        <v>3.703789327330132E-3</v>
      </c>
      <c r="AF19" s="479">
        <f t="shared" si="2"/>
        <v>1.0368863254504586</v>
      </c>
      <c r="AG19" s="479">
        <f t="shared" si="3"/>
        <v>0.8246923414989582</v>
      </c>
      <c r="AH19" s="479">
        <f t="shared" si="4"/>
        <v>0.83320202405686417</v>
      </c>
      <c r="AI19" s="479">
        <f t="shared" si="5"/>
        <v>0.67953747125979169</v>
      </c>
      <c r="AJ19" s="479">
        <f t="shared" si="6"/>
        <v>0.61878022743918382</v>
      </c>
      <c r="AK19" s="479">
        <f t="shared" si="7"/>
        <v>0.63581014932709601</v>
      </c>
      <c r="AL19" s="479">
        <f t="shared" si="8"/>
        <v>0.52472801306878369</v>
      </c>
      <c r="AM19" s="479">
        <f t="shared" si="9"/>
        <v>0.59853176914311479</v>
      </c>
      <c r="AN19" s="479">
        <f t="shared" si="10"/>
        <v>0.65907388582376392</v>
      </c>
      <c r="AO19" s="479">
        <f t="shared" si="11"/>
        <v>0.96186115674901895</v>
      </c>
      <c r="AP19" s="479">
        <f t="shared" si="12"/>
        <v>0.97096664990988701</v>
      </c>
      <c r="AQ19" s="479">
        <f t="shared" si="13"/>
        <v>1.065929213051598</v>
      </c>
      <c r="AR19" s="479"/>
      <c r="AS19" s="479">
        <f t="shared" si="14"/>
        <v>0.5409255532817846</v>
      </c>
      <c r="AT19" s="479">
        <f t="shared" si="15"/>
        <v>0.41572694109812058</v>
      </c>
      <c r="AU19" s="479">
        <f t="shared" si="16"/>
        <v>0.3874721698867219</v>
      </c>
      <c r="AV19" s="479">
        <f t="shared" si="17"/>
        <v>0.38009115205729899</v>
      </c>
      <c r="AW19" s="479">
        <f t="shared" si="18"/>
        <v>0.36928963838195134</v>
      </c>
      <c r="AX19" s="479">
        <f t="shared" si="19"/>
        <v>0.34535075190447584</v>
      </c>
      <c r="AY19" s="479">
        <f t="shared" si="20"/>
        <v>0.39397799899293179</v>
      </c>
      <c r="AZ19" s="479">
        <f t="shared" si="21"/>
        <v>0.35641111713276868</v>
      </c>
      <c r="BA19" s="479">
        <f t="shared" si="22"/>
        <v>0.41310273709817824</v>
      </c>
      <c r="BB19" s="479">
        <f t="shared" si="23"/>
        <v>0.41068057996623142</v>
      </c>
      <c r="BC19" s="479">
        <f t="shared" si="24"/>
        <v>0.51722515970724714</v>
      </c>
      <c r="BD19" s="479">
        <f t="shared" si="25"/>
        <v>0.55176788015787159</v>
      </c>
    </row>
    <row r="20" spans="1:56" ht="15">
      <c r="A20" s="63" t="str">
        <f>VLOOKUP(CONCATENATE($C20," - ",$B20),[2]ACHIEV!$B$12:$C$100,2,FALSE)</f>
        <v>LO20Fast</v>
      </c>
      <c r="B20" s="63" t="str">
        <f>'SC-New'!$C$7</f>
        <v>New</v>
      </c>
      <c r="C20" s="63" t="str">
        <f>'SC-New'!$C$8</f>
        <v>Lighting</v>
      </c>
      <c r="D20" s="63" t="s">
        <v>795</v>
      </c>
      <c r="E20" s="63" t="str">
        <f>'SC-New'!$A$9</f>
        <v>Lighting</v>
      </c>
      <c r="F20" s="478">
        <f t="shared" si="1"/>
        <v>1.8749503794567041E-3</v>
      </c>
      <c r="G20" s="71">
        <f>'SC-New'!A61</f>
        <v>7.1768930642853626</v>
      </c>
      <c r="H20" s="71">
        <f>'SC-New'!B61</f>
        <v>355.22288385759038</v>
      </c>
      <c r="I20" s="1" t="str">
        <f>'SC-New'!C61</f>
        <v>Multifamily - Low Rise</v>
      </c>
      <c r="J20" s="1" t="str">
        <f>'SC-New'!D61</f>
        <v>2016 - LEDDecorative and Mini-Base1440 to 2600 lumensANY</v>
      </c>
      <c r="K20" s="37">
        <f>'SC-New'!E61</f>
        <v>3.6036157864444775E-5</v>
      </c>
      <c r="L20" s="37">
        <f>'SC-New'!F61</f>
        <v>0</v>
      </c>
      <c r="M20" s="37">
        <f>'SC-New'!G61</f>
        <v>0</v>
      </c>
      <c r="N20" s="37">
        <f>'SC-New'!H61</f>
        <v>0</v>
      </c>
      <c r="O20" s="37">
        <f>'SC-New'!I61</f>
        <v>0</v>
      </c>
      <c r="P20" s="37">
        <f>'SC-New'!J61</f>
        <v>0</v>
      </c>
      <c r="Q20" s="37">
        <f>'SC-New'!K61</f>
        <v>0</v>
      </c>
      <c r="R20" s="37">
        <f>'SC-New'!L61</f>
        <v>0</v>
      </c>
      <c r="S20" s="37">
        <f>'SC-New'!M61</f>
        <v>0</v>
      </c>
      <c r="T20" s="37">
        <f>'SC-New'!N61</f>
        <v>0</v>
      </c>
      <c r="U20" s="37">
        <f>'SC-New'!O61</f>
        <v>0</v>
      </c>
      <c r="V20" s="37">
        <f>'SC-New'!P61</f>
        <v>0</v>
      </c>
      <c r="W20" s="37">
        <f>'SC-New'!Q61</f>
        <v>0</v>
      </c>
      <c r="X20" s="37">
        <f>'SC-New'!R61</f>
        <v>0</v>
      </c>
      <c r="Y20" s="37">
        <f>'SC-New'!S61</f>
        <v>0</v>
      </c>
      <c r="Z20" s="37">
        <f>'SC-New'!T61</f>
        <v>0</v>
      </c>
      <c r="AA20" s="37">
        <f>'SC-New'!U61</f>
        <v>0</v>
      </c>
      <c r="AB20" s="37">
        <f>'SC-New'!V61</f>
        <v>0</v>
      </c>
      <c r="AC20" s="37">
        <f>'SC-New'!W61</f>
        <v>0</v>
      </c>
      <c r="AD20" s="37">
        <f>'SC-New'!X61</f>
        <v>0</v>
      </c>
      <c r="AE20" s="37">
        <f>'SC-New'!Y61</f>
        <v>3.6036157864444775E-5</v>
      </c>
      <c r="AF20" s="479">
        <f t="shared" si="2"/>
        <v>0.51349789829993253</v>
      </c>
      <c r="AG20" s="479">
        <f t="shared" si="3"/>
        <v>0.40841293178381172</v>
      </c>
      <c r="AH20" s="479">
        <f t="shared" si="4"/>
        <v>0.41262718748516447</v>
      </c>
      <c r="AI20" s="479">
        <f t="shared" si="5"/>
        <v>0.33652778973274827</v>
      </c>
      <c r="AJ20" s="479">
        <f t="shared" si="6"/>
        <v>0.30643893983415893</v>
      </c>
      <c r="AK20" s="479">
        <f t="shared" si="7"/>
        <v>0.31487267927406898</v>
      </c>
      <c r="AL20" s="479">
        <f t="shared" si="8"/>
        <v>0.25986139972755762</v>
      </c>
      <c r="AM20" s="479">
        <f t="shared" si="9"/>
        <v>0.29641128248770077</v>
      </c>
      <c r="AN20" s="479">
        <f t="shared" si="10"/>
        <v>0.32639359483099145</v>
      </c>
      <c r="AO20" s="479">
        <f t="shared" si="11"/>
        <v>0.47634313455950961</v>
      </c>
      <c r="AP20" s="479">
        <f t="shared" si="12"/>
        <v>0.4808524539384289</v>
      </c>
      <c r="AQ20" s="479">
        <f t="shared" si="13"/>
        <v>0.52788082666700065</v>
      </c>
      <c r="AR20" s="479"/>
      <c r="AS20" s="479">
        <f t="shared" si="14"/>
        <v>0.26788291824203048</v>
      </c>
      <c r="AT20" s="479">
        <f t="shared" si="15"/>
        <v>0.20588072701971843</v>
      </c>
      <c r="AU20" s="479">
        <f t="shared" si="16"/>
        <v>0.19188809805174015</v>
      </c>
      <c r="AV20" s="479">
        <f t="shared" si="17"/>
        <v>0.18823279172770654</v>
      </c>
      <c r="AW20" s="479">
        <f t="shared" si="18"/>
        <v>0.18288355099166023</v>
      </c>
      <c r="AX20" s="479">
        <f t="shared" si="19"/>
        <v>0.17102828046479313</v>
      </c>
      <c r="AY20" s="479">
        <f t="shared" si="20"/>
        <v>0.19510998408759461</v>
      </c>
      <c r="AZ20" s="479">
        <f t="shared" si="21"/>
        <v>0.17650571242599744</v>
      </c>
      <c r="BA20" s="479">
        <f t="shared" si="22"/>
        <v>0.20458114074337783</v>
      </c>
      <c r="BB20" s="479">
        <f t="shared" si="23"/>
        <v>0.20338161427063109</v>
      </c>
      <c r="BC20" s="479">
        <f t="shared" si="24"/>
        <v>0.25614575671266115</v>
      </c>
      <c r="BD20" s="479">
        <f t="shared" si="25"/>
        <v>0.27325237092637639</v>
      </c>
    </row>
    <row r="21" spans="1:56" ht="15">
      <c r="A21" s="63" t="str">
        <f>VLOOKUP(CONCATENATE($C21," - ",$B21),[2]ACHIEV!$B$12:$C$100,2,FALSE)</f>
        <v>LO20Fast</v>
      </c>
      <c r="B21" s="63" t="str">
        <f>'SC-New'!$C$7</f>
        <v>New</v>
      </c>
      <c r="C21" s="63" t="str">
        <f>'SC-New'!$C$8</f>
        <v>Lighting</v>
      </c>
      <c r="D21" s="63" t="s">
        <v>795</v>
      </c>
      <c r="E21" s="63" t="str">
        <f>'SC-New'!$A$9</f>
        <v>Lighting</v>
      </c>
      <c r="F21" s="478">
        <f t="shared" si="1"/>
        <v>4.7955325150829165E-4</v>
      </c>
      <c r="G21" s="71">
        <f>'SC-New'!A62</f>
        <v>1.835623194306955</v>
      </c>
      <c r="H21" s="71">
        <f>'SC-New'!B62</f>
        <v>45.354656455601045</v>
      </c>
      <c r="I21" s="1" t="str">
        <f>'SC-New'!C62</f>
        <v>Multifamily - Low Rise</v>
      </c>
      <c r="J21" s="1" t="str">
        <f>'SC-New'!D62</f>
        <v>2016 - LEDGeneral Purpose and Dimmable250 to 664 lumensANY</v>
      </c>
      <c r="K21" s="37">
        <f>'SC-New'!E62</f>
        <v>1.4283377835719517E-3</v>
      </c>
      <c r="L21" s="37">
        <f>'SC-New'!F62</f>
        <v>0</v>
      </c>
      <c r="M21" s="37">
        <f>'SC-New'!G62</f>
        <v>0</v>
      </c>
      <c r="N21" s="37">
        <f>'SC-New'!H62</f>
        <v>0</v>
      </c>
      <c r="O21" s="37">
        <f>'SC-New'!I62</f>
        <v>0</v>
      </c>
      <c r="P21" s="37">
        <f>'SC-New'!J62</f>
        <v>0</v>
      </c>
      <c r="Q21" s="37">
        <f>'SC-New'!K62</f>
        <v>0</v>
      </c>
      <c r="R21" s="37">
        <f>'SC-New'!L62</f>
        <v>0</v>
      </c>
      <c r="S21" s="37">
        <f>'SC-New'!M62</f>
        <v>0</v>
      </c>
      <c r="T21" s="37">
        <f>'SC-New'!N62</f>
        <v>0</v>
      </c>
      <c r="U21" s="37">
        <f>'SC-New'!O62</f>
        <v>0</v>
      </c>
      <c r="V21" s="37">
        <f>'SC-New'!P62</f>
        <v>0</v>
      </c>
      <c r="W21" s="37">
        <f>'SC-New'!Q62</f>
        <v>0</v>
      </c>
      <c r="X21" s="37">
        <f>'SC-New'!R62</f>
        <v>0</v>
      </c>
      <c r="Y21" s="37">
        <f>'SC-New'!S62</f>
        <v>0</v>
      </c>
      <c r="Z21" s="37">
        <f>'SC-New'!T62</f>
        <v>0</v>
      </c>
      <c r="AA21" s="37">
        <f>'SC-New'!U62</f>
        <v>0</v>
      </c>
      <c r="AB21" s="37">
        <f>'SC-New'!V62</f>
        <v>0</v>
      </c>
      <c r="AC21" s="37">
        <f>'SC-New'!W62</f>
        <v>0</v>
      </c>
      <c r="AD21" s="37">
        <f>'SC-New'!X62</f>
        <v>0</v>
      </c>
      <c r="AE21" s="37">
        <f>'SC-New'!Y62</f>
        <v>1.4283377835719517E-3</v>
      </c>
      <c r="AF21" s="479">
        <f t="shared" si="2"/>
        <v>0.13133658867482209</v>
      </c>
      <c r="AG21" s="479">
        <f t="shared" si="3"/>
        <v>0.10445916411489954</v>
      </c>
      <c r="AH21" s="479">
        <f t="shared" si="4"/>
        <v>0.1055370379863439</v>
      </c>
      <c r="AI21" s="479">
        <f t="shared" si="5"/>
        <v>8.6073208953935804E-2</v>
      </c>
      <c r="AJ21" s="479">
        <f t="shared" si="6"/>
        <v>7.837742886230771E-2</v>
      </c>
      <c r="AK21" s="479">
        <f t="shared" si="7"/>
        <v>8.0534513772445179E-2</v>
      </c>
      <c r="AL21" s="479">
        <f t="shared" si="8"/>
        <v>6.6464361161896968E-2</v>
      </c>
      <c r="AM21" s="479">
        <f t="shared" si="9"/>
        <v>7.5812669955515485E-2</v>
      </c>
      <c r="AN21" s="479">
        <f t="shared" si="10"/>
        <v>8.3481201096125474E-2</v>
      </c>
      <c r="AO21" s="479">
        <f t="shared" si="11"/>
        <v>0.12183357037846314</v>
      </c>
      <c r="AP21" s="479">
        <f t="shared" si="12"/>
        <v>0.12298691224496987</v>
      </c>
      <c r="AQ21" s="479">
        <f t="shared" si="13"/>
        <v>0.13501528873014673</v>
      </c>
      <c r="AR21" s="479"/>
      <c r="AS21" s="479">
        <f t="shared" si="14"/>
        <v>6.851601294308389E-2</v>
      </c>
      <c r="AT21" s="479">
        <f t="shared" si="15"/>
        <v>5.2657805319523042E-2</v>
      </c>
      <c r="AU21" s="479">
        <f t="shared" si="16"/>
        <v>4.9078931557174459E-2</v>
      </c>
      <c r="AV21" s="479">
        <f t="shared" si="17"/>
        <v>4.8144019331146884E-2</v>
      </c>
      <c r="AW21" s="479">
        <f t="shared" si="18"/>
        <v>4.6775852036599626E-2</v>
      </c>
      <c r="AX21" s="479">
        <f t="shared" si="19"/>
        <v>4.3743647242829607E-2</v>
      </c>
      <c r="AY21" s="479">
        <f t="shared" si="20"/>
        <v>4.99029885249812E-2</v>
      </c>
      <c r="AZ21" s="479">
        <f t="shared" si="21"/>
        <v>4.5144601815116529E-2</v>
      </c>
      <c r="BA21" s="479">
        <f t="shared" si="22"/>
        <v>5.2325412083273619E-2</v>
      </c>
      <c r="BB21" s="479">
        <f t="shared" si="23"/>
        <v>5.2018610993186824E-2</v>
      </c>
      <c r="BC21" s="479">
        <f t="shared" si="24"/>
        <v>6.5514016710779291E-2</v>
      </c>
      <c r="BD21" s="479">
        <f t="shared" si="25"/>
        <v>6.98893498173878E-2</v>
      </c>
    </row>
    <row r="22" spans="1:56" ht="15">
      <c r="A22" s="63" t="str">
        <f>VLOOKUP(CONCATENATE($C22," - ",$B22),[2]ACHIEV!$B$12:$C$100,2,FALSE)</f>
        <v>LO20Fast</v>
      </c>
      <c r="B22" s="63" t="str">
        <f>'SC-New'!$C$7</f>
        <v>New</v>
      </c>
      <c r="C22" s="63" t="str">
        <f>'SC-New'!$C$8</f>
        <v>Lighting</v>
      </c>
      <c r="D22" s="63" t="s">
        <v>795</v>
      </c>
      <c r="E22" s="63" t="str">
        <f>'SC-New'!$A$9</f>
        <v>Lighting</v>
      </c>
      <c r="F22" s="478">
        <f t="shared" si="1"/>
        <v>1.8717307205817217E-3</v>
      </c>
      <c r="G22" s="71">
        <f>'SC-New'!A63</f>
        <v>7.1645689261628798</v>
      </c>
      <c r="H22" s="71">
        <f>'SC-New'!B63</f>
        <v>56.611757463143533</v>
      </c>
      <c r="I22" s="1" t="str">
        <f>'SC-New'!C63</f>
        <v>Multifamily - Low Rise</v>
      </c>
      <c r="J22" s="1" t="str">
        <f>'SC-New'!D63</f>
        <v>2016 - LEDGeneral Purpose and Dimmable665 to 1439 lumensANY</v>
      </c>
      <c r="K22" s="37">
        <f>'SC-New'!E63</f>
        <v>4.3018547346141141E-2</v>
      </c>
      <c r="L22" s="37">
        <f>'SC-New'!F63</f>
        <v>0</v>
      </c>
      <c r="M22" s="37">
        <f>'SC-New'!G63</f>
        <v>0</v>
      </c>
      <c r="N22" s="37">
        <f>'SC-New'!H63</f>
        <v>0</v>
      </c>
      <c r="O22" s="37">
        <f>'SC-New'!I63</f>
        <v>0</v>
      </c>
      <c r="P22" s="37">
        <f>'SC-New'!J63</f>
        <v>0</v>
      </c>
      <c r="Q22" s="37">
        <f>'SC-New'!K63</f>
        <v>0</v>
      </c>
      <c r="R22" s="37">
        <f>'SC-New'!L63</f>
        <v>0</v>
      </c>
      <c r="S22" s="37">
        <f>'SC-New'!M63</f>
        <v>0</v>
      </c>
      <c r="T22" s="37">
        <f>'SC-New'!N63</f>
        <v>0</v>
      </c>
      <c r="U22" s="37">
        <f>'SC-New'!O63</f>
        <v>0</v>
      </c>
      <c r="V22" s="37">
        <f>'SC-New'!P63</f>
        <v>0</v>
      </c>
      <c r="W22" s="37">
        <f>'SC-New'!Q63</f>
        <v>0</v>
      </c>
      <c r="X22" s="37">
        <f>'SC-New'!R63</f>
        <v>0</v>
      </c>
      <c r="Y22" s="37">
        <f>'SC-New'!S63</f>
        <v>0</v>
      </c>
      <c r="Z22" s="37">
        <f>'SC-New'!T63</f>
        <v>0</v>
      </c>
      <c r="AA22" s="37">
        <f>'SC-New'!U63</f>
        <v>0</v>
      </c>
      <c r="AB22" s="37">
        <f>'SC-New'!V63</f>
        <v>0</v>
      </c>
      <c r="AC22" s="37">
        <f>'SC-New'!W63</f>
        <v>0</v>
      </c>
      <c r="AD22" s="37">
        <f>'SC-New'!X63</f>
        <v>0</v>
      </c>
      <c r="AE22" s="37">
        <f>'SC-New'!Y63</f>
        <v>4.3018547346141141E-2</v>
      </c>
      <c r="AF22" s="479">
        <f t="shared" si="2"/>
        <v>0.5126161213293734</v>
      </c>
      <c r="AG22" s="479">
        <f t="shared" si="3"/>
        <v>0.40771160638614634</v>
      </c>
      <c r="AH22" s="479">
        <f t="shared" si="4"/>
        <v>0.41191862538090729</v>
      </c>
      <c r="AI22" s="479">
        <f t="shared" si="5"/>
        <v>0.33594990527417118</v>
      </c>
      <c r="AJ22" s="479">
        <f t="shared" si="6"/>
        <v>0.3059127238536789</v>
      </c>
      <c r="AK22" s="479">
        <f t="shared" si="7"/>
        <v>0.31433198090283632</v>
      </c>
      <c r="AL22" s="479">
        <f t="shared" si="8"/>
        <v>0.25941516655196784</v>
      </c>
      <c r="AM22" s="479">
        <f t="shared" si="9"/>
        <v>0.2959022859687726</v>
      </c>
      <c r="AN22" s="479">
        <f t="shared" si="10"/>
        <v>0.32583311277992005</v>
      </c>
      <c r="AO22" s="479">
        <f t="shared" si="11"/>
        <v>0.47552515963199937</v>
      </c>
      <c r="AP22" s="479">
        <f t="shared" si="12"/>
        <v>0.48002673562191084</v>
      </c>
      <c r="AQ22" s="479">
        <f t="shared" si="13"/>
        <v>0.52697435137723647</v>
      </c>
      <c r="AR22" s="479"/>
      <c r="AS22" s="479">
        <f t="shared" si="14"/>
        <v>0.26742291054016054</v>
      </c>
      <c r="AT22" s="479">
        <f t="shared" si="15"/>
        <v>0.20552718928496042</v>
      </c>
      <c r="AU22" s="479">
        <f t="shared" si="16"/>
        <v>0.19155858841529055</v>
      </c>
      <c r="AV22" s="479">
        <f t="shared" si="17"/>
        <v>0.18790955897174189</v>
      </c>
      <c r="AW22" s="479">
        <f t="shared" si="18"/>
        <v>0.18256950393500734</v>
      </c>
      <c r="AX22" s="479">
        <f t="shared" si="19"/>
        <v>0.17073459124127832</v>
      </c>
      <c r="AY22" s="479">
        <f t="shared" si="20"/>
        <v>0.19477494183861133</v>
      </c>
      <c r="AZ22" s="479">
        <f t="shared" si="21"/>
        <v>0.17620261737360352</v>
      </c>
      <c r="BA22" s="479">
        <f t="shared" si="22"/>
        <v>0.20422983465407252</v>
      </c>
      <c r="BB22" s="479">
        <f t="shared" si="23"/>
        <v>0.20303236800439955</v>
      </c>
      <c r="BC22" s="479">
        <f t="shared" si="24"/>
        <v>0.25570590402753146</v>
      </c>
      <c r="BD22" s="479">
        <f t="shared" si="25"/>
        <v>0.27278314281730076</v>
      </c>
    </row>
    <row r="23" spans="1:56" ht="15">
      <c r="A23" s="63" t="str">
        <f>VLOOKUP(CONCATENATE($C23," - ",$B23),[2]ACHIEV!$B$12:$C$100,2,FALSE)</f>
        <v>LO20Fast</v>
      </c>
      <c r="B23" s="63" t="str">
        <f>'SC-New'!$C$7</f>
        <v>New</v>
      </c>
      <c r="C23" s="63" t="str">
        <f>'SC-New'!$C$8</f>
        <v>Lighting</v>
      </c>
      <c r="D23" s="63" t="s">
        <v>795</v>
      </c>
      <c r="E23" s="63" t="str">
        <f>'SC-New'!$A$9</f>
        <v>Lighting</v>
      </c>
      <c r="F23" s="478">
        <f t="shared" si="1"/>
        <v>3.4972440175301935E-3</v>
      </c>
      <c r="G23" s="71">
        <f>'SC-New'!A64</f>
        <v>13.386672313322151</v>
      </c>
      <c r="H23" s="71">
        <f>'SC-New'!B64</f>
        <v>91.063681093838966</v>
      </c>
      <c r="I23" s="1" t="str">
        <f>'SC-New'!C64</f>
        <v>Multifamily - Low Rise</v>
      </c>
      <c r="J23" s="1" t="str">
        <f>'SC-New'!D64</f>
        <v>2016 - LEDGeneral Purpose and Dimmable1440 to 2600 lumensANY</v>
      </c>
      <c r="K23" s="37">
        <f>'SC-New'!E64</f>
        <v>8.0138101886819014E-3</v>
      </c>
      <c r="L23" s="37">
        <f>'SC-New'!F64</f>
        <v>0</v>
      </c>
      <c r="M23" s="37">
        <f>'SC-New'!G64</f>
        <v>0</v>
      </c>
      <c r="N23" s="37">
        <f>'SC-New'!H64</f>
        <v>0</v>
      </c>
      <c r="O23" s="37">
        <f>'SC-New'!I64</f>
        <v>0</v>
      </c>
      <c r="P23" s="37">
        <f>'SC-New'!J64</f>
        <v>0</v>
      </c>
      <c r="Q23" s="37">
        <f>'SC-New'!K64</f>
        <v>0</v>
      </c>
      <c r="R23" s="37">
        <f>'SC-New'!L64</f>
        <v>0</v>
      </c>
      <c r="S23" s="37">
        <f>'SC-New'!M64</f>
        <v>0</v>
      </c>
      <c r="T23" s="37">
        <f>'SC-New'!N64</f>
        <v>0</v>
      </c>
      <c r="U23" s="37">
        <f>'SC-New'!O64</f>
        <v>0</v>
      </c>
      <c r="V23" s="37">
        <f>'SC-New'!P64</f>
        <v>0</v>
      </c>
      <c r="W23" s="37">
        <f>'SC-New'!Q64</f>
        <v>0</v>
      </c>
      <c r="X23" s="37">
        <f>'SC-New'!R64</f>
        <v>0</v>
      </c>
      <c r="Y23" s="37">
        <f>'SC-New'!S64</f>
        <v>0</v>
      </c>
      <c r="Z23" s="37">
        <f>'SC-New'!T64</f>
        <v>0</v>
      </c>
      <c r="AA23" s="37">
        <f>'SC-New'!U64</f>
        <v>0</v>
      </c>
      <c r="AB23" s="37">
        <f>'SC-New'!V64</f>
        <v>0</v>
      </c>
      <c r="AC23" s="37">
        <f>'SC-New'!W64</f>
        <v>0</v>
      </c>
      <c r="AD23" s="37">
        <f>'SC-New'!X64</f>
        <v>0</v>
      </c>
      <c r="AE23" s="37">
        <f>'SC-New'!Y64</f>
        <v>8.0138101886819014E-3</v>
      </c>
      <c r="AF23" s="479">
        <f t="shared" si="2"/>
        <v>0.95779998901311492</v>
      </c>
      <c r="AG23" s="479">
        <f t="shared" si="3"/>
        <v>0.76179065750890984</v>
      </c>
      <c r="AH23" s="479">
        <f t="shared" si="4"/>
        <v>0.76965128182269515</v>
      </c>
      <c r="AI23" s="479">
        <f t="shared" si="5"/>
        <v>0.62770717149140953</v>
      </c>
      <c r="AJ23" s="479">
        <f t="shared" si="6"/>
        <v>0.57158405940526624</v>
      </c>
      <c r="AK23" s="479">
        <f t="shared" si="7"/>
        <v>0.58731505960921848</v>
      </c>
      <c r="AL23" s="479">
        <f t="shared" si="8"/>
        <v>0.48470548103121619</v>
      </c>
      <c r="AM23" s="479">
        <f t="shared" si="9"/>
        <v>0.552880009928018</v>
      </c>
      <c r="AN23" s="479">
        <f t="shared" si="10"/>
        <v>0.60880440324699125</v>
      </c>
      <c r="AO23" s="479">
        <f t="shared" si="11"/>
        <v>0.888497208183473</v>
      </c>
      <c r="AP23" s="479">
        <f t="shared" si="12"/>
        <v>0.89690819889226614</v>
      </c>
      <c r="AQ23" s="479">
        <f t="shared" si="13"/>
        <v>0.98462769108855308</v>
      </c>
      <c r="AR23" s="479"/>
      <c r="AS23" s="479">
        <f t="shared" si="14"/>
        <v>0.49966758773207559</v>
      </c>
      <c r="AT23" s="479">
        <f t="shared" si="15"/>
        <v>0.38401823791364159</v>
      </c>
      <c r="AU23" s="479">
        <f t="shared" si="16"/>
        <v>0.35791854029819764</v>
      </c>
      <c r="AV23" s="479">
        <f t="shared" si="17"/>
        <v>0.35110049417066713</v>
      </c>
      <c r="AW23" s="479">
        <f t="shared" si="18"/>
        <v>0.34112284336590948</v>
      </c>
      <c r="AX23" s="479">
        <f t="shared" si="19"/>
        <v>0.31900984540043698</v>
      </c>
      <c r="AY23" s="479">
        <f t="shared" si="20"/>
        <v>0.36392815089243707</v>
      </c>
      <c r="AZ23" s="479">
        <f t="shared" si="21"/>
        <v>0.32922660439717438</v>
      </c>
      <c r="BA23" s="479">
        <f t="shared" si="22"/>
        <v>0.38159418958681945</v>
      </c>
      <c r="BB23" s="479">
        <f t="shared" si="23"/>
        <v>0.37935677742559831</v>
      </c>
      <c r="BC23" s="479">
        <f t="shared" si="24"/>
        <v>0.47777489212203672</v>
      </c>
      <c r="BD23" s="479">
        <f t="shared" si="25"/>
        <v>0.50968293879602289</v>
      </c>
    </row>
    <row r="24" spans="1:56" ht="15">
      <c r="A24" s="63" t="str">
        <f>VLOOKUP(CONCATENATE($C24," - ",$B24),[2]ACHIEV!$B$12:$C$100,2,FALSE)</f>
        <v>LO20Fast</v>
      </c>
      <c r="B24" s="63" t="str">
        <f>'SC-New'!$C$7</f>
        <v>New</v>
      </c>
      <c r="C24" s="63" t="str">
        <f>'SC-New'!$C$8</f>
        <v>Lighting</v>
      </c>
      <c r="D24" s="63" t="s">
        <v>795</v>
      </c>
      <c r="E24" s="63" t="str">
        <f>'SC-New'!$A$9</f>
        <v>Lighting</v>
      </c>
      <c r="F24" s="478">
        <f t="shared" si="1"/>
        <v>3.7448609823725787E-3</v>
      </c>
      <c r="G24" s="71">
        <f>'SC-New'!A65</f>
        <v>14.33449498481688</v>
      </c>
      <c r="H24" s="71">
        <f>'SC-New'!B65</f>
        <v>-37.397069706053522</v>
      </c>
      <c r="I24" s="1" t="str">
        <f>'SC-New'!C65</f>
        <v>Multifamily - Low Rise</v>
      </c>
      <c r="J24" s="1" t="str">
        <f>'SC-New'!D65</f>
        <v>2016 - LEDGlobe250 to 664 lumensANY</v>
      </c>
      <c r="K24" s="37">
        <f>'SC-New'!E65</f>
        <v>7.3341588204358672E-3</v>
      </c>
      <c r="L24" s="37">
        <f>'SC-New'!F65</f>
        <v>0</v>
      </c>
      <c r="M24" s="37">
        <f>'SC-New'!G65</f>
        <v>0</v>
      </c>
      <c r="N24" s="37">
        <f>'SC-New'!H65</f>
        <v>0</v>
      </c>
      <c r="O24" s="37">
        <f>'SC-New'!I65</f>
        <v>0</v>
      </c>
      <c r="P24" s="37">
        <f>'SC-New'!J65</f>
        <v>0</v>
      </c>
      <c r="Q24" s="37">
        <f>'SC-New'!K65</f>
        <v>0</v>
      </c>
      <c r="R24" s="37">
        <f>'SC-New'!L65</f>
        <v>0</v>
      </c>
      <c r="S24" s="37">
        <f>'SC-New'!M65</f>
        <v>0</v>
      </c>
      <c r="T24" s="37">
        <f>'SC-New'!N65</f>
        <v>0</v>
      </c>
      <c r="U24" s="37">
        <f>'SC-New'!O65</f>
        <v>0</v>
      </c>
      <c r="V24" s="37">
        <f>'SC-New'!P65</f>
        <v>0</v>
      </c>
      <c r="W24" s="37">
        <f>'SC-New'!Q65</f>
        <v>0</v>
      </c>
      <c r="X24" s="37">
        <f>'SC-New'!R65</f>
        <v>0</v>
      </c>
      <c r="Y24" s="37">
        <f>'SC-New'!S65</f>
        <v>0</v>
      </c>
      <c r="Z24" s="37">
        <f>'SC-New'!T65</f>
        <v>0</v>
      </c>
      <c r="AA24" s="37">
        <f>'SC-New'!U65</f>
        <v>0</v>
      </c>
      <c r="AB24" s="37">
        <f>'SC-New'!V65</f>
        <v>0</v>
      </c>
      <c r="AC24" s="37">
        <f>'SC-New'!W65</f>
        <v>0</v>
      </c>
      <c r="AD24" s="37">
        <f>'SC-New'!X65</f>
        <v>0</v>
      </c>
      <c r="AE24" s="37">
        <f>'SC-New'!Y65</f>
        <v>7.3341588204358672E-3</v>
      </c>
      <c r="AF24" s="479">
        <f t="shared" si="2"/>
        <v>1.0256155389194634</v>
      </c>
      <c r="AG24" s="479">
        <f t="shared" si="3"/>
        <v>0.81572806922856911</v>
      </c>
      <c r="AH24" s="479">
        <f t="shared" si="4"/>
        <v>0.82414525291441687</v>
      </c>
      <c r="AI24" s="479">
        <f t="shared" si="5"/>
        <v>0.67215100893466262</v>
      </c>
      <c r="AJ24" s="479">
        <f t="shared" si="6"/>
        <v>0.61205418652043819</v>
      </c>
      <c r="AK24" s="479">
        <f t="shared" si="7"/>
        <v>0.62889899591383003</v>
      </c>
      <c r="AL24" s="479">
        <f t="shared" si="8"/>
        <v>0.51902430449729475</v>
      </c>
      <c r="AM24" s="479">
        <f t="shared" si="9"/>
        <v>0.59202582568870554</v>
      </c>
      <c r="AN24" s="479">
        <f t="shared" si="10"/>
        <v>0.65190985936016288</v>
      </c>
      <c r="AO24" s="479">
        <f t="shared" si="11"/>
        <v>0.95140588165850748</v>
      </c>
      <c r="AP24" s="479">
        <f t="shared" si="12"/>
        <v>0.96041239958249891</v>
      </c>
      <c r="AQ24" s="479">
        <f t="shared" si="13"/>
        <v>1.0543427350331549</v>
      </c>
      <c r="AR24" s="479"/>
      <c r="AS24" s="479">
        <f t="shared" si="14"/>
        <v>0.53504578006985537</v>
      </c>
      <c r="AT24" s="479">
        <f t="shared" si="15"/>
        <v>0.4112080565364355</v>
      </c>
      <c r="AU24" s="479">
        <f t="shared" si="16"/>
        <v>0.38326041011489015</v>
      </c>
      <c r="AV24" s="479">
        <f t="shared" si="17"/>
        <v>0.37595962275460831</v>
      </c>
      <c r="AW24" s="479">
        <f t="shared" si="18"/>
        <v>0.36527551978461797</v>
      </c>
      <c r="AX24" s="479">
        <f t="shared" si="19"/>
        <v>0.34159684512849148</v>
      </c>
      <c r="AY24" s="479">
        <f t="shared" si="20"/>
        <v>0.38969552191172535</v>
      </c>
      <c r="AZ24" s="479">
        <f t="shared" si="21"/>
        <v>0.35253698597694333</v>
      </c>
      <c r="BA24" s="479">
        <f t="shared" si="22"/>
        <v>0.40861237720922838</v>
      </c>
      <c r="BB24" s="479">
        <f t="shared" si="23"/>
        <v>0.40621654853326428</v>
      </c>
      <c r="BC24" s="479">
        <f t="shared" si="24"/>
        <v>0.51160300593741348</v>
      </c>
      <c r="BD24" s="479">
        <f t="shared" si="25"/>
        <v>0.54577025260769885</v>
      </c>
    </row>
    <row r="25" spans="1:56" ht="15">
      <c r="A25" s="63" t="str">
        <f>VLOOKUP(CONCATENATE($C25," - ",$B25),[2]ACHIEV!$B$12:$C$100,2,FALSE)</f>
        <v>LO20Fast</v>
      </c>
      <c r="B25" s="63" t="str">
        <f>'SC-New'!$C$7</f>
        <v>New</v>
      </c>
      <c r="C25" s="63" t="str">
        <f>'SC-New'!$C$8</f>
        <v>Lighting</v>
      </c>
      <c r="D25" s="63" t="s">
        <v>795</v>
      </c>
      <c r="E25" s="63" t="str">
        <f>'SC-New'!$A$9</f>
        <v>Lighting</v>
      </c>
      <c r="F25" s="478">
        <f t="shared" si="1"/>
        <v>2.5791399031027257E-3</v>
      </c>
      <c r="G25" s="71">
        <f>'SC-New'!A66</f>
        <v>9.8723739493112301</v>
      </c>
      <c r="H25" s="71">
        <f>'SC-New'!B66</f>
        <v>-94.996719014918995</v>
      </c>
      <c r="I25" s="1" t="str">
        <f>'SC-New'!C66</f>
        <v>Multifamily - Low Rise</v>
      </c>
      <c r="J25" s="1" t="str">
        <f>'SC-New'!D66</f>
        <v>2016 - LEDGlobe665 to 1439 lumensANY</v>
      </c>
      <c r="K25" s="37">
        <f>'SC-New'!E66</f>
        <v>3.0800568237428238E-3</v>
      </c>
      <c r="L25" s="37">
        <f>'SC-New'!F66</f>
        <v>0</v>
      </c>
      <c r="M25" s="37">
        <f>'SC-New'!G66</f>
        <v>0</v>
      </c>
      <c r="N25" s="37">
        <f>'SC-New'!H66</f>
        <v>0</v>
      </c>
      <c r="O25" s="37">
        <f>'SC-New'!I66</f>
        <v>0</v>
      </c>
      <c r="P25" s="37">
        <f>'SC-New'!J66</f>
        <v>0</v>
      </c>
      <c r="Q25" s="37">
        <f>'SC-New'!K66</f>
        <v>0</v>
      </c>
      <c r="R25" s="37">
        <f>'SC-New'!L66</f>
        <v>0</v>
      </c>
      <c r="S25" s="37">
        <f>'SC-New'!M66</f>
        <v>0</v>
      </c>
      <c r="T25" s="37">
        <f>'SC-New'!N66</f>
        <v>0</v>
      </c>
      <c r="U25" s="37">
        <f>'SC-New'!O66</f>
        <v>0</v>
      </c>
      <c r="V25" s="37">
        <f>'SC-New'!P66</f>
        <v>0</v>
      </c>
      <c r="W25" s="37">
        <f>'SC-New'!Q66</f>
        <v>0</v>
      </c>
      <c r="X25" s="37">
        <f>'SC-New'!R66</f>
        <v>0</v>
      </c>
      <c r="Y25" s="37">
        <f>'SC-New'!S66</f>
        <v>0</v>
      </c>
      <c r="Z25" s="37">
        <f>'SC-New'!T66</f>
        <v>0</v>
      </c>
      <c r="AA25" s="37">
        <f>'SC-New'!U66</f>
        <v>0</v>
      </c>
      <c r="AB25" s="37">
        <f>'SC-New'!V66</f>
        <v>0</v>
      </c>
      <c r="AC25" s="37">
        <f>'SC-New'!W66</f>
        <v>0</v>
      </c>
      <c r="AD25" s="37">
        <f>'SC-New'!X66</f>
        <v>0</v>
      </c>
      <c r="AE25" s="37">
        <f>'SC-New'!Y66</f>
        <v>3.0800568237428238E-3</v>
      </c>
      <c r="AF25" s="479">
        <f t="shared" si="2"/>
        <v>0.70635625037101069</v>
      </c>
      <c r="AG25" s="479">
        <f t="shared" si="3"/>
        <v>0.5618037153666039</v>
      </c>
      <c r="AH25" s="479">
        <f t="shared" si="4"/>
        <v>0.5676007514697069</v>
      </c>
      <c r="AI25" s="479">
        <f t="shared" si="5"/>
        <v>0.46292011805357608</v>
      </c>
      <c r="AJ25" s="479">
        <f t="shared" si="6"/>
        <v>0.42153056755549467</v>
      </c>
      <c r="AK25" s="479">
        <f t="shared" si="7"/>
        <v>0.43313183133301719</v>
      </c>
      <c r="AL25" s="479">
        <f t="shared" si="8"/>
        <v>0.35745954274676744</v>
      </c>
      <c r="AM25" s="479">
        <f t="shared" si="9"/>
        <v>0.40773674587345871</v>
      </c>
      <c r="AN25" s="479">
        <f t="shared" si="10"/>
        <v>0.44897974568782045</v>
      </c>
      <c r="AO25" s="479">
        <f t="shared" si="11"/>
        <v>0.65524698646555923</v>
      </c>
      <c r="AP25" s="479">
        <f t="shared" si="12"/>
        <v>0.66144990557927741</v>
      </c>
      <c r="AQ25" s="479">
        <f t="shared" si="13"/>
        <v>0.72614108568261104</v>
      </c>
      <c r="AR25" s="479"/>
      <c r="AS25" s="479">
        <f t="shared" si="14"/>
        <v>0.36849376461782796</v>
      </c>
      <c r="AT25" s="479">
        <f t="shared" si="15"/>
        <v>0.28320493393015522</v>
      </c>
      <c r="AU25" s="479">
        <f t="shared" si="16"/>
        <v>0.26395698576254489</v>
      </c>
      <c r="AV25" s="479">
        <f t="shared" si="17"/>
        <v>0.25892882795011757</v>
      </c>
      <c r="AW25" s="479">
        <f t="shared" si="18"/>
        <v>0.25157053176009392</v>
      </c>
      <c r="AX25" s="479">
        <f t="shared" si="19"/>
        <v>0.2352626861696519</v>
      </c>
      <c r="AY25" s="479">
        <f t="shared" si="20"/>
        <v>0.26838894029817884</v>
      </c>
      <c r="AZ25" s="479">
        <f t="shared" si="21"/>
        <v>0.24279731934845944</v>
      </c>
      <c r="BA25" s="479">
        <f t="shared" si="22"/>
        <v>0.28141725204824536</v>
      </c>
      <c r="BB25" s="479">
        <f t="shared" si="23"/>
        <v>0.27976721019935885</v>
      </c>
      <c r="BC25" s="479">
        <f t="shared" si="24"/>
        <v>0.35234838712878186</v>
      </c>
      <c r="BD25" s="479">
        <f t="shared" si="25"/>
        <v>0.37587986391290973</v>
      </c>
    </row>
    <row r="26" spans="1:56" ht="15">
      <c r="A26" s="63" t="str">
        <f>VLOOKUP(CONCATENATE($C26," - ",$B26),[2]ACHIEV!$B$12:$C$100,2,FALSE)</f>
        <v>LO20Fast</v>
      </c>
      <c r="B26" s="63" t="str">
        <f>'SC-New'!$C$7</f>
        <v>New</v>
      </c>
      <c r="C26" s="63" t="str">
        <f>'SC-New'!$C$8</f>
        <v>Lighting</v>
      </c>
      <c r="D26" s="63" t="s">
        <v>795</v>
      </c>
      <c r="E26" s="63" t="str">
        <f>'SC-New'!$A$9</f>
        <v>Lighting</v>
      </c>
      <c r="F26" s="478">
        <f t="shared" si="1"/>
        <v>2.7904432298357131E-3</v>
      </c>
      <c r="G26" s="71">
        <f>'SC-New'!A67</f>
        <v>10.681196090262945</v>
      </c>
      <c r="H26" s="71">
        <f>'SC-New'!B67</f>
        <v>-99.87829920820603</v>
      </c>
      <c r="I26" s="1" t="str">
        <f>'SC-New'!C67</f>
        <v>Multifamily - Low Rise</v>
      </c>
      <c r="J26" s="1" t="str">
        <f>'SC-New'!D67</f>
        <v>2016 - LEDGlobe1440 to 2600 lumensANY</v>
      </c>
      <c r="K26" s="37">
        <f>'SC-New'!E67</f>
        <v>2.5109899605786103E-4</v>
      </c>
      <c r="L26" s="37">
        <f>'SC-New'!F67</f>
        <v>0</v>
      </c>
      <c r="M26" s="37">
        <f>'SC-New'!G67</f>
        <v>0</v>
      </c>
      <c r="N26" s="37">
        <f>'SC-New'!H67</f>
        <v>0</v>
      </c>
      <c r="O26" s="37">
        <f>'SC-New'!I67</f>
        <v>0</v>
      </c>
      <c r="P26" s="37">
        <f>'SC-New'!J67</f>
        <v>0</v>
      </c>
      <c r="Q26" s="37">
        <f>'SC-New'!K67</f>
        <v>0</v>
      </c>
      <c r="R26" s="37">
        <f>'SC-New'!L67</f>
        <v>0</v>
      </c>
      <c r="S26" s="37">
        <f>'SC-New'!M67</f>
        <v>0</v>
      </c>
      <c r="T26" s="37">
        <f>'SC-New'!N67</f>
        <v>0</v>
      </c>
      <c r="U26" s="37">
        <f>'SC-New'!O67</f>
        <v>0</v>
      </c>
      <c r="V26" s="37">
        <f>'SC-New'!P67</f>
        <v>0</v>
      </c>
      <c r="W26" s="37">
        <f>'SC-New'!Q67</f>
        <v>0</v>
      </c>
      <c r="X26" s="37">
        <f>'SC-New'!R67</f>
        <v>0</v>
      </c>
      <c r="Y26" s="37">
        <f>'SC-New'!S67</f>
        <v>0</v>
      </c>
      <c r="Z26" s="37">
        <f>'SC-New'!T67</f>
        <v>0</v>
      </c>
      <c r="AA26" s="37">
        <f>'SC-New'!U67</f>
        <v>0</v>
      </c>
      <c r="AB26" s="37">
        <f>'SC-New'!V67</f>
        <v>0</v>
      </c>
      <c r="AC26" s="37">
        <f>'SC-New'!W67</f>
        <v>0</v>
      </c>
      <c r="AD26" s="37">
        <f>'SC-New'!X67</f>
        <v>0</v>
      </c>
      <c r="AE26" s="37">
        <f>'SC-New'!Y67</f>
        <v>2.5109899605786103E-4</v>
      </c>
      <c r="AF26" s="479">
        <f t="shared" si="2"/>
        <v>0.7642264827622347</v>
      </c>
      <c r="AG26" s="479">
        <f t="shared" si="3"/>
        <v>0.60783107273682868</v>
      </c>
      <c r="AH26" s="479">
        <f t="shared" si="4"/>
        <v>0.61410304740852306</v>
      </c>
      <c r="AI26" s="479">
        <f t="shared" si="5"/>
        <v>0.50084615721053449</v>
      </c>
      <c r="AJ26" s="479">
        <f t="shared" si="6"/>
        <v>0.45606565079660444</v>
      </c>
      <c r="AK26" s="479">
        <f t="shared" si="7"/>
        <v>0.46861738090111776</v>
      </c>
      <c r="AL26" s="479">
        <f t="shared" si="8"/>
        <v>0.38674542617789825</v>
      </c>
      <c r="AM26" s="479">
        <f t="shared" si="9"/>
        <v>0.44114173128378797</v>
      </c>
      <c r="AN26" s="479">
        <f t="shared" si="10"/>
        <v>0.48576368043499596</v>
      </c>
      <c r="AO26" s="479">
        <f t="shared" si="11"/>
        <v>0.70892994794639019</v>
      </c>
      <c r="AP26" s="479">
        <f t="shared" si="12"/>
        <v>0.71564105874160944</v>
      </c>
      <c r="AQ26" s="479">
        <f t="shared" si="13"/>
        <v>0.78563224663035736</v>
      </c>
      <c r="AR26" s="479"/>
      <c r="AS26" s="479">
        <f t="shared" si="14"/>
        <v>0.39868365786496762</v>
      </c>
      <c r="AT26" s="479">
        <f t="shared" si="15"/>
        <v>0.30640729864664351</v>
      </c>
      <c r="AU26" s="479">
        <f t="shared" si="16"/>
        <v>0.28558240791934209</v>
      </c>
      <c r="AV26" s="479">
        <f t="shared" si="17"/>
        <v>0.28014230406559065</v>
      </c>
      <c r="AW26" s="479">
        <f t="shared" si="18"/>
        <v>0.27218115866131221</v>
      </c>
      <c r="AX26" s="479">
        <f t="shared" si="19"/>
        <v>0.25453724672527844</v>
      </c>
      <c r="AY26" s="479">
        <f t="shared" si="20"/>
        <v>0.29037746285762667</v>
      </c>
      <c r="AZ26" s="479">
        <f t="shared" si="21"/>
        <v>0.26268917602457925</v>
      </c>
      <c r="BA26" s="479">
        <f t="shared" si="22"/>
        <v>0.30447315587351431</v>
      </c>
      <c r="BB26" s="479">
        <f t="shared" si="23"/>
        <v>0.30268792968216585</v>
      </c>
      <c r="BC26" s="479">
        <f t="shared" si="24"/>
        <v>0.3812155246887674</v>
      </c>
      <c r="BD26" s="479">
        <f t="shared" si="25"/>
        <v>0.4066748842222741</v>
      </c>
    </row>
    <row r="27" spans="1:56" ht="15">
      <c r="A27" s="63" t="str">
        <f>VLOOKUP(CONCATENATE($C27," - ",$B27),[2]ACHIEV!$B$12:$C$100,2,FALSE)</f>
        <v>LO20Fast</v>
      </c>
      <c r="B27" s="63" t="str">
        <f>'SC-New'!$C$7</f>
        <v>New</v>
      </c>
      <c r="C27" s="63" t="str">
        <f>'SC-New'!$C$8</f>
        <v>Lighting</v>
      </c>
      <c r="D27" s="63" t="s">
        <v>795</v>
      </c>
      <c r="E27" s="63" t="str">
        <f>'SC-New'!$A$9</f>
        <v>Lighting</v>
      </c>
      <c r="F27" s="478">
        <f t="shared" si="1"/>
        <v>5.3228772760490119E-3</v>
      </c>
      <c r="G27" s="71">
        <f>'SC-New'!A68</f>
        <v>20.374790406766845</v>
      </c>
      <c r="H27" s="71">
        <f>'SC-New'!B68</f>
        <v>-38.377975660533203</v>
      </c>
      <c r="I27" s="1" t="str">
        <f>'SC-New'!C68</f>
        <v>Multifamily - Low Rise</v>
      </c>
      <c r="J27" s="1" t="str">
        <f>'SC-New'!D68</f>
        <v>2016 - LEDReflectors and Outdoor250 to 664 lumensANY</v>
      </c>
      <c r="K27" s="37">
        <f>'SC-New'!E68</f>
        <v>3.3158592868931499E-3</v>
      </c>
      <c r="L27" s="37">
        <f>'SC-New'!F68</f>
        <v>0</v>
      </c>
      <c r="M27" s="37">
        <f>'SC-New'!G68</f>
        <v>0</v>
      </c>
      <c r="N27" s="37">
        <f>'SC-New'!H68</f>
        <v>0</v>
      </c>
      <c r="O27" s="37">
        <f>'SC-New'!I68</f>
        <v>0</v>
      </c>
      <c r="P27" s="37">
        <f>'SC-New'!J68</f>
        <v>0</v>
      </c>
      <c r="Q27" s="37">
        <f>'SC-New'!K68</f>
        <v>0</v>
      </c>
      <c r="R27" s="37">
        <f>'SC-New'!L68</f>
        <v>0</v>
      </c>
      <c r="S27" s="37">
        <f>'SC-New'!M68</f>
        <v>0</v>
      </c>
      <c r="T27" s="37">
        <f>'SC-New'!N68</f>
        <v>0</v>
      </c>
      <c r="U27" s="37">
        <f>'SC-New'!O68</f>
        <v>0</v>
      </c>
      <c r="V27" s="37">
        <f>'SC-New'!P68</f>
        <v>0</v>
      </c>
      <c r="W27" s="37">
        <f>'SC-New'!Q68</f>
        <v>0</v>
      </c>
      <c r="X27" s="37">
        <f>'SC-New'!R68</f>
        <v>0</v>
      </c>
      <c r="Y27" s="37">
        <f>'SC-New'!S68</f>
        <v>0</v>
      </c>
      <c r="Z27" s="37">
        <f>'SC-New'!T68</f>
        <v>0</v>
      </c>
      <c r="AA27" s="37">
        <f>'SC-New'!U68</f>
        <v>0</v>
      </c>
      <c r="AB27" s="37">
        <f>'SC-New'!V68</f>
        <v>0</v>
      </c>
      <c r="AC27" s="37">
        <f>'SC-New'!W68</f>
        <v>0</v>
      </c>
      <c r="AD27" s="37">
        <f>'SC-New'!X68</f>
        <v>0</v>
      </c>
      <c r="AE27" s="37">
        <f>'SC-New'!Y68</f>
        <v>3.3158592868931499E-3</v>
      </c>
      <c r="AF27" s="479">
        <f t="shared" si="2"/>
        <v>1.4577912696290392</v>
      </c>
      <c r="AG27" s="479">
        <f t="shared" si="3"/>
        <v>1.1594610383590722</v>
      </c>
      <c r="AH27" s="479">
        <f t="shared" si="4"/>
        <v>1.1714250701297106</v>
      </c>
      <c r="AI27" s="479">
        <f t="shared" si="5"/>
        <v>0.95538321672624815</v>
      </c>
      <c r="AJ27" s="479">
        <f t="shared" si="6"/>
        <v>0.86996268659250697</v>
      </c>
      <c r="AK27" s="479">
        <f t="shared" si="7"/>
        <v>0.89390559223346777</v>
      </c>
      <c r="AL27" s="479">
        <f t="shared" si="8"/>
        <v>0.73773170462938431</v>
      </c>
      <c r="AM27" s="479">
        <f t="shared" si="9"/>
        <v>0.84149473885037285</v>
      </c>
      <c r="AN27" s="479">
        <f t="shared" si="10"/>
        <v>0.92661281493607173</v>
      </c>
      <c r="AO27" s="479">
        <f t="shared" si="11"/>
        <v>1.3523110127764957</v>
      </c>
      <c r="AP27" s="479">
        <f t="shared" si="12"/>
        <v>1.3651127135124117</v>
      </c>
      <c r="AQ27" s="479">
        <f t="shared" si="13"/>
        <v>1.4986235835968849</v>
      </c>
      <c r="AR27" s="479"/>
      <c r="AS27" s="479">
        <f t="shared" si="14"/>
        <v>0.76050433855501731</v>
      </c>
      <c r="AT27" s="479">
        <f t="shared" si="15"/>
        <v>0.58448365110721312</v>
      </c>
      <c r="AU27" s="479">
        <f t="shared" si="16"/>
        <v>0.54475937489067727</v>
      </c>
      <c r="AV27" s="479">
        <f t="shared" si="17"/>
        <v>0.53438216854837683</v>
      </c>
      <c r="AW27" s="479">
        <f t="shared" si="18"/>
        <v>0.51919597894571268</v>
      </c>
      <c r="AX27" s="479">
        <f t="shared" si="19"/>
        <v>0.48553954153793449</v>
      </c>
      <c r="AY27" s="479">
        <f t="shared" si="20"/>
        <v>0.55390612573495235</v>
      </c>
      <c r="AZ27" s="479">
        <f t="shared" si="21"/>
        <v>0.5010896587233542</v>
      </c>
      <c r="BA27" s="479">
        <f t="shared" si="22"/>
        <v>0.58079419973058355</v>
      </c>
      <c r="BB27" s="479">
        <f t="shared" si="23"/>
        <v>0.57738881243406592</v>
      </c>
      <c r="BC27" s="479">
        <f t="shared" si="24"/>
        <v>0.72718320586024165</v>
      </c>
      <c r="BD27" s="479">
        <f t="shared" si="25"/>
        <v>0.77574790872704857</v>
      </c>
    </row>
    <row r="28" spans="1:56" ht="15">
      <c r="A28" s="63" t="str">
        <f>VLOOKUP(CONCATENATE($C28," - ",$B28),[2]ACHIEV!$B$12:$C$100,2,FALSE)</f>
        <v>LO20Fast</v>
      </c>
      <c r="B28" s="63" t="str">
        <f>'SC-New'!$C$7</f>
        <v>New</v>
      </c>
      <c r="C28" s="63" t="str">
        <f>'SC-New'!$C$8</f>
        <v>Lighting</v>
      </c>
      <c r="D28" s="63" t="s">
        <v>795</v>
      </c>
      <c r="E28" s="63" t="str">
        <f>'SC-New'!$A$9</f>
        <v>Lighting</v>
      </c>
      <c r="F28" s="478">
        <f t="shared" si="1"/>
        <v>4.0588070052657264E-3</v>
      </c>
      <c r="G28" s="71">
        <f>'SC-New'!A69</f>
        <v>15.536210538971808</v>
      </c>
      <c r="H28" s="71">
        <f>'SC-New'!B69</f>
        <v>-47.72588478334999</v>
      </c>
      <c r="I28" s="1" t="str">
        <f>'SC-New'!C69</f>
        <v>Multifamily - Low Rise</v>
      </c>
      <c r="J28" s="1" t="str">
        <f>'SC-New'!D69</f>
        <v>2016 - LEDReflectors and Outdoor665 to 1439 lumensANY</v>
      </c>
      <c r="K28" s="37">
        <f>'SC-New'!E69</f>
        <v>2.5548854714706134E-2</v>
      </c>
      <c r="L28" s="37">
        <f>'SC-New'!F69</f>
        <v>0</v>
      </c>
      <c r="M28" s="37">
        <f>'SC-New'!G69</f>
        <v>0</v>
      </c>
      <c r="N28" s="37">
        <f>'SC-New'!H69</f>
        <v>0</v>
      </c>
      <c r="O28" s="37">
        <f>'SC-New'!I69</f>
        <v>0</v>
      </c>
      <c r="P28" s="37">
        <f>'SC-New'!J69</f>
        <v>0</v>
      </c>
      <c r="Q28" s="37">
        <f>'SC-New'!K69</f>
        <v>0</v>
      </c>
      <c r="R28" s="37">
        <f>'SC-New'!L69</f>
        <v>0</v>
      </c>
      <c r="S28" s="37">
        <f>'SC-New'!M69</f>
        <v>0</v>
      </c>
      <c r="T28" s="37">
        <f>'SC-New'!N69</f>
        <v>0</v>
      </c>
      <c r="U28" s="37">
        <f>'SC-New'!O69</f>
        <v>0</v>
      </c>
      <c r="V28" s="37">
        <f>'SC-New'!P69</f>
        <v>0</v>
      </c>
      <c r="W28" s="37">
        <f>'SC-New'!Q69</f>
        <v>0</v>
      </c>
      <c r="X28" s="37">
        <f>'SC-New'!R69</f>
        <v>0</v>
      </c>
      <c r="Y28" s="37">
        <f>'SC-New'!S69</f>
        <v>0</v>
      </c>
      <c r="Z28" s="37">
        <f>'SC-New'!T69</f>
        <v>0</v>
      </c>
      <c r="AA28" s="37">
        <f>'SC-New'!U69</f>
        <v>0</v>
      </c>
      <c r="AB28" s="37">
        <f>'SC-New'!V69</f>
        <v>0</v>
      </c>
      <c r="AC28" s="37">
        <f>'SC-New'!W69</f>
        <v>0</v>
      </c>
      <c r="AD28" s="37">
        <f>'SC-New'!X69</f>
        <v>0</v>
      </c>
      <c r="AE28" s="37">
        <f>'SC-New'!Y69</f>
        <v>2.5548854714706134E-2</v>
      </c>
      <c r="AF28" s="479">
        <f t="shared" si="2"/>
        <v>1.1115968132516232</v>
      </c>
      <c r="AG28" s="479">
        <f t="shared" si="3"/>
        <v>0.88411367400858021</v>
      </c>
      <c r="AH28" s="479">
        <f t="shared" si="4"/>
        <v>0.89323650240449115</v>
      </c>
      <c r="AI28" s="479">
        <f t="shared" si="5"/>
        <v>0.72849999946647181</v>
      </c>
      <c r="AJ28" s="479">
        <f t="shared" si="6"/>
        <v>0.66336503051642903</v>
      </c>
      <c r="AK28" s="479">
        <f t="shared" si="7"/>
        <v>0.68162200472457402</v>
      </c>
      <c r="AL28" s="479">
        <f t="shared" si="8"/>
        <v>0.5625360975782151</v>
      </c>
      <c r="AM28" s="479">
        <f t="shared" si="9"/>
        <v>0.64165761557353207</v>
      </c>
      <c r="AN28" s="479">
        <f t="shared" si="10"/>
        <v>0.70656195688643419</v>
      </c>
      <c r="AO28" s="479">
        <f t="shared" si="11"/>
        <v>1.0311658765180765</v>
      </c>
      <c r="AP28" s="479">
        <f t="shared" si="12"/>
        <v>1.0409274452959347</v>
      </c>
      <c r="AQ28" s="479">
        <f t="shared" si="13"/>
        <v>1.1427323201173605</v>
      </c>
      <c r="AR28" s="479"/>
      <c r="AS28" s="479">
        <f t="shared" si="14"/>
        <v>0.57990071474149463</v>
      </c>
      <c r="AT28" s="479">
        <f t="shared" si="15"/>
        <v>0.44568120107742304</v>
      </c>
      <c r="AU28" s="479">
        <f t="shared" si="16"/>
        <v>0.41539059653685312</v>
      </c>
      <c r="AV28" s="479">
        <f t="shared" si="17"/>
        <v>0.40747775624148563</v>
      </c>
      <c r="AW28" s="479">
        <f t="shared" si="18"/>
        <v>0.39589796404527355</v>
      </c>
      <c r="AX28" s="479">
        <f t="shared" si="19"/>
        <v>0.3702342155050527</v>
      </c>
      <c r="AY28" s="479">
        <f t="shared" si="20"/>
        <v>0.42236518837446929</v>
      </c>
      <c r="AZ28" s="479">
        <f t="shared" si="21"/>
        <v>0.38209151021460364</v>
      </c>
      <c r="BA28" s="479">
        <f t="shared" si="22"/>
        <v>0.44286791602190761</v>
      </c>
      <c r="BB28" s="479">
        <f t="shared" si="23"/>
        <v>0.44027123586229888</v>
      </c>
      <c r="BC28" s="479">
        <f t="shared" si="24"/>
        <v>0.55449264316834523</v>
      </c>
      <c r="BD28" s="479">
        <f t="shared" si="25"/>
        <v>0.59152426084087517</v>
      </c>
    </row>
    <row r="29" spans="1:56" ht="15">
      <c r="A29" s="63" t="str">
        <f>VLOOKUP(CONCATENATE($C29," - ",$B29),[2]ACHIEV!$B$12:$C$100,2,FALSE)</f>
        <v>LO20Fast</v>
      </c>
      <c r="B29" s="63" t="str">
        <f>'SC-New'!$C$7</f>
        <v>New</v>
      </c>
      <c r="C29" s="63" t="str">
        <f>'SC-New'!$C$8</f>
        <v>Lighting</v>
      </c>
      <c r="D29" s="63" t="s">
        <v>795</v>
      </c>
      <c r="E29" s="63" t="str">
        <f>'SC-New'!$A$9</f>
        <v>Lighting</v>
      </c>
      <c r="F29" s="478">
        <f t="shared" si="1"/>
        <v>2.1728858656963793E-2</v>
      </c>
      <c r="G29" s="71">
        <f>'SC-New'!A70</f>
        <v>83.173238448682625</v>
      </c>
      <c r="H29" s="71">
        <f>'SC-New'!B70</f>
        <v>-27.334459272113147</v>
      </c>
      <c r="I29" s="1" t="str">
        <f>'SC-New'!C70</f>
        <v>Multifamily - Low Rise</v>
      </c>
      <c r="J29" s="1" t="str">
        <f>'SC-New'!D70</f>
        <v>2016 - LEDReflectors and Outdoor1440 to 2600 lumensANY</v>
      </c>
      <c r="K29" s="37">
        <f>'SC-New'!E70</f>
        <v>1.1239886866338741E-2</v>
      </c>
      <c r="L29" s="37">
        <f>'SC-New'!F70</f>
        <v>0</v>
      </c>
      <c r="M29" s="37">
        <f>'SC-New'!G70</f>
        <v>0</v>
      </c>
      <c r="N29" s="37">
        <f>'SC-New'!H70</f>
        <v>0</v>
      </c>
      <c r="O29" s="37">
        <f>'SC-New'!I70</f>
        <v>0</v>
      </c>
      <c r="P29" s="37">
        <f>'SC-New'!J70</f>
        <v>0</v>
      </c>
      <c r="Q29" s="37">
        <f>'SC-New'!K70</f>
        <v>0</v>
      </c>
      <c r="R29" s="37">
        <f>'SC-New'!L70</f>
        <v>0</v>
      </c>
      <c r="S29" s="37">
        <f>'SC-New'!M70</f>
        <v>0</v>
      </c>
      <c r="T29" s="37">
        <f>'SC-New'!N70</f>
        <v>0</v>
      </c>
      <c r="U29" s="37">
        <f>'SC-New'!O70</f>
        <v>0</v>
      </c>
      <c r="V29" s="37">
        <f>'SC-New'!P70</f>
        <v>0</v>
      </c>
      <c r="W29" s="37">
        <f>'SC-New'!Q70</f>
        <v>0</v>
      </c>
      <c r="X29" s="37">
        <f>'SC-New'!R70</f>
        <v>0</v>
      </c>
      <c r="Y29" s="37">
        <f>'SC-New'!S70</f>
        <v>0</v>
      </c>
      <c r="Z29" s="37">
        <f>'SC-New'!T70</f>
        <v>0</v>
      </c>
      <c r="AA29" s="37">
        <f>'SC-New'!U70</f>
        <v>0</v>
      </c>
      <c r="AB29" s="37">
        <f>'SC-New'!V70</f>
        <v>0</v>
      </c>
      <c r="AC29" s="37">
        <f>'SC-New'!W70</f>
        <v>0</v>
      </c>
      <c r="AD29" s="37">
        <f>'SC-New'!X70</f>
        <v>0</v>
      </c>
      <c r="AE29" s="37">
        <f>'SC-New'!Y70</f>
        <v>1.1239886866338741E-2</v>
      </c>
      <c r="AF29" s="479">
        <f t="shared" si="2"/>
        <v>5.9509432223162761</v>
      </c>
      <c r="AG29" s="479">
        <f t="shared" si="3"/>
        <v>4.7331102548847825</v>
      </c>
      <c r="AH29" s="479">
        <f t="shared" si="4"/>
        <v>4.7819493961667678</v>
      </c>
      <c r="AI29" s="479">
        <f t="shared" si="5"/>
        <v>3.9000310927493396</v>
      </c>
      <c r="AJ29" s="479">
        <f t="shared" si="6"/>
        <v>3.5513304691165719</v>
      </c>
      <c r="AK29" s="479">
        <f t="shared" si="7"/>
        <v>3.6490693395674088</v>
      </c>
      <c r="AL29" s="479">
        <f t="shared" si="8"/>
        <v>3.0115418983605462</v>
      </c>
      <c r="AM29" s="479">
        <f t="shared" si="9"/>
        <v>3.4351196341371462</v>
      </c>
      <c r="AN29" s="479">
        <f t="shared" si="10"/>
        <v>3.7825855907055974</v>
      </c>
      <c r="AO29" s="479">
        <f t="shared" si="11"/>
        <v>5.5203555019188597</v>
      </c>
      <c r="AP29" s="479">
        <f t="shared" si="12"/>
        <v>5.5726141453993536</v>
      </c>
      <c r="AQ29" s="479">
        <f t="shared" si="13"/>
        <v>6.1176274295281043</v>
      </c>
      <c r="AR29" s="479"/>
      <c r="AS29" s="479">
        <f t="shared" si="14"/>
        <v>3.104503527598812</v>
      </c>
      <c r="AT29" s="479">
        <f t="shared" si="15"/>
        <v>2.3859581920779633</v>
      </c>
      <c r="AU29" s="479">
        <f t="shared" si="16"/>
        <v>2.2237971768234481</v>
      </c>
      <c r="AV29" s="479">
        <f t="shared" si="17"/>
        <v>2.181435717377334</v>
      </c>
      <c r="AW29" s="479">
        <f t="shared" si="18"/>
        <v>2.1194431989890319</v>
      </c>
      <c r="AX29" s="479">
        <f t="shared" si="19"/>
        <v>1.9820520976346545</v>
      </c>
      <c r="AY29" s="479">
        <f t="shared" si="20"/>
        <v>2.2611357149783688</v>
      </c>
      <c r="AZ29" s="479">
        <f t="shared" si="21"/>
        <v>2.0455302281453043</v>
      </c>
      <c r="BA29" s="479">
        <f t="shared" si="22"/>
        <v>2.3708972460281177</v>
      </c>
      <c r="BB29" s="479">
        <f t="shared" si="23"/>
        <v>2.3569958961752469</v>
      </c>
      <c r="BC29" s="479">
        <f t="shared" si="24"/>
        <v>2.9684811951147281</v>
      </c>
      <c r="BD29" s="479">
        <f t="shared" si="25"/>
        <v>3.1667302828888446</v>
      </c>
    </row>
    <row r="30" spans="1:56" ht="15">
      <c r="A30" s="63" t="str">
        <f>VLOOKUP(CONCATENATE($C30," - ",$B30),[2]ACHIEV!$B$12:$C$100,2,FALSE)</f>
        <v>LO20Fast</v>
      </c>
      <c r="B30" s="63" t="str">
        <f>'SC-New'!$C$7</f>
        <v>New</v>
      </c>
      <c r="C30" s="63" t="str">
        <f>'SC-New'!$C$8</f>
        <v>Lighting</v>
      </c>
      <c r="D30" s="63" t="s">
        <v>795</v>
      </c>
      <c r="E30" s="63" t="str">
        <f>'SC-New'!$A$9</f>
        <v>Lighting</v>
      </c>
      <c r="F30" s="478">
        <f t="shared" si="1"/>
        <v>1.2650011213785653E-2</v>
      </c>
      <c r="G30" s="71">
        <f>'SC-New'!A71</f>
        <v>48.421429568529426</v>
      </c>
      <c r="H30" s="71">
        <f>'SC-New'!B71</f>
        <v>-0.28395098554769854</v>
      </c>
      <c r="I30" s="1" t="str">
        <f>'SC-New'!C71</f>
        <v>Multifamily - Low Rise</v>
      </c>
      <c r="J30" s="1" t="str">
        <f>'SC-New'!D71</f>
        <v>2016 - LEDThree-Way250 to 664 lumensANY</v>
      </c>
      <c r="K30" s="37">
        <f>'SC-New'!E71</f>
        <v>1.0267776914776372E-4</v>
      </c>
      <c r="L30" s="37">
        <f>'SC-New'!F71</f>
        <v>0</v>
      </c>
      <c r="M30" s="37">
        <f>'SC-New'!G71</f>
        <v>0</v>
      </c>
      <c r="N30" s="37">
        <f>'SC-New'!H71</f>
        <v>0</v>
      </c>
      <c r="O30" s="37">
        <f>'SC-New'!I71</f>
        <v>0</v>
      </c>
      <c r="P30" s="37">
        <f>'SC-New'!J71</f>
        <v>0</v>
      </c>
      <c r="Q30" s="37">
        <f>'SC-New'!K71</f>
        <v>0</v>
      </c>
      <c r="R30" s="37">
        <f>'SC-New'!L71</f>
        <v>0</v>
      </c>
      <c r="S30" s="37">
        <f>'SC-New'!M71</f>
        <v>0</v>
      </c>
      <c r="T30" s="37">
        <f>'SC-New'!N71</f>
        <v>0</v>
      </c>
      <c r="U30" s="37">
        <f>'SC-New'!O71</f>
        <v>0</v>
      </c>
      <c r="V30" s="37">
        <f>'SC-New'!P71</f>
        <v>0</v>
      </c>
      <c r="W30" s="37">
        <f>'SC-New'!Q71</f>
        <v>0</v>
      </c>
      <c r="X30" s="37">
        <f>'SC-New'!R71</f>
        <v>0</v>
      </c>
      <c r="Y30" s="37">
        <f>'SC-New'!S71</f>
        <v>0</v>
      </c>
      <c r="Z30" s="37">
        <f>'SC-New'!T71</f>
        <v>0</v>
      </c>
      <c r="AA30" s="37">
        <f>'SC-New'!U71</f>
        <v>0</v>
      </c>
      <c r="AB30" s="37">
        <f>'SC-New'!V71</f>
        <v>0</v>
      </c>
      <c r="AC30" s="37">
        <f>'SC-New'!W71</f>
        <v>0</v>
      </c>
      <c r="AD30" s="37">
        <f>'SC-New'!X71</f>
        <v>0</v>
      </c>
      <c r="AE30" s="37">
        <f>'SC-New'!Y71</f>
        <v>1.0267776914776372E-4</v>
      </c>
      <c r="AF30" s="479">
        <f t="shared" si="2"/>
        <v>3.4644939103037795</v>
      </c>
      <c r="AG30" s="479">
        <f t="shared" si="3"/>
        <v>2.7555012780750743</v>
      </c>
      <c r="AH30" s="479">
        <f t="shared" si="4"/>
        <v>2.783934234202329</v>
      </c>
      <c r="AI30" s="479">
        <f t="shared" si="5"/>
        <v>2.2705029213110808</v>
      </c>
      <c r="AJ30" s="479">
        <f t="shared" si="6"/>
        <v>2.067497928327021</v>
      </c>
      <c r="AK30" s="479">
        <f t="shared" si="7"/>
        <v>2.1243991133706071</v>
      </c>
      <c r="AL30" s="479">
        <f t="shared" si="8"/>
        <v>1.7532461960599572</v>
      </c>
      <c r="AM30" s="479">
        <f t="shared" si="9"/>
        <v>1.9998428163461626</v>
      </c>
      <c r="AN30" s="479">
        <f t="shared" si="10"/>
        <v>2.2021290162976261</v>
      </c>
      <c r="AO30" s="479">
        <f t="shared" si="11"/>
        <v>3.2138162480511396</v>
      </c>
      <c r="AP30" s="479">
        <f t="shared" si="12"/>
        <v>3.2442399549048635</v>
      </c>
      <c r="AQ30" s="479">
        <f t="shared" si="13"/>
        <v>3.5615333877875557</v>
      </c>
      <c r="AR30" s="479"/>
      <c r="AS30" s="479">
        <f t="shared" si="14"/>
        <v>1.8073661878589267</v>
      </c>
      <c r="AT30" s="479">
        <f t="shared" si="15"/>
        <v>1.3890466297334463</v>
      </c>
      <c r="AU30" s="479">
        <f t="shared" si="16"/>
        <v>1.2946404442179886</v>
      </c>
      <c r="AV30" s="479">
        <f t="shared" si="17"/>
        <v>1.2699786363667083</v>
      </c>
      <c r="AW30" s="479">
        <f t="shared" si="18"/>
        <v>1.2338881050984445</v>
      </c>
      <c r="AX30" s="479">
        <f t="shared" si="19"/>
        <v>1.1539023589419051</v>
      </c>
      <c r="AY30" s="479">
        <f t="shared" si="20"/>
        <v>1.3163780298787402</v>
      </c>
      <c r="AZ30" s="479">
        <f t="shared" si="21"/>
        <v>1.1908577773311961</v>
      </c>
      <c r="BA30" s="479">
        <f t="shared" si="22"/>
        <v>1.3802785145080427</v>
      </c>
      <c r="BB30" s="479">
        <f t="shared" si="23"/>
        <v>1.3721854878883859</v>
      </c>
      <c r="BC30" s="479">
        <f t="shared" si="24"/>
        <v>1.7281773055336467</v>
      </c>
      <c r="BD30" s="479">
        <f t="shared" si="25"/>
        <v>1.8435930861347887</v>
      </c>
    </row>
    <row r="31" spans="1:56" ht="15">
      <c r="A31" s="63" t="str">
        <f>VLOOKUP(CONCATENATE($C31," - ",$B31),[2]ACHIEV!$B$12:$C$100,2,FALSE)</f>
        <v>LO20Fast</v>
      </c>
      <c r="B31" s="63" t="str">
        <f>'SC-New'!$C$7</f>
        <v>New</v>
      </c>
      <c r="C31" s="63" t="str">
        <f>'SC-New'!$C$8</f>
        <v>Lighting</v>
      </c>
      <c r="D31" s="63" t="s">
        <v>795</v>
      </c>
      <c r="E31" s="63" t="str">
        <f>'SC-New'!$A$9</f>
        <v>Lighting</v>
      </c>
      <c r="F31" s="478">
        <f t="shared" si="1"/>
        <v>1.3626103635974879E-2</v>
      </c>
      <c r="G31" s="71">
        <f>'SC-New'!A72</f>
        <v>52.157694278074032</v>
      </c>
      <c r="H31" s="71">
        <f>'SC-New'!B72</f>
        <v>-8.9398321624848585</v>
      </c>
      <c r="I31" s="1" t="str">
        <f>'SC-New'!C72</f>
        <v>Multifamily - Low Rise</v>
      </c>
      <c r="J31" s="1" t="str">
        <f>'SC-New'!D72</f>
        <v>2016 - LEDThree-Way665 to 1439 lumensANY</v>
      </c>
      <c r="K31" s="37">
        <f>'SC-New'!E72</f>
        <v>1.3651888590913478E-3</v>
      </c>
      <c r="L31" s="37">
        <f>'SC-New'!F72</f>
        <v>0</v>
      </c>
      <c r="M31" s="37">
        <f>'SC-New'!G72</f>
        <v>0</v>
      </c>
      <c r="N31" s="37">
        <f>'SC-New'!H72</f>
        <v>0</v>
      </c>
      <c r="O31" s="37">
        <f>'SC-New'!I72</f>
        <v>0</v>
      </c>
      <c r="P31" s="37">
        <f>'SC-New'!J72</f>
        <v>0</v>
      </c>
      <c r="Q31" s="37">
        <f>'SC-New'!K72</f>
        <v>0</v>
      </c>
      <c r="R31" s="37">
        <f>'SC-New'!L72</f>
        <v>0</v>
      </c>
      <c r="S31" s="37">
        <f>'SC-New'!M72</f>
        <v>0</v>
      </c>
      <c r="T31" s="37">
        <f>'SC-New'!N72</f>
        <v>0</v>
      </c>
      <c r="U31" s="37">
        <f>'SC-New'!O72</f>
        <v>0</v>
      </c>
      <c r="V31" s="37">
        <f>'SC-New'!P72</f>
        <v>0</v>
      </c>
      <c r="W31" s="37">
        <f>'SC-New'!Q72</f>
        <v>0</v>
      </c>
      <c r="X31" s="37">
        <f>'SC-New'!R72</f>
        <v>0</v>
      </c>
      <c r="Y31" s="37">
        <f>'SC-New'!S72</f>
        <v>0</v>
      </c>
      <c r="Z31" s="37">
        <f>'SC-New'!T72</f>
        <v>0</v>
      </c>
      <c r="AA31" s="37">
        <f>'SC-New'!U72</f>
        <v>0</v>
      </c>
      <c r="AB31" s="37">
        <f>'SC-New'!V72</f>
        <v>0</v>
      </c>
      <c r="AC31" s="37">
        <f>'SC-New'!W72</f>
        <v>0</v>
      </c>
      <c r="AD31" s="37">
        <f>'SC-New'!X72</f>
        <v>0</v>
      </c>
      <c r="AE31" s="37">
        <f>'SC-New'!Y72</f>
        <v>1.3651888590913478E-3</v>
      </c>
      <c r="AF31" s="479">
        <f t="shared" si="2"/>
        <v>3.731819068789251</v>
      </c>
      <c r="AG31" s="479">
        <f t="shared" si="3"/>
        <v>2.9681195810478593</v>
      </c>
      <c r="AH31" s="479">
        <f t="shared" si="4"/>
        <v>2.9987464635319547</v>
      </c>
      <c r="AI31" s="479">
        <f t="shared" si="5"/>
        <v>2.44569807794739</v>
      </c>
      <c r="AJ31" s="479">
        <f t="shared" si="6"/>
        <v>2.2270289379543238</v>
      </c>
      <c r="AK31" s="479">
        <f t="shared" si="7"/>
        <v>2.2883206974089516</v>
      </c>
      <c r="AL31" s="479">
        <f t="shared" si="8"/>
        <v>1.8885291058759777</v>
      </c>
      <c r="AM31" s="479">
        <f t="shared" si="9"/>
        <v>2.154153463634584</v>
      </c>
      <c r="AN31" s="479">
        <f t="shared" si="10"/>
        <v>2.3720483475270466</v>
      </c>
      <c r="AO31" s="479">
        <f t="shared" si="11"/>
        <v>3.4617987702020074</v>
      </c>
      <c r="AP31" s="479">
        <f t="shared" si="12"/>
        <v>3.4945700125015868</v>
      </c>
      <c r="AQ31" s="479">
        <f t="shared" si="13"/>
        <v>3.8363462470366358</v>
      </c>
      <c r="AR31" s="479"/>
      <c r="AS31" s="479">
        <f t="shared" si="14"/>
        <v>1.9468250713552193</v>
      </c>
      <c r="AT31" s="479">
        <f t="shared" si="15"/>
        <v>1.4962273955396257</v>
      </c>
      <c r="AU31" s="479">
        <f t="shared" si="16"/>
        <v>1.3945366977235774</v>
      </c>
      <c r="AV31" s="479">
        <f t="shared" si="17"/>
        <v>1.3679719505504024</v>
      </c>
      <c r="AW31" s="479">
        <f t="shared" si="18"/>
        <v>1.3290966237994797</v>
      </c>
      <c r="AX31" s="479">
        <f t="shared" si="19"/>
        <v>1.2429390664573923</v>
      </c>
      <c r="AY31" s="479">
        <f t="shared" si="20"/>
        <v>1.4179515856634783</v>
      </c>
      <c r="AZ31" s="479">
        <f t="shared" si="21"/>
        <v>1.2827460162199764</v>
      </c>
      <c r="BA31" s="479">
        <f t="shared" si="22"/>
        <v>1.4867827203741746</v>
      </c>
      <c r="BB31" s="479">
        <f t="shared" si="23"/>
        <v>1.4780652245882442</v>
      </c>
      <c r="BC31" s="479">
        <f t="shared" si="24"/>
        <v>1.8615258649635777</v>
      </c>
      <c r="BD31" s="479">
        <f t="shared" si="25"/>
        <v>1.98584728738131</v>
      </c>
    </row>
    <row r="32" spans="1:56" ht="15">
      <c r="A32" s="63" t="str">
        <f>VLOOKUP(CONCATENATE($C32," - ",$B32),[2]ACHIEV!$B$12:$C$100,2,FALSE)</f>
        <v>LO20Fast</v>
      </c>
      <c r="B32" s="63" t="str">
        <f>'SC-New'!$C$7</f>
        <v>New</v>
      </c>
      <c r="C32" s="63" t="str">
        <f>'SC-New'!$C$8</f>
        <v>Lighting</v>
      </c>
      <c r="D32" s="63" t="s">
        <v>795</v>
      </c>
      <c r="E32" s="63" t="str">
        <f>'SC-New'!$A$9</f>
        <v>Lighting</v>
      </c>
      <c r="F32" s="478">
        <f t="shared" si="1"/>
        <v>1.2193310022794003E-2</v>
      </c>
      <c r="G32" s="71">
        <f>'SC-New'!A73</f>
        <v>46.673278979590322</v>
      </c>
      <c r="H32" s="71">
        <f>'SC-New'!B73</f>
        <v>-22.011904676498236</v>
      </c>
      <c r="I32" s="1" t="str">
        <f>'SC-New'!C73</f>
        <v>Multifamily - High Rise</v>
      </c>
      <c r="J32" s="1" t="str">
        <f>'SC-New'!D73</f>
        <v>2016 - LEDThree-Way1440 to 2600 lumensANY</v>
      </c>
      <c r="K32" s="37">
        <f>'SC-New'!E73</f>
        <v>1.0604850791835123E-3</v>
      </c>
      <c r="L32" s="37">
        <f>'SC-New'!F73</f>
        <v>0</v>
      </c>
      <c r="M32" s="37">
        <f>'SC-New'!G73</f>
        <v>0</v>
      </c>
      <c r="N32" s="37">
        <f>'SC-New'!H73</f>
        <v>0</v>
      </c>
      <c r="O32" s="37">
        <f>'SC-New'!I73</f>
        <v>0</v>
      </c>
      <c r="P32" s="37">
        <f>'SC-New'!J73</f>
        <v>0</v>
      </c>
      <c r="Q32" s="37">
        <f>'SC-New'!K73</f>
        <v>0</v>
      </c>
      <c r="R32" s="37">
        <f>'SC-New'!L73</f>
        <v>0</v>
      </c>
      <c r="S32" s="37">
        <f>'SC-New'!M73</f>
        <v>0</v>
      </c>
      <c r="T32" s="37">
        <f>'SC-New'!N73</f>
        <v>0</v>
      </c>
      <c r="U32" s="37">
        <f>'SC-New'!O73</f>
        <v>0</v>
      </c>
      <c r="V32" s="37">
        <f>'SC-New'!P73</f>
        <v>0</v>
      </c>
      <c r="W32" s="37">
        <f>'SC-New'!Q73</f>
        <v>0</v>
      </c>
      <c r="X32" s="37">
        <f>'SC-New'!R73</f>
        <v>0</v>
      </c>
      <c r="Y32" s="37">
        <f>'SC-New'!S73</f>
        <v>0</v>
      </c>
      <c r="Z32" s="37">
        <f>'SC-New'!T73</f>
        <v>0</v>
      </c>
      <c r="AA32" s="37">
        <f>'SC-New'!U73</f>
        <v>0</v>
      </c>
      <c r="AB32" s="37">
        <f>'SC-New'!V73</f>
        <v>0</v>
      </c>
      <c r="AC32" s="37">
        <f>'SC-New'!W73</f>
        <v>0</v>
      </c>
      <c r="AD32" s="37">
        <f>'SC-New'!X73</f>
        <v>0</v>
      </c>
      <c r="AE32" s="37">
        <f>'SC-New'!Y73</f>
        <v>1.0604850791835123E-3</v>
      </c>
      <c r="AF32" s="479">
        <f t="shared" si="2"/>
        <v>3.3394158792823707</v>
      </c>
      <c r="AG32" s="479">
        <f t="shared" si="3"/>
        <v>2.6560198867776115</v>
      </c>
      <c r="AH32" s="479">
        <f t="shared" si="4"/>
        <v>2.6834263327534305</v>
      </c>
      <c r="AI32" s="479">
        <f t="shared" si="5"/>
        <v>2.1885313427260153</v>
      </c>
      <c r="AJ32" s="479">
        <f t="shared" si="6"/>
        <v>1.9928554042784474</v>
      </c>
      <c r="AK32" s="479">
        <f t="shared" si="7"/>
        <v>2.0477022955716913</v>
      </c>
      <c r="AL32" s="479">
        <f t="shared" si="8"/>
        <v>1.6899490485467938</v>
      </c>
      <c r="AM32" s="479">
        <f t="shared" si="9"/>
        <v>1.927642833232625</v>
      </c>
      <c r="AN32" s="479">
        <f t="shared" si="10"/>
        <v>2.1226259291094984</v>
      </c>
      <c r="AO32" s="479">
        <f t="shared" si="11"/>
        <v>3.0977883897901326</v>
      </c>
      <c r="AP32" s="479">
        <f t="shared" si="12"/>
        <v>3.127113714759473</v>
      </c>
      <c r="AQ32" s="479">
        <f t="shared" si="13"/>
        <v>3.4329519571097302</v>
      </c>
      <c r="AR32" s="479"/>
      <c r="AS32" s="479">
        <f t="shared" si="14"/>
        <v>1.7421151555393914</v>
      </c>
      <c r="AT32" s="479">
        <f t="shared" si="15"/>
        <v>1.3388981168648673</v>
      </c>
      <c r="AU32" s="479">
        <f t="shared" si="16"/>
        <v>1.2479002617163344</v>
      </c>
      <c r="AV32" s="479">
        <f t="shared" si="17"/>
        <v>1.22412881489536</v>
      </c>
      <c r="AW32" s="479">
        <f t="shared" si="18"/>
        <v>1.1893412539039743</v>
      </c>
      <c r="AX32" s="479">
        <f t="shared" si="19"/>
        <v>1.1122432194588867</v>
      </c>
      <c r="AY32" s="479">
        <f t="shared" si="20"/>
        <v>1.2688530590403191</v>
      </c>
      <c r="AZ32" s="479">
        <f t="shared" si="21"/>
        <v>1.1478644426995133</v>
      </c>
      <c r="BA32" s="479">
        <f t="shared" si="22"/>
        <v>1.330446555403608</v>
      </c>
      <c r="BB32" s="479">
        <f t="shared" si="23"/>
        <v>1.3226457099396403</v>
      </c>
      <c r="BC32" s="479">
        <f t="shared" si="24"/>
        <v>1.6657852158869719</v>
      </c>
      <c r="BD32" s="479">
        <f t="shared" si="25"/>
        <v>1.7770341603036266</v>
      </c>
    </row>
    <row r="33" spans="1:56" ht="15">
      <c r="A33" s="63" t="str">
        <f>VLOOKUP(CONCATENATE($C33," - ",$B33),[2]ACHIEV!$B$12:$C$100,2,FALSE)</f>
        <v>LO20Fast</v>
      </c>
      <c r="B33" s="63" t="str">
        <f>'SC-New'!$C$7</f>
        <v>New</v>
      </c>
      <c r="C33" s="63" t="str">
        <f>'SC-New'!$C$8</f>
        <v>Lighting</v>
      </c>
      <c r="D33" s="63" t="s">
        <v>795</v>
      </c>
      <c r="E33" s="63" t="str">
        <f>'SC-New'!$A$9</f>
        <v>Lighting</v>
      </c>
      <c r="F33" s="478">
        <f t="shared" si="1"/>
        <v>5.0254466343264623E-3</v>
      </c>
      <c r="G33" s="71">
        <f>'SC-New'!A74</f>
        <v>19.236292058718274</v>
      </c>
      <c r="H33" s="71">
        <f>'SC-New'!B74</f>
        <v>-15.059976945801358</v>
      </c>
      <c r="I33" s="1" t="str">
        <f>'SC-New'!C74</f>
        <v>Multifamily - High Rise</v>
      </c>
      <c r="J33" s="1" t="str">
        <f>'SC-New'!D74</f>
        <v>2016 - LEDDecorative and Mini-Base250 to 664 lumensANY</v>
      </c>
      <c r="K33" s="37">
        <f>'SC-New'!E74</f>
        <v>4.0239859948014755E-3</v>
      </c>
      <c r="L33" s="37">
        <f>'SC-New'!F74</f>
        <v>0</v>
      </c>
      <c r="M33" s="37">
        <f>'SC-New'!G74</f>
        <v>0</v>
      </c>
      <c r="N33" s="37">
        <f>'SC-New'!H74</f>
        <v>0</v>
      </c>
      <c r="O33" s="37">
        <f>'SC-New'!I74</f>
        <v>0</v>
      </c>
      <c r="P33" s="37">
        <f>'SC-New'!J74</f>
        <v>0</v>
      </c>
      <c r="Q33" s="37">
        <f>'SC-New'!K74</f>
        <v>0</v>
      </c>
      <c r="R33" s="37">
        <f>'SC-New'!L74</f>
        <v>0</v>
      </c>
      <c r="S33" s="37">
        <f>'SC-New'!M74</f>
        <v>0</v>
      </c>
      <c r="T33" s="37">
        <f>'SC-New'!N74</f>
        <v>0</v>
      </c>
      <c r="U33" s="37">
        <f>'SC-New'!O74</f>
        <v>0</v>
      </c>
      <c r="V33" s="37">
        <f>'SC-New'!P74</f>
        <v>0</v>
      </c>
      <c r="W33" s="37">
        <f>'SC-New'!Q74</f>
        <v>0</v>
      </c>
      <c r="X33" s="37">
        <f>'SC-New'!R74</f>
        <v>0</v>
      </c>
      <c r="Y33" s="37">
        <f>'SC-New'!S74</f>
        <v>0</v>
      </c>
      <c r="Z33" s="37">
        <f>'SC-New'!T74</f>
        <v>0</v>
      </c>
      <c r="AA33" s="37">
        <f>'SC-New'!U74</f>
        <v>0</v>
      </c>
      <c r="AB33" s="37">
        <f>'SC-New'!V74</f>
        <v>0</v>
      </c>
      <c r="AC33" s="37">
        <f>'SC-New'!W74</f>
        <v>0</v>
      </c>
      <c r="AD33" s="37">
        <f>'SC-New'!X74</f>
        <v>0</v>
      </c>
      <c r="AE33" s="37">
        <f>'SC-New'!Y74</f>
        <v>4.0239859948014755E-3</v>
      </c>
      <c r="AF33" s="479">
        <f t="shared" si="2"/>
        <v>1.3763331088755877</v>
      </c>
      <c r="AG33" s="479">
        <f t="shared" si="3"/>
        <v>1.0946729129136159</v>
      </c>
      <c r="AH33" s="479">
        <f t="shared" si="4"/>
        <v>1.10596842097751</v>
      </c>
      <c r="AI33" s="479">
        <f t="shared" si="5"/>
        <v>0.90199850982713226</v>
      </c>
      <c r="AJ33" s="479">
        <f t="shared" si="6"/>
        <v>0.8213510905085285</v>
      </c>
      <c r="AK33" s="479">
        <f t="shared" si="7"/>
        <v>0.84395611939220683</v>
      </c>
      <c r="AL33" s="479">
        <f t="shared" si="8"/>
        <v>0.69650888416077883</v>
      </c>
      <c r="AM33" s="479">
        <f t="shared" si="9"/>
        <v>0.79447386889558136</v>
      </c>
      <c r="AN33" s="479">
        <f t="shared" si="10"/>
        <v>0.87483573463123632</v>
      </c>
      <c r="AO33" s="479">
        <f t="shared" si="11"/>
        <v>1.2767468561222706</v>
      </c>
      <c r="AP33" s="479">
        <f t="shared" si="12"/>
        <v>1.2888332260572761</v>
      </c>
      <c r="AQ33" s="479">
        <f t="shared" si="13"/>
        <v>1.4148838032011544</v>
      </c>
      <c r="AR33" s="479"/>
      <c r="AS33" s="479">
        <f t="shared" si="14"/>
        <v>0.71800903353135914</v>
      </c>
      <c r="AT33" s="479">
        <f t="shared" si="15"/>
        <v>0.55182399385616432</v>
      </c>
      <c r="AU33" s="479">
        <f t="shared" si="16"/>
        <v>0.5143194225763198</v>
      </c>
      <c r="AV33" s="479">
        <f t="shared" si="17"/>
        <v>0.50452207163582741</v>
      </c>
      <c r="AW33" s="479">
        <f t="shared" si="18"/>
        <v>0.49018445281257317</v>
      </c>
      <c r="AX33" s="479">
        <f t="shared" si="19"/>
        <v>0.45840866289244864</v>
      </c>
      <c r="AY33" s="479">
        <f t="shared" si="20"/>
        <v>0.52295507315804879</v>
      </c>
      <c r="AZ33" s="479">
        <f t="shared" si="21"/>
        <v>0.47308987382783491</v>
      </c>
      <c r="BA33" s="479">
        <f t="shared" si="22"/>
        <v>0.54834070088478171</v>
      </c>
      <c r="BB33" s="479">
        <f t="shared" si="23"/>
        <v>0.54512559911926328</v>
      </c>
      <c r="BC33" s="479">
        <f t="shared" si="24"/>
        <v>0.68654981223644318</v>
      </c>
      <c r="BD33" s="479">
        <f t="shared" si="25"/>
        <v>0.73240082662432637</v>
      </c>
    </row>
    <row r="34" spans="1:56" ht="15">
      <c r="A34" s="63" t="str">
        <f>VLOOKUP(CONCATENATE($C34," - ",$B34),[2]ACHIEV!$B$12:$C$100,2,FALSE)</f>
        <v>LO20Fast</v>
      </c>
      <c r="B34" s="63" t="str">
        <f>'SC-New'!$C$7</f>
        <v>New</v>
      </c>
      <c r="C34" s="63" t="str">
        <f>'SC-New'!$C$8</f>
        <v>Lighting</v>
      </c>
      <c r="D34" s="63" t="s">
        <v>795</v>
      </c>
      <c r="E34" s="63" t="str">
        <f>'SC-New'!$A$9</f>
        <v>Lighting</v>
      </c>
      <c r="F34" s="478">
        <f t="shared" si="1"/>
        <v>3.7860143455178382E-3</v>
      </c>
      <c r="G34" s="71">
        <f>'SC-New'!A75</f>
        <v>14.492020906444102</v>
      </c>
      <c r="H34" s="71">
        <f>'SC-New'!B75</f>
        <v>-3.5286913755547569</v>
      </c>
      <c r="I34" s="1" t="str">
        <f>'SC-New'!C75</f>
        <v>Multifamily - High Rise</v>
      </c>
      <c r="J34" s="1" t="str">
        <f>'SC-New'!D75</f>
        <v>2016 - LEDDecorative and Mini-Base665 to 1439 lumensANY</v>
      </c>
      <c r="K34" s="37">
        <f>'SC-New'!E75</f>
        <v>8.3146901494528171E-4</v>
      </c>
      <c r="L34" s="37">
        <f>'SC-New'!F75</f>
        <v>0</v>
      </c>
      <c r="M34" s="37">
        <f>'SC-New'!G75</f>
        <v>0</v>
      </c>
      <c r="N34" s="37">
        <f>'SC-New'!H75</f>
        <v>0</v>
      </c>
      <c r="O34" s="37">
        <f>'SC-New'!I75</f>
        <v>0</v>
      </c>
      <c r="P34" s="37">
        <f>'SC-New'!J75</f>
        <v>0</v>
      </c>
      <c r="Q34" s="37">
        <f>'SC-New'!K75</f>
        <v>0</v>
      </c>
      <c r="R34" s="37">
        <f>'SC-New'!L75</f>
        <v>0</v>
      </c>
      <c r="S34" s="37">
        <f>'SC-New'!M75</f>
        <v>0</v>
      </c>
      <c r="T34" s="37">
        <f>'SC-New'!N75</f>
        <v>0</v>
      </c>
      <c r="U34" s="37">
        <f>'SC-New'!O75</f>
        <v>0</v>
      </c>
      <c r="V34" s="37">
        <f>'SC-New'!P75</f>
        <v>0</v>
      </c>
      <c r="W34" s="37">
        <f>'SC-New'!Q75</f>
        <v>0</v>
      </c>
      <c r="X34" s="37">
        <f>'SC-New'!R75</f>
        <v>0</v>
      </c>
      <c r="Y34" s="37">
        <f>'SC-New'!S75</f>
        <v>0</v>
      </c>
      <c r="Z34" s="37">
        <f>'SC-New'!T75</f>
        <v>0</v>
      </c>
      <c r="AA34" s="37">
        <f>'SC-New'!U75</f>
        <v>0</v>
      </c>
      <c r="AB34" s="37">
        <f>'SC-New'!V75</f>
        <v>0</v>
      </c>
      <c r="AC34" s="37">
        <f>'SC-New'!W75</f>
        <v>0</v>
      </c>
      <c r="AD34" s="37">
        <f>'SC-New'!X75</f>
        <v>0</v>
      </c>
      <c r="AE34" s="37">
        <f>'SC-New'!Y75</f>
        <v>8.3146901494528171E-4</v>
      </c>
      <c r="AF34" s="479">
        <f t="shared" si="2"/>
        <v>1.0368863254504586</v>
      </c>
      <c r="AG34" s="479">
        <f t="shared" si="3"/>
        <v>0.8246923414989582</v>
      </c>
      <c r="AH34" s="479">
        <f t="shared" si="4"/>
        <v>0.83320202405686417</v>
      </c>
      <c r="AI34" s="479">
        <f t="shared" si="5"/>
        <v>0.67953747125979169</v>
      </c>
      <c r="AJ34" s="479">
        <f t="shared" si="6"/>
        <v>0.61878022743918382</v>
      </c>
      <c r="AK34" s="479">
        <f t="shared" si="7"/>
        <v>0.63581014932709601</v>
      </c>
      <c r="AL34" s="479">
        <f t="shared" si="8"/>
        <v>0.52472801306878369</v>
      </c>
      <c r="AM34" s="479">
        <f t="shared" si="9"/>
        <v>0.59853176914311479</v>
      </c>
      <c r="AN34" s="479">
        <f t="shared" si="10"/>
        <v>0.65907388582376392</v>
      </c>
      <c r="AO34" s="479">
        <f t="shared" si="11"/>
        <v>0.96186115674901895</v>
      </c>
      <c r="AP34" s="479">
        <f t="shared" si="12"/>
        <v>0.97096664990988701</v>
      </c>
      <c r="AQ34" s="479">
        <f t="shared" si="13"/>
        <v>1.065929213051598</v>
      </c>
      <c r="AR34" s="479"/>
      <c r="AS34" s="479">
        <f t="shared" si="14"/>
        <v>0.5409255532817846</v>
      </c>
      <c r="AT34" s="479">
        <f t="shared" si="15"/>
        <v>0.41572694109812058</v>
      </c>
      <c r="AU34" s="479">
        <f t="shared" si="16"/>
        <v>0.3874721698867219</v>
      </c>
      <c r="AV34" s="479">
        <f t="shared" si="17"/>
        <v>0.38009115205729899</v>
      </c>
      <c r="AW34" s="479">
        <f t="shared" si="18"/>
        <v>0.36928963838195134</v>
      </c>
      <c r="AX34" s="479">
        <f t="shared" si="19"/>
        <v>0.34535075190447584</v>
      </c>
      <c r="AY34" s="479">
        <f t="shared" si="20"/>
        <v>0.39397799899293179</v>
      </c>
      <c r="AZ34" s="479">
        <f t="shared" si="21"/>
        <v>0.35641111713276868</v>
      </c>
      <c r="BA34" s="479">
        <f t="shared" si="22"/>
        <v>0.41310273709817824</v>
      </c>
      <c r="BB34" s="479">
        <f t="shared" si="23"/>
        <v>0.41068057996623142</v>
      </c>
      <c r="BC34" s="479">
        <f t="shared" si="24"/>
        <v>0.51722515970724714</v>
      </c>
      <c r="BD34" s="479">
        <f t="shared" si="25"/>
        <v>0.55176788015787159</v>
      </c>
    </row>
    <row r="35" spans="1:56" ht="15">
      <c r="A35" s="63" t="str">
        <f>VLOOKUP(CONCATENATE($C35," - ",$B35),[2]ACHIEV!$B$12:$C$100,2,FALSE)</f>
        <v>LO20Fast</v>
      </c>
      <c r="B35" s="63" t="str">
        <f>'SC-New'!$C$7</f>
        <v>New</v>
      </c>
      <c r="C35" s="63" t="str">
        <f>'SC-New'!$C$8</f>
        <v>Lighting</v>
      </c>
      <c r="D35" s="63" t="s">
        <v>795</v>
      </c>
      <c r="E35" s="63" t="str">
        <f>'SC-New'!$A$9</f>
        <v>Lighting</v>
      </c>
      <c r="F35" s="478">
        <f t="shared" si="1"/>
        <v>1.8749503794567041E-3</v>
      </c>
      <c r="G35" s="71">
        <f>'SC-New'!A76</f>
        <v>7.1768930642853626</v>
      </c>
      <c r="H35" s="71">
        <f>'SC-New'!B76</f>
        <v>355.22288385759038</v>
      </c>
      <c r="I35" s="1" t="str">
        <f>'SC-New'!C76</f>
        <v>Multifamily - High Rise</v>
      </c>
      <c r="J35" s="1" t="str">
        <f>'SC-New'!D76</f>
        <v>2016 - LEDDecorative and Mini-Base1440 to 2600 lumensANY</v>
      </c>
      <c r="K35" s="37">
        <f>'SC-New'!E76</f>
        <v>8.0898091208555008E-6</v>
      </c>
      <c r="L35" s="37">
        <f>'SC-New'!F76</f>
        <v>0</v>
      </c>
      <c r="M35" s="37">
        <f>'SC-New'!G76</f>
        <v>0</v>
      </c>
      <c r="N35" s="37">
        <f>'SC-New'!H76</f>
        <v>0</v>
      </c>
      <c r="O35" s="37">
        <f>'SC-New'!I76</f>
        <v>0</v>
      </c>
      <c r="P35" s="37">
        <f>'SC-New'!J76</f>
        <v>0</v>
      </c>
      <c r="Q35" s="37">
        <f>'SC-New'!K76</f>
        <v>0</v>
      </c>
      <c r="R35" s="37">
        <f>'SC-New'!L76</f>
        <v>0</v>
      </c>
      <c r="S35" s="37">
        <f>'SC-New'!M76</f>
        <v>0</v>
      </c>
      <c r="T35" s="37">
        <f>'SC-New'!N76</f>
        <v>0</v>
      </c>
      <c r="U35" s="37">
        <f>'SC-New'!O76</f>
        <v>0</v>
      </c>
      <c r="V35" s="37">
        <f>'SC-New'!P76</f>
        <v>0</v>
      </c>
      <c r="W35" s="37">
        <f>'SC-New'!Q76</f>
        <v>0</v>
      </c>
      <c r="X35" s="37">
        <f>'SC-New'!R76</f>
        <v>0</v>
      </c>
      <c r="Y35" s="37">
        <f>'SC-New'!S76</f>
        <v>0</v>
      </c>
      <c r="Z35" s="37">
        <f>'SC-New'!T76</f>
        <v>0</v>
      </c>
      <c r="AA35" s="37">
        <f>'SC-New'!U76</f>
        <v>0</v>
      </c>
      <c r="AB35" s="37">
        <f>'SC-New'!V76</f>
        <v>0</v>
      </c>
      <c r="AC35" s="37">
        <f>'SC-New'!W76</f>
        <v>0</v>
      </c>
      <c r="AD35" s="37">
        <f>'SC-New'!X76</f>
        <v>0</v>
      </c>
      <c r="AE35" s="37">
        <f>'SC-New'!Y76</f>
        <v>8.0898091208555008E-6</v>
      </c>
      <c r="AF35" s="479">
        <f t="shared" si="2"/>
        <v>0.51349789829993253</v>
      </c>
      <c r="AG35" s="479">
        <f t="shared" si="3"/>
        <v>0.40841293178381172</v>
      </c>
      <c r="AH35" s="479">
        <f t="shared" si="4"/>
        <v>0.41262718748516447</v>
      </c>
      <c r="AI35" s="479">
        <f t="shared" si="5"/>
        <v>0.33652778973274827</v>
      </c>
      <c r="AJ35" s="479">
        <f t="shared" si="6"/>
        <v>0.30643893983415893</v>
      </c>
      <c r="AK35" s="479">
        <f t="shared" si="7"/>
        <v>0.31487267927406898</v>
      </c>
      <c r="AL35" s="479">
        <f t="shared" si="8"/>
        <v>0.25986139972755762</v>
      </c>
      <c r="AM35" s="479">
        <f t="shared" si="9"/>
        <v>0.29641128248770077</v>
      </c>
      <c r="AN35" s="479">
        <f t="shared" si="10"/>
        <v>0.32639359483099145</v>
      </c>
      <c r="AO35" s="479">
        <f t="shared" si="11"/>
        <v>0.47634313455950961</v>
      </c>
      <c r="AP35" s="479">
        <f t="shared" si="12"/>
        <v>0.4808524539384289</v>
      </c>
      <c r="AQ35" s="479">
        <f t="shared" si="13"/>
        <v>0.52788082666700065</v>
      </c>
      <c r="AR35" s="479"/>
      <c r="AS35" s="479">
        <f t="shared" si="14"/>
        <v>0.26788291824203048</v>
      </c>
      <c r="AT35" s="479">
        <f t="shared" si="15"/>
        <v>0.20588072701971843</v>
      </c>
      <c r="AU35" s="479">
        <f t="shared" si="16"/>
        <v>0.19188809805174015</v>
      </c>
      <c r="AV35" s="479">
        <f t="shared" si="17"/>
        <v>0.18823279172770654</v>
      </c>
      <c r="AW35" s="479">
        <f t="shared" si="18"/>
        <v>0.18288355099166023</v>
      </c>
      <c r="AX35" s="479">
        <f t="shared" si="19"/>
        <v>0.17102828046479313</v>
      </c>
      <c r="AY35" s="479">
        <f t="shared" si="20"/>
        <v>0.19510998408759461</v>
      </c>
      <c r="AZ35" s="479">
        <f t="shared" si="21"/>
        <v>0.17650571242599744</v>
      </c>
      <c r="BA35" s="479">
        <f t="shared" si="22"/>
        <v>0.20458114074337783</v>
      </c>
      <c r="BB35" s="479">
        <f t="shared" si="23"/>
        <v>0.20338161427063109</v>
      </c>
      <c r="BC35" s="479">
        <f t="shared" si="24"/>
        <v>0.25614575671266115</v>
      </c>
      <c r="BD35" s="479">
        <f t="shared" si="25"/>
        <v>0.27325237092637639</v>
      </c>
    </row>
    <row r="36" spans="1:56" ht="15">
      <c r="A36" s="63" t="str">
        <f>VLOOKUP(CONCATENATE($C36," - ",$B36),[2]ACHIEV!$B$12:$C$100,2,FALSE)</f>
        <v>LO20Fast</v>
      </c>
      <c r="B36" s="63" t="str">
        <f>'SC-New'!$C$7</f>
        <v>New</v>
      </c>
      <c r="C36" s="63" t="str">
        <f>'SC-New'!$C$8</f>
        <v>Lighting</v>
      </c>
      <c r="D36" s="63" t="s">
        <v>795</v>
      </c>
      <c r="E36" s="63" t="str">
        <f>'SC-New'!$A$9</f>
        <v>Lighting</v>
      </c>
      <c r="F36" s="478">
        <f t="shared" si="1"/>
        <v>4.7955325150829165E-4</v>
      </c>
      <c r="G36" s="71">
        <f>'SC-New'!A77</f>
        <v>1.835623194306955</v>
      </c>
      <c r="H36" s="71">
        <f>'SC-New'!B77</f>
        <v>45.354656455601045</v>
      </c>
      <c r="I36" s="1" t="str">
        <f>'SC-New'!C77</f>
        <v>Multifamily - High Rise</v>
      </c>
      <c r="J36" s="1" t="str">
        <f>'SC-New'!D77</f>
        <v>2016 - LEDGeneral Purpose and Dimmable250 to 664 lumensANY</v>
      </c>
      <c r="K36" s="37">
        <f>'SC-New'!E77</f>
        <v>3.2064961177794368E-4</v>
      </c>
      <c r="L36" s="37">
        <f>'SC-New'!F77</f>
        <v>0</v>
      </c>
      <c r="M36" s="37">
        <f>'SC-New'!G77</f>
        <v>0</v>
      </c>
      <c r="N36" s="37">
        <f>'SC-New'!H77</f>
        <v>0</v>
      </c>
      <c r="O36" s="37">
        <f>'SC-New'!I77</f>
        <v>0</v>
      </c>
      <c r="P36" s="37">
        <f>'SC-New'!J77</f>
        <v>0</v>
      </c>
      <c r="Q36" s="37">
        <f>'SC-New'!K77</f>
        <v>0</v>
      </c>
      <c r="R36" s="37">
        <f>'SC-New'!L77</f>
        <v>0</v>
      </c>
      <c r="S36" s="37">
        <f>'SC-New'!M77</f>
        <v>0</v>
      </c>
      <c r="T36" s="37">
        <f>'SC-New'!N77</f>
        <v>0</v>
      </c>
      <c r="U36" s="37">
        <f>'SC-New'!O77</f>
        <v>0</v>
      </c>
      <c r="V36" s="37">
        <f>'SC-New'!P77</f>
        <v>0</v>
      </c>
      <c r="W36" s="37">
        <f>'SC-New'!Q77</f>
        <v>0</v>
      </c>
      <c r="X36" s="37">
        <f>'SC-New'!R77</f>
        <v>0</v>
      </c>
      <c r="Y36" s="37">
        <f>'SC-New'!S77</f>
        <v>0</v>
      </c>
      <c r="Z36" s="37">
        <f>'SC-New'!T77</f>
        <v>0</v>
      </c>
      <c r="AA36" s="37">
        <f>'SC-New'!U77</f>
        <v>0</v>
      </c>
      <c r="AB36" s="37">
        <f>'SC-New'!V77</f>
        <v>0</v>
      </c>
      <c r="AC36" s="37">
        <f>'SC-New'!W77</f>
        <v>0</v>
      </c>
      <c r="AD36" s="37">
        <f>'SC-New'!X77</f>
        <v>0</v>
      </c>
      <c r="AE36" s="37">
        <f>'SC-New'!Y77</f>
        <v>3.2064961177794368E-4</v>
      </c>
      <c r="AF36" s="479">
        <f t="shared" si="2"/>
        <v>0.13133658867482209</v>
      </c>
      <c r="AG36" s="479">
        <f t="shared" si="3"/>
        <v>0.10445916411489954</v>
      </c>
      <c r="AH36" s="479">
        <f t="shared" si="4"/>
        <v>0.1055370379863439</v>
      </c>
      <c r="AI36" s="479">
        <f t="shared" si="5"/>
        <v>8.6073208953935804E-2</v>
      </c>
      <c r="AJ36" s="479">
        <f t="shared" si="6"/>
        <v>7.837742886230771E-2</v>
      </c>
      <c r="AK36" s="479">
        <f t="shared" si="7"/>
        <v>8.0534513772445179E-2</v>
      </c>
      <c r="AL36" s="479">
        <f t="shared" si="8"/>
        <v>6.6464361161896968E-2</v>
      </c>
      <c r="AM36" s="479">
        <f t="shared" si="9"/>
        <v>7.5812669955515485E-2</v>
      </c>
      <c r="AN36" s="479">
        <f t="shared" si="10"/>
        <v>8.3481201096125474E-2</v>
      </c>
      <c r="AO36" s="479">
        <f t="shared" si="11"/>
        <v>0.12183357037846314</v>
      </c>
      <c r="AP36" s="479">
        <f t="shared" si="12"/>
        <v>0.12298691224496987</v>
      </c>
      <c r="AQ36" s="479">
        <f t="shared" si="13"/>
        <v>0.13501528873014673</v>
      </c>
      <c r="AR36" s="479"/>
      <c r="AS36" s="479">
        <f t="shared" si="14"/>
        <v>6.851601294308389E-2</v>
      </c>
      <c r="AT36" s="479">
        <f t="shared" si="15"/>
        <v>5.2657805319523042E-2</v>
      </c>
      <c r="AU36" s="479">
        <f t="shared" si="16"/>
        <v>4.9078931557174459E-2</v>
      </c>
      <c r="AV36" s="479">
        <f t="shared" si="17"/>
        <v>4.8144019331146884E-2</v>
      </c>
      <c r="AW36" s="479">
        <f t="shared" si="18"/>
        <v>4.6775852036599626E-2</v>
      </c>
      <c r="AX36" s="479">
        <f t="shared" si="19"/>
        <v>4.3743647242829607E-2</v>
      </c>
      <c r="AY36" s="479">
        <f t="shared" si="20"/>
        <v>4.99029885249812E-2</v>
      </c>
      <c r="AZ36" s="479">
        <f t="shared" si="21"/>
        <v>4.5144601815116529E-2</v>
      </c>
      <c r="BA36" s="479">
        <f t="shared" si="22"/>
        <v>5.2325412083273619E-2</v>
      </c>
      <c r="BB36" s="479">
        <f t="shared" si="23"/>
        <v>5.2018610993186824E-2</v>
      </c>
      <c r="BC36" s="479">
        <f t="shared" si="24"/>
        <v>6.5514016710779291E-2</v>
      </c>
      <c r="BD36" s="479">
        <f t="shared" si="25"/>
        <v>6.98893498173878E-2</v>
      </c>
    </row>
    <row r="37" spans="1:56" ht="15">
      <c r="A37" s="63" t="str">
        <f>VLOOKUP(CONCATENATE($C37," - ",$B37),[2]ACHIEV!$B$12:$C$100,2,FALSE)</f>
        <v>LO20Fast</v>
      </c>
      <c r="B37" s="63" t="str">
        <f>'SC-New'!$C$7</f>
        <v>New</v>
      </c>
      <c r="C37" s="63" t="str">
        <f>'SC-New'!$C$8</f>
        <v>Lighting</v>
      </c>
      <c r="D37" s="63" t="s">
        <v>795</v>
      </c>
      <c r="E37" s="63" t="str">
        <f>'SC-New'!$A$9</f>
        <v>Lighting</v>
      </c>
      <c r="F37" s="478">
        <f t="shared" si="1"/>
        <v>1.8717307205817217E-3</v>
      </c>
      <c r="G37" s="71">
        <f>'SC-New'!A78</f>
        <v>7.1645689261628798</v>
      </c>
      <c r="H37" s="71">
        <f>'SC-New'!B78</f>
        <v>56.611757463143533</v>
      </c>
      <c r="I37" s="1" t="str">
        <f>'SC-New'!C78</f>
        <v>Multifamily - High Rise</v>
      </c>
      <c r="J37" s="1" t="str">
        <f>'SC-New'!D78</f>
        <v>2016 - LEDGeneral Purpose and Dimmable665 to 1439 lumensANY</v>
      </c>
      <c r="K37" s="37">
        <f>'SC-New'!E78</f>
        <v>9.6572958192675182E-3</v>
      </c>
      <c r="L37" s="37">
        <f>'SC-New'!F78</f>
        <v>0</v>
      </c>
      <c r="M37" s="37">
        <f>'SC-New'!G78</f>
        <v>0</v>
      </c>
      <c r="N37" s="37">
        <f>'SC-New'!H78</f>
        <v>0</v>
      </c>
      <c r="O37" s="37">
        <f>'SC-New'!I78</f>
        <v>0</v>
      </c>
      <c r="P37" s="37">
        <f>'SC-New'!J78</f>
        <v>0</v>
      </c>
      <c r="Q37" s="37">
        <f>'SC-New'!K78</f>
        <v>0</v>
      </c>
      <c r="R37" s="37">
        <f>'SC-New'!L78</f>
        <v>0</v>
      </c>
      <c r="S37" s="37">
        <f>'SC-New'!M78</f>
        <v>0</v>
      </c>
      <c r="T37" s="37">
        <f>'SC-New'!N78</f>
        <v>0</v>
      </c>
      <c r="U37" s="37">
        <f>'SC-New'!O78</f>
        <v>0</v>
      </c>
      <c r="V37" s="37">
        <f>'SC-New'!P78</f>
        <v>0</v>
      </c>
      <c r="W37" s="37">
        <f>'SC-New'!Q78</f>
        <v>0</v>
      </c>
      <c r="X37" s="37">
        <f>'SC-New'!R78</f>
        <v>0</v>
      </c>
      <c r="Y37" s="37">
        <f>'SC-New'!S78</f>
        <v>0</v>
      </c>
      <c r="Z37" s="37">
        <f>'SC-New'!T78</f>
        <v>0</v>
      </c>
      <c r="AA37" s="37">
        <f>'SC-New'!U78</f>
        <v>0</v>
      </c>
      <c r="AB37" s="37">
        <f>'SC-New'!V78</f>
        <v>0</v>
      </c>
      <c r="AC37" s="37">
        <f>'SC-New'!W78</f>
        <v>0</v>
      </c>
      <c r="AD37" s="37">
        <f>'SC-New'!X78</f>
        <v>0</v>
      </c>
      <c r="AE37" s="37">
        <f>'SC-New'!Y78</f>
        <v>9.6572958192675182E-3</v>
      </c>
      <c r="AF37" s="479">
        <f t="shared" si="2"/>
        <v>0.5126161213293734</v>
      </c>
      <c r="AG37" s="479">
        <f t="shared" si="3"/>
        <v>0.40771160638614634</v>
      </c>
      <c r="AH37" s="479">
        <f t="shared" si="4"/>
        <v>0.41191862538090729</v>
      </c>
      <c r="AI37" s="479">
        <f t="shared" si="5"/>
        <v>0.33594990527417118</v>
      </c>
      <c r="AJ37" s="479">
        <f t="shared" si="6"/>
        <v>0.3059127238536789</v>
      </c>
      <c r="AK37" s="479">
        <f t="shared" si="7"/>
        <v>0.31433198090283632</v>
      </c>
      <c r="AL37" s="479">
        <f t="shared" si="8"/>
        <v>0.25941516655196784</v>
      </c>
      <c r="AM37" s="479">
        <f t="shared" si="9"/>
        <v>0.2959022859687726</v>
      </c>
      <c r="AN37" s="479">
        <f t="shared" si="10"/>
        <v>0.32583311277992005</v>
      </c>
      <c r="AO37" s="479">
        <f t="shared" si="11"/>
        <v>0.47552515963199937</v>
      </c>
      <c r="AP37" s="479">
        <f t="shared" si="12"/>
        <v>0.48002673562191084</v>
      </c>
      <c r="AQ37" s="479">
        <f t="shared" si="13"/>
        <v>0.52697435137723647</v>
      </c>
      <c r="AR37" s="479"/>
      <c r="AS37" s="479">
        <f t="shared" si="14"/>
        <v>0.26742291054016054</v>
      </c>
      <c r="AT37" s="479">
        <f t="shared" si="15"/>
        <v>0.20552718928496042</v>
      </c>
      <c r="AU37" s="479">
        <f t="shared" si="16"/>
        <v>0.19155858841529055</v>
      </c>
      <c r="AV37" s="479">
        <f t="shared" si="17"/>
        <v>0.18790955897174189</v>
      </c>
      <c r="AW37" s="479">
        <f t="shared" si="18"/>
        <v>0.18256950393500734</v>
      </c>
      <c r="AX37" s="479">
        <f t="shared" si="19"/>
        <v>0.17073459124127832</v>
      </c>
      <c r="AY37" s="479">
        <f t="shared" si="20"/>
        <v>0.19477494183861133</v>
      </c>
      <c r="AZ37" s="479">
        <f t="shared" si="21"/>
        <v>0.17620261737360352</v>
      </c>
      <c r="BA37" s="479">
        <f t="shared" si="22"/>
        <v>0.20422983465407252</v>
      </c>
      <c r="BB37" s="479">
        <f t="shared" si="23"/>
        <v>0.20303236800439955</v>
      </c>
      <c r="BC37" s="479">
        <f t="shared" si="24"/>
        <v>0.25570590402753146</v>
      </c>
      <c r="BD37" s="479">
        <f t="shared" si="25"/>
        <v>0.27278314281730076</v>
      </c>
    </row>
    <row r="38" spans="1:56" ht="15">
      <c r="A38" s="63" t="str">
        <f>VLOOKUP(CONCATENATE($C38," - ",$B38),[2]ACHIEV!$B$12:$C$100,2,FALSE)</f>
        <v>LO20Fast</v>
      </c>
      <c r="B38" s="63" t="str">
        <f>'SC-New'!$C$7</f>
        <v>New</v>
      </c>
      <c r="C38" s="63" t="str">
        <f>'SC-New'!$C$8</f>
        <v>Lighting</v>
      </c>
      <c r="D38" s="63" t="s">
        <v>795</v>
      </c>
      <c r="E38" s="63" t="str">
        <f>'SC-New'!$A$9</f>
        <v>Lighting</v>
      </c>
      <c r="F38" s="478">
        <f t="shared" si="1"/>
        <v>3.4972440175301935E-3</v>
      </c>
      <c r="G38" s="71">
        <f>'SC-New'!A79</f>
        <v>13.386672313322151</v>
      </c>
      <c r="H38" s="71">
        <f>'SC-New'!B79</f>
        <v>91.063681093838966</v>
      </c>
      <c r="I38" s="1" t="str">
        <f>'SC-New'!C79</f>
        <v>Multifamily - High Rise</v>
      </c>
      <c r="J38" s="1" t="str">
        <f>'SC-New'!D79</f>
        <v>2016 - LEDGeneral Purpose and Dimmable1440 to 2600 lumensANY</v>
      </c>
      <c r="K38" s="37">
        <f>'SC-New'!E79</f>
        <v>1.799031822456538E-3</v>
      </c>
      <c r="L38" s="37">
        <f>'SC-New'!F79</f>
        <v>0</v>
      </c>
      <c r="M38" s="37">
        <f>'SC-New'!G79</f>
        <v>0</v>
      </c>
      <c r="N38" s="37">
        <f>'SC-New'!H79</f>
        <v>0</v>
      </c>
      <c r="O38" s="37">
        <f>'SC-New'!I79</f>
        <v>0</v>
      </c>
      <c r="P38" s="37">
        <f>'SC-New'!J79</f>
        <v>0</v>
      </c>
      <c r="Q38" s="37">
        <f>'SC-New'!K79</f>
        <v>0</v>
      </c>
      <c r="R38" s="37">
        <f>'SC-New'!L79</f>
        <v>0</v>
      </c>
      <c r="S38" s="37">
        <f>'SC-New'!M79</f>
        <v>0</v>
      </c>
      <c r="T38" s="37">
        <f>'SC-New'!N79</f>
        <v>0</v>
      </c>
      <c r="U38" s="37">
        <f>'SC-New'!O79</f>
        <v>0</v>
      </c>
      <c r="V38" s="37">
        <f>'SC-New'!P79</f>
        <v>0</v>
      </c>
      <c r="W38" s="37">
        <f>'SC-New'!Q79</f>
        <v>0</v>
      </c>
      <c r="X38" s="37">
        <f>'SC-New'!R79</f>
        <v>0</v>
      </c>
      <c r="Y38" s="37">
        <f>'SC-New'!S79</f>
        <v>0</v>
      </c>
      <c r="Z38" s="37">
        <f>'SC-New'!T79</f>
        <v>0</v>
      </c>
      <c r="AA38" s="37">
        <f>'SC-New'!U79</f>
        <v>0</v>
      </c>
      <c r="AB38" s="37">
        <f>'SC-New'!V79</f>
        <v>0</v>
      </c>
      <c r="AC38" s="37">
        <f>'SC-New'!W79</f>
        <v>0</v>
      </c>
      <c r="AD38" s="37">
        <f>'SC-New'!X79</f>
        <v>0</v>
      </c>
      <c r="AE38" s="37">
        <f>'SC-New'!Y79</f>
        <v>1.799031822456538E-3</v>
      </c>
      <c r="AF38" s="479">
        <f t="shared" si="2"/>
        <v>0.95779998901311492</v>
      </c>
      <c r="AG38" s="479">
        <f t="shared" si="3"/>
        <v>0.76179065750890984</v>
      </c>
      <c r="AH38" s="479">
        <f t="shared" si="4"/>
        <v>0.76965128182269515</v>
      </c>
      <c r="AI38" s="479">
        <f t="shared" si="5"/>
        <v>0.62770717149140953</v>
      </c>
      <c r="AJ38" s="479">
        <f t="shared" si="6"/>
        <v>0.57158405940526624</v>
      </c>
      <c r="AK38" s="479">
        <f t="shared" si="7"/>
        <v>0.58731505960921848</v>
      </c>
      <c r="AL38" s="479">
        <f t="shared" si="8"/>
        <v>0.48470548103121619</v>
      </c>
      <c r="AM38" s="479">
        <f t="shared" si="9"/>
        <v>0.552880009928018</v>
      </c>
      <c r="AN38" s="479">
        <f t="shared" si="10"/>
        <v>0.60880440324699125</v>
      </c>
      <c r="AO38" s="479">
        <f t="shared" si="11"/>
        <v>0.888497208183473</v>
      </c>
      <c r="AP38" s="479">
        <f t="shared" si="12"/>
        <v>0.89690819889226614</v>
      </c>
      <c r="AQ38" s="479">
        <f t="shared" si="13"/>
        <v>0.98462769108855308</v>
      </c>
      <c r="AR38" s="479"/>
      <c r="AS38" s="479">
        <f t="shared" si="14"/>
        <v>0.49966758773207559</v>
      </c>
      <c r="AT38" s="479">
        <f t="shared" si="15"/>
        <v>0.38401823791364159</v>
      </c>
      <c r="AU38" s="479">
        <f t="shared" si="16"/>
        <v>0.35791854029819764</v>
      </c>
      <c r="AV38" s="479">
        <f t="shared" si="17"/>
        <v>0.35110049417066713</v>
      </c>
      <c r="AW38" s="479">
        <f t="shared" si="18"/>
        <v>0.34112284336590948</v>
      </c>
      <c r="AX38" s="479">
        <f t="shared" si="19"/>
        <v>0.31900984540043698</v>
      </c>
      <c r="AY38" s="479">
        <f t="shared" si="20"/>
        <v>0.36392815089243707</v>
      </c>
      <c r="AZ38" s="479">
        <f t="shared" si="21"/>
        <v>0.32922660439717438</v>
      </c>
      <c r="BA38" s="479">
        <f t="shared" si="22"/>
        <v>0.38159418958681945</v>
      </c>
      <c r="BB38" s="479">
        <f t="shared" si="23"/>
        <v>0.37935677742559831</v>
      </c>
      <c r="BC38" s="479">
        <f t="shared" si="24"/>
        <v>0.47777489212203672</v>
      </c>
      <c r="BD38" s="479">
        <f t="shared" si="25"/>
        <v>0.50968293879602289</v>
      </c>
    </row>
    <row r="39" spans="1:56" ht="15">
      <c r="A39" s="63" t="str">
        <f>VLOOKUP(CONCATENATE($C39," - ",$B39),[2]ACHIEV!$B$12:$C$100,2,FALSE)</f>
        <v>LO20Fast</v>
      </c>
      <c r="B39" s="63" t="str">
        <f>'SC-New'!$C$7</f>
        <v>New</v>
      </c>
      <c r="C39" s="63" t="str">
        <f>'SC-New'!$C$8</f>
        <v>Lighting</v>
      </c>
      <c r="D39" s="63" t="s">
        <v>795</v>
      </c>
      <c r="E39" s="63" t="str">
        <f>'SC-New'!$A$9</f>
        <v>Lighting</v>
      </c>
      <c r="F39" s="478">
        <f t="shared" si="1"/>
        <v>3.7448609823725787E-3</v>
      </c>
      <c r="G39" s="71">
        <f>'SC-New'!A80</f>
        <v>14.33449498481688</v>
      </c>
      <c r="H39" s="71">
        <f>'SC-New'!B80</f>
        <v>-37.397069706053522</v>
      </c>
      <c r="I39" s="1" t="str">
        <f>'SC-New'!C80</f>
        <v>Multifamily - High Rise</v>
      </c>
      <c r="J39" s="1" t="str">
        <f>'SC-New'!D80</f>
        <v>2016 - LEDGlobe250 to 664 lumensANY</v>
      </c>
      <c r="K39" s="37">
        <f>'SC-New'!E80</f>
        <v>1.6464559052757678E-3</v>
      </c>
      <c r="L39" s="37">
        <f>'SC-New'!F80</f>
        <v>0</v>
      </c>
      <c r="M39" s="37">
        <f>'SC-New'!G80</f>
        <v>0</v>
      </c>
      <c r="N39" s="37">
        <f>'SC-New'!H80</f>
        <v>0</v>
      </c>
      <c r="O39" s="37">
        <f>'SC-New'!I80</f>
        <v>0</v>
      </c>
      <c r="P39" s="37">
        <f>'SC-New'!J80</f>
        <v>0</v>
      </c>
      <c r="Q39" s="37">
        <f>'SC-New'!K80</f>
        <v>0</v>
      </c>
      <c r="R39" s="37">
        <f>'SC-New'!L80</f>
        <v>0</v>
      </c>
      <c r="S39" s="37">
        <f>'SC-New'!M80</f>
        <v>0</v>
      </c>
      <c r="T39" s="37">
        <f>'SC-New'!N80</f>
        <v>0</v>
      </c>
      <c r="U39" s="37">
        <f>'SC-New'!O80</f>
        <v>0</v>
      </c>
      <c r="V39" s="37">
        <f>'SC-New'!P80</f>
        <v>0</v>
      </c>
      <c r="W39" s="37">
        <f>'SC-New'!Q80</f>
        <v>0</v>
      </c>
      <c r="X39" s="37">
        <f>'SC-New'!R80</f>
        <v>0</v>
      </c>
      <c r="Y39" s="37">
        <f>'SC-New'!S80</f>
        <v>0</v>
      </c>
      <c r="Z39" s="37">
        <f>'SC-New'!T80</f>
        <v>0</v>
      </c>
      <c r="AA39" s="37">
        <f>'SC-New'!U80</f>
        <v>0</v>
      </c>
      <c r="AB39" s="37">
        <f>'SC-New'!V80</f>
        <v>0</v>
      </c>
      <c r="AC39" s="37">
        <f>'SC-New'!W80</f>
        <v>0</v>
      </c>
      <c r="AD39" s="37">
        <f>'SC-New'!X80</f>
        <v>0</v>
      </c>
      <c r="AE39" s="37">
        <f>'SC-New'!Y80</f>
        <v>1.6464559052757678E-3</v>
      </c>
      <c r="AF39" s="479">
        <f t="shared" si="2"/>
        <v>1.0256155389194634</v>
      </c>
      <c r="AG39" s="479">
        <f t="shared" si="3"/>
        <v>0.81572806922856911</v>
      </c>
      <c r="AH39" s="479">
        <f t="shared" si="4"/>
        <v>0.82414525291441687</v>
      </c>
      <c r="AI39" s="479">
        <f t="shared" si="5"/>
        <v>0.67215100893466262</v>
      </c>
      <c r="AJ39" s="479">
        <f t="shared" si="6"/>
        <v>0.61205418652043819</v>
      </c>
      <c r="AK39" s="479">
        <f t="shared" si="7"/>
        <v>0.62889899591383003</v>
      </c>
      <c r="AL39" s="479">
        <f t="shared" si="8"/>
        <v>0.51902430449729475</v>
      </c>
      <c r="AM39" s="479">
        <f t="shared" si="9"/>
        <v>0.59202582568870554</v>
      </c>
      <c r="AN39" s="479">
        <f t="shared" si="10"/>
        <v>0.65190985936016288</v>
      </c>
      <c r="AO39" s="479">
        <f t="shared" si="11"/>
        <v>0.95140588165850748</v>
      </c>
      <c r="AP39" s="479">
        <f t="shared" si="12"/>
        <v>0.96041239958249891</v>
      </c>
      <c r="AQ39" s="479">
        <f t="shared" si="13"/>
        <v>1.0543427350331549</v>
      </c>
      <c r="AR39" s="479"/>
      <c r="AS39" s="479">
        <f t="shared" si="14"/>
        <v>0.53504578006985537</v>
      </c>
      <c r="AT39" s="479">
        <f t="shared" si="15"/>
        <v>0.4112080565364355</v>
      </c>
      <c r="AU39" s="479">
        <f t="shared" si="16"/>
        <v>0.38326041011489015</v>
      </c>
      <c r="AV39" s="479">
        <f t="shared" si="17"/>
        <v>0.37595962275460831</v>
      </c>
      <c r="AW39" s="479">
        <f t="shared" si="18"/>
        <v>0.36527551978461797</v>
      </c>
      <c r="AX39" s="479">
        <f t="shared" si="19"/>
        <v>0.34159684512849148</v>
      </c>
      <c r="AY39" s="479">
        <f t="shared" si="20"/>
        <v>0.38969552191172535</v>
      </c>
      <c r="AZ39" s="479">
        <f t="shared" si="21"/>
        <v>0.35253698597694333</v>
      </c>
      <c r="BA39" s="479">
        <f t="shared" si="22"/>
        <v>0.40861237720922838</v>
      </c>
      <c r="BB39" s="479">
        <f t="shared" si="23"/>
        <v>0.40621654853326428</v>
      </c>
      <c r="BC39" s="479">
        <f t="shared" si="24"/>
        <v>0.51160300593741348</v>
      </c>
      <c r="BD39" s="479">
        <f t="shared" si="25"/>
        <v>0.54577025260769885</v>
      </c>
    </row>
    <row r="40" spans="1:56" ht="15">
      <c r="A40" s="63" t="str">
        <f>VLOOKUP(CONCATENATE($C40," - ",$B40),[2]ACHIEV!$B$12:$C$100,2,FALSE)</f>
        <v>LO20Fast</v>
      </c>
      <c r="B40" s="63" t="str">
        <f>'SC-New'!$C$7</f>
        <v>New</v>
      </c>
      <c r="C40" s="63" t="str">
        <f>'SC-New'!$C$8</f>
        <v>Lighting</v>
      </c>
      <c r="D40" s="63" t="s">
        <v>795</v>
      </c>
      <c r="E40" s="63" t="str">
        <f>'SC-New'!$A$9</f>
        <v>Lighting</v>
      </c>
      <c r="F40" s="478">
        <f t="shared" si="1"/>
        <v>2.5791399031027257E-3</v>
      </c>
      <c r="G40" s="71">
        <f>'SC-New'!A81</f>
        <v>9.8723739493112301</v>
      </c>
      <c r="H40" s="71">
        <f>'SC-New'!B81</f>
        <v>-94.996719014918995</v>
      </c>
      <c r="I40" s="1" t="str">
        <f>'SC-New'!C81</f>
        <v>Multifamily - High Rise</v>
      </c>
      <c r="J40" s="1" t="str">
        <f>'SC-New'!D81</f>
        <v>2016 - LEDGlobe665 to 1439 lumensANY</v>
      </c>
      <c r="K40" s="37">
        <f>'SC-New'!E81</f>
        <v>6.9144640444736348E-4</v>
      </c>
      <c r="L40" s="37">
        <f>'SC-New'!F81</f>
        <v>0</v>
      </c>
      <c r="M40" s="37">
        <f>'SC-New'!G81</f>
        <v>0</v>
      </c>
      <c r="N40" s="37">
        <f>'SC-New'!H81</f>
        <v>0</v>
      </c>
      <c r="O40" s="37">
        <f>'SC-New'!I81</f>
        <v>0</v>
      </c>
      <c r="P40" s="37">
        <f>'SC-New'!J81</f>
        <v>0</v>
      </c>
      <c r="Q40" s="37">
        <f>'SC-New'!K81</f>
        <v>0</v>
      </c>
      <c r="R40" s="37">
        <f>'SC-New'!L81</f>
        <v>0</v>
      </c>
      <c r="S40" s="37">
        <f>'SC-New'!M81</f>
        <v>0</v>
      </c>
      <c r="T40" s="37">
        <f>'SC-New'!N81</f>
        <v>0</v>
      </c>
      <c r="U40" s="37">
        <f>'SC-New'!O81</f>
        <v>0</v>
      </c>
      <c r="V40" s="37">
        <f>'SC-New'!P81</f>
        <v>0</v>
      </c>
      <c r="W40" s="37">
        <f>'SC-New'!Q81</f>
        <v>0</v>
      </c>
      <c r="X40" s="37">
        <f>'SC-New'!R81</f>
        <v>0</v>
      </c>
      <c r="Y40" s="37">
        <f>'SC-New'!S81</f>
        <v>0</v>
      </c>
      <c r="Z40" s="37">
        <f>'SC-New'!T81</f>
        <v>0</v>
      </c>
      <c r="AA40" s="37">
        <f>'SC-New'!U81</f>
        <v>0</v>
      </c>
      <c r="AB40" s="37">
        <f>'SC-New'!V81</f>
        <v>0</v>
      </c>
      <c r="AC40" s="37">
        <f>'SC-New'!W81</f>
        <v>0</v>
      </c>
      <c r="AD40" s="37">
        <f>'SC-New'!X81</f>
        <v>0</v>
      </c>
      <c r="AE40" s="37">
        <f>'SC-New'!Y81</f>
        <v>6.9144640444736348E-4</v>
      </c>
      <c r="AF40" s="479">
        <f t="shared" si="2"/>
        <v>0.70635625037101069</v>
      </c>
      <c r="AG40" s="479">
        <f t="shared" si="3"/>
        <v>0.5618037153666039</v>
      </c>
      <c r="AH40" s="479">
        <f t="shared" si="4"/>
        <v>0.5676007514697069</v>
      </c>
      <c r="AI40" s="479">
        <f t="shared" si="5"/>
        <v>0.46292011805357608</v>
      </c>
      <c r="AJ40" s="479">
        <f t="shared" si="6"/>
        <v>0.42153056755549467</v>
      </c>
      <c r="AK40" s="479">
        <f t="shared" si="7"/>
        <v>0.43313183133301719</v>
      </c>
      <c r="AL40" s="479">
        <f t="shared" si="8"/>
        <v>0.35745954274676744</v>
      </c>
      <c r="AM40" s="479">
        <f t="shared" si="9"/>
        <v>0.40773674587345871</v>
      </c>
      <c r="AN40" s="479">
        <f t="shared" si="10"/>
        <v>0.44897974568782045</v>
      </c>
      <c r="AO40" s="479">
        <f t="shared" si="11"/>
        <v>0.65524698646555923</v>
      </c>
      <c r="AP40" s="479">
        <f t="shared" si="12"/>
        <v>0.66144990557927741</v>
      </c>
      <c r="AQ40" s="479">
        <f t="shared" si="13"/>
        <v>0.72614108568261104</v>
      </c>
      <c r="AR40" s="479"/>
      <c r="AS40" s="479">
        <f t="shared" si="14"/>
        <v>0.36849376461782796</v>
      </c>
      <c r="AT40" s="479">
        <f t="shared" si="15"/>
        <v>0.28320493393015522</v>
      </c>
      <c r="AU40" s="479">
        <f t="shared" si="16"/>
        <v>0.26395698576254489</v>
      </c>
      <c r="AV40" s="479">
        <f t="shared" si="17"/>
        <v>0.25892882795011757</v>
      </c>
      <c r="AW40" s="479">
        <f t="shared" si="18"/>
        <v>0.25157053176009392</v>
      </c>
      <c r="AX40" s="479">
        <f t="shared" si="19"/>
        <v>0.2352626861696519</v>
      </c>
      <c r="AY40" s="479">
        <f t="shared" si="20"/>
        <v>0.26838894029817884</v>
      </c>
      <c r="AZ40" s="479">
        <f t="shared" si="21"/>
        <v>0.24279731934845944</v>
      </c>
      <c r="BA40" s="479">
        <f t="shared" si="22"/>
        <v>0.28141725204824536</v>
      </c>
      <c r="BB40" s="479">
        <f t="shared" si="23"/>
        <v>0.27976721019935885</v>
      </c>
      <c r="BC40" s="479">
        <f t="shared" si="24"/>
        <v>0.35234838712878186</v>
      </c>
      <c r="BD40" s="479">
        <f t="shared" si="25"/>
        <v>0.37587986391290973</v>
      </c>
    </row>
    <row r="41" spans="1:56" ht="15">
      <c r="A41" s="63" t="str">
        <f>VLOOKUP(CONCATENATE($C41," - ",$B41),[2]ACHIEV!$B$12:$C$100,2,FALSE)</f>
        <v>LO20Fast</v>
      </c>
      <c r="B41" s="63" t="str">
        <f>'SC-New'!$C$7</f>
        <v>New</v>
      </c>
      <c r="C41" s="63" t="str">
        <f>'SC-New'!$C$8</f>
        <v>Lighting</v>
      </c>
      <c r="D41" s="63" t="s">
        <v>795</v>
      </c>
      <c r="E41" s="63" t="str">
        <f>'SC-New'!$A$9</f>
        <v>Lighting</v>
      </c>
      <c r="F41" s="478">
        <f t="shared" si="1"/>
        <v>2.7904432298357131E-3</v>
      </c>
      <c r="G41" s="71">
        <f>'SC-New'!A82</f>
        <v>10.681196090262945</v>
      </c>
      <c r="H41" s="71">
        <f>'SC-New'!B82</f>
        <v>-99.87829920820603</v>
      </c>
      <c r="I41" s="1" t="str">
        <f>'SC-New'!C82</f>
        <v>Multifamily - High Rise</v>
      </c>
      <c r="J41" s="1" t="str">
        <f>'SC-New'!D82</f>
        <v>2016 - LEDGlobe1440 to 2600 lumensANY</v>
      </c>
      <c r="K41" s="37">
        <f>'SC-New'!E82</f>
        <v>5.6369576251378797E-5</v>
      </c>
      <c r="L41" s="37">
        <f>'SC-New'!F82</f>
        <v>0</v>
      </c>
      <c r="M41" s="37">
        <f>'SC-New'!G82</f>
        <v>0</v>
      </c>
      <c r="N41" s="37">
        <f>'SC-New'!H82</f>
        <v>0</v>
      </c>
      <c r="O41" s="37">
        <f>'SC-New'!I82</f>
        <v>0</v>
      </c>
      <c r="P41" s="37">
        <f>'SC-New'!J82</f>
        <v>0</v>
      </c>
      <c r="Q41" s="37">
        <f>'SC-New'!K82</f>
        <v>0</v>
      </c>
      <c r="R41" s="37">
        <f>'SC-New'!L82</f>
        <v>0</v>
      </c>
      <c r="S41" s="37">
        <f>'SC-New'!M82</f>
        <v>0</v>
      </c>
      <c r="T41" s="37">
        <f>'SC-New'!N82</f>
        <v>0</v>
      </c>
      <c r="U41" s="37">
        <f>'SC-New'!O82</f>
        <v>0</v>
      </c>
      <c r="V41" s="37">
        <f>'SC-New'!P82</f>
        <v>0</v>
      </c>
      <c r="W41" s="37">
        <f>'SC-New'!Q82</f>
        <v>0</v>
      </c>
      <c r="X41" s="37">
        <f>'SC-New'!R82</f>
        <v>0</v>
      </c>
      <c r="Y41" s="37">
        <f>'SC-New'!S82</f>
        <v>0</v>
      </c>
      <c r="Z41" s="37">
        <f>'SC-New'!T82</f>
        <v>0</v>
      </c>
      <c r="AA41" s="37">
        <f>'SC-New'!U82</f>
        <v>0</v>
      </c>
      <c r="AB41" s="37">
        <f>'SC-New'!V82</f>
        <v>0</v>
      </c>
      <c r="AC41" s="37">
        <f>'SC-New'!W82</f>
        <v>0</v>
      </c>
      <c r="AD41" s="37">
        <f>'SC-New'!X82</f>
        <v>0</v>
      </c>
      <c r="AE41" s="37">
        <f>'SC-New'!Y82</f>
        <v>5.6369576251378797E-5</v>
      </c>
      <c r="AF41" s="479">
        <f t="shared" si="2"/>
        <v>0.7642264827622347</v>
      </c>
      <c r="AG41" s="479">
        <f t="shared" si="3"/>
        <v>0.60783107273682868</v>
      </c>
      <c r="AH41" s="479">
        <f t="shared" si="4"/>
        <v>0.61410304740852306</v>
      </c>
      <c r="AI41" s="479">
        <f t="shared" si="5"/>
        <v>0.50084615721053449</v>
      </c>
      <c r="AJ41" s="479">
        <f t="shared" si="6"/>
        <v>0.45606565079660444</v>
      </c>
      <c r="AK41" s="479">
        <f t="shared" si="7"/>
        <v>0.46861738090111776</v>
      </c>
      <c r="AL41" s="479">
        <f t="shared" si="8"/>
        <v>0.38674542617789825</v>
      </c>
      <c r="AM41" s="479">
        <f t="shared" si="9"/>
        <v>0.44114173128378797</v>
      </c>
      <c r="AN41" s="479">
        <f t="shared" si="10"/>
        <v>0.48576368043499596</v>
      </c>
      <c r="AO41" s="479">
        <f t="shared" si="11"/>
        <v>0.70892994794639019</v>
      </c>
      <c r="AP41" s="479">
        <f t="shared" si="12"/>
        <v>0.71564105874160944</v>
      </c>
      <c r="AQ41" s="479">
        <f t="shared" si="13"/>
        <v>0.78563224663035736</v>
      </c>
      <c r="AR41" s="479"/>
      <c r="AS41" s="479">
        <f t="shared" si="14"/>
        <v>0.39868365786496762</v>
      </c>
      <c r="AT41" s="479">
        <f t="shared" si="15"/>
        <v>0.30640729864664351</v>
      </c>
      <c r="AU41" s="479">
        <f t="shared" si="16"/>
        <v>0.28558240791934209</v>
      </c>
      <c r="AV41" s="479">
        <f t="shared" si="17"/>
        <v>0.28014230406559065</v>
      </c>
      <c r="AW41" s="479">
        <f t="shared" si="18"/>
        <v>0.27218115866131221</v>
      </c>
      <c r="AX41" s="479">
        <f t="shared" si="19"/>
        <v>0.25453724672527844</v>
      </c>
      <c r="AY41" s="479">
        <f t="shared" si="20"/>
        <v>0.29037746285762667</v>
      </c>
      <c r="AZ41" s="479">
        <f t="shared" si="21"/>
        <v>0.26268917602457925</v>
      </c>
      <c r="BA41" s="479">
        <f t="shared" si="22"/>
        <v>0.30447315587351431</v>
      </c>
      <c r="BB41" s="479">
        <f t="shared" si="23"/>
        <v>0.30268792968216585</v>
      </c>
      <c r="BC41" s="479">
        <f t="shared" si="24"/>
        <v>0.3812155246887674</v>
      </c>
      <c r="BD41" s="479">
        <f t="shared" si="25"/>
        <v>0.4066748842222741</v>
      </c>
    </row>
    <row r="42" spans="1:56" ht="15">
      <c r="A42" s="63" t="str">
        <f>VLOOKUP(CONCATENATE($C42," - ",$B42),[2]ACHIEV!$B$12:$C$100,2,FALSE)</f>
        <v>LO20Fast</v>
      </c>
      <c r="B42" s="63" t="str">
        <f>'SC-New'!$C$7</f>
        <v>New</v>
      </c>
      <c r="C42" s="63" t="str">
        <f>'SC-New'!$C$8</f>
        <v>Lighting</v>
      </c>
      <c r="D42" s="63" t="s">
        <v>795</v>
      </c>
      <c r="E42" s="63" t="str">
        <f>'SC-New'!$A$9</f>
        <v>Lighting</v>
      </c>
      <c r="F42" s="478">
        <f t="shared" si="1"/>
        <v>5.3228772760490119E-3</v>
      </c>
      <c r="G42" s="71">
        <f>'SC-New'!A83</f>
        <v>20.374790406766845</v>
      </c>
      <c r="H42" s="71">
        <f>'SC-New'!B83</f>
        <v>-38.377975660533203</v>
      </c>
      <c r="I42" s="1" t="str">
        <f>'SC-New'!C83</f>
        <v>Multifamily - High Rise</v>
      </c>
      <c r="J42" s="1" t="str">
        <f>'SC-New'!D83</f>
        <v>2016 - LEDReflectors and Outdoor250 to 664 lumensANY</v>
      </c>
      <c r="K42" s="37">
        <f>'SC-New'!E83</f>
        <v>7.4438203993573617E-4</v>
      </c>
      <c r="L42" s="37">
        <f>'SC-New'!F83</f>
        <v>0</v>
      </c>
      <c r="M42" s="37">
        <f>'SC-New'!G83</f>
        <v>0</v>
      </c>
      <c r="N42" s="37">
        <f>'SC-New'!H83</f>
        <v>0</v>
      </c>
      <c r="O42" s="37">
        <f>'SC-New'!I83</f>
        <v>0</v>
      </c>
      <c r="P42" s="37">
        <f>'SC-New'!J83</f>
        <v>0</v>
      </c>
      <c r="Q42" s="37">
        <f>'SC-New'!K83</f>
        <v>0</v>
      </c>
      <c r="R42" s="37">
        <f>'SC-New'!L83</f>
        <v>0</v>
      </c>
      <c r="S42" s="37">
        <f>'SC-New'!M83</f>
        <v>0</v>
      </c>
      <c r="T42" s="37">
        <f>'SC-New'!N83</f>
        <v>0</v>
      </c>
      <c r="U42" s="37">
        <f>'SC-New'!O83</f>
        <v>0</v>
      </c>
      <c r="V42" s="37">
        <f>'SC-New'!P83</f>
        <v>0</v>
      </c>
      <c r="W42" s="37">
        <f>'SC-New'!Q83</f>
        <v>0</v>
      </c>
      <c r="X42" s="37">
        <f>'SC-New'!R83</f>
        <v>0</v>
      </c>
      <c r="Y42" s="37">
        <f>'SC-New'!S83</f>
        <v>0</v>
      </c>
      <c r="Z42" s="37">
        <f>'SC-New'!T83</f>
        <v>0</v>
      </c>
      <c r="AA42" s="37">
        <f>'SC-New'!U83</f>
        <v>0</v>
      </c>
      <c r="AB42" s="37">
        <f>'SC-New'!V83</f>
        <v>0</v>
      </c>
      <c r="AC42" s="37">
        <f>'SC-New'!W83</f>
        <v>0</v>
      </c>
      <c r="AD42" s="37">
        <f>'SC-New'!X83</f>
        <v>0</v>
      </c>
      <c r="AE42" s="37">
        <f>'SC-New'!Y83</f>
        <v>7.4438203993573617E-4</v>
      </c>
      <c r="AF42" s="479">
        <f t="shared" si="2"/>
        <v>1.4577912696290392</v>
      </c>
      <c r="AG42" s="479">
        <f t="shared" si="3"/>
        <v>1.1594610383590722</v>
      </c>
      <c r="AH42" s="479">
        <f t="shared" si="4"/>
        <v>1.1714250701297106</v>
      </c>
      <c r="AI42" s="479">
        <f t="shared" si="5"/>
        <v>0.95538321672624815</v>
      </c>
      <c r="AJ42" s="479">
        <f t="shared" si="6"/>
        <v>0.86996268659250697</v>
      </c>
      <c r="AK42" s="479">
        <f t="shared" si="7"/>
        <v>0.89390559223346777</v>
      </c>
      <c r="AL42" s="479">
        <f t="shared" si="8"/>
        <v>0.73773170462938431</v>
      </c>
      <c r="AM42" s="479">
        <f t="shared" si="9"/>
        <v>0.84149473885037285</v>
      </c>
      <c r="AN42" s="479">
        <f t="shared" si="10"/>
        <v>0.92661281493607173</v>
      </c>
      <c r="AO42" s="479">
        <f t="shared" si="11"/>
        <v>1.3523110127764957</v>
      </c>
      <c r="AP42" s="479">
        <f t="shared" si="12"/>
        <v>1.3651127135124117</v>
      </c>
      <c r="AQ42" s="479">
        <f t="shared" si="13"/>
        <v>1.4986235835968849</v>
      </c>
      <c r="AR42" s="479"/>
      <c r="AS42" s="479">
        <f t="shared" si="14"/>
        <v>0.76050433855501731</v>
      </c>
      <c r="AT42" s="479">
        <f t="shared" si="15"/>
        <v>0.58448365110721312</v>
      </c>
      <c r="AU42" s="479">
        <f t="shared" si="16"/>
        <v>0.54475937489067727</v>
      </c>
      <c r="AV42" s="479">
        <f t="shared" si="17"/>
        <v>0.53438216854837683</v>
      </c>
      <c r="AW42" s="479">
        <f t="shared" si="18"/>
        <v>0.51919597894571268</v>
      </c>
      <c r="AX42" s="479">
        <f t="shared" si="19"/>
        <v>0.48553954153793449</v>
      </c>
      <c r="AY42" s="479">
        <f t="shared" si="20"/>
        <v>0.55390612573495235</v>
      </c>
      <c r="AZ42" s="479">
        <f t="shared" si="21"/>
        <v>0.5010896587233542</v>
      </c>
      <c r="BA42" s="479">
        <f t="shared" si="22"/>
        <v>0.58079419973058355</v>
      </c>
      <c r="BB42" s="479">
        <f t="shared" si="23"/>
        <v>0.57738881243406592</v>
      </c>
      <c r="BC42" s="479">
        <f t="shared" si="24"/>
        <v>0.72718320586024165</v>
      </c>
      <c r="BD42" s="479">
        <f t="shared" si="25"/>
        <v>0.77574790872704857</v>
      </c>
    </row>
    <row r="43" spans="1:56" ht="15">
      <c r="A43" s="63" t="str">
        <f>VLOOKUP(CONCATENATE($C43," - ",$B43),[2]ACHIEV!$B$12:$C$100,2,FALSE)</f>
        <v>LO20Fast</v>
      </c>
      <c r="B43" s="63" t="str">
        <f>'SC-New'!$C$7</f>
        <v>New</v>
      </c>
      <c r="C43" s="63" t="str">
        <f>'SC-New'!$C$8</f>
        <v>Lighting</v>
      </c>
      <c r="D43" s="63" t="s">
        <v>795</v>
      </c>
      <c r="E43" s="63" t="str">
        <f>'SC-New'!$A$9</f>
        <v>Lighting</v>
      </c>
      <c r="F43" s="478">
        <f t="shared" si="1"/>
        <v>4.0588070052657264E-3</v>
      </c>
      <c r="G43" s="71">
        <f>'SC-New'!A84</f>
        <v>15.536210538971808</v>
      </c>
      <c r="H43" s="71">
        <f>'SC-New'!B84</f>
        <v>-47.72588478334999</v>
      </c>
      <c r="I43" s="1" t="str">
        <f>'SC-New'!C84</f>
        <v>Multifamily - High Rise</v>
      </c>
      <c r="J43" s="1" t="str">
        <f>'SC-New'!D84</f>
        <v>2016 - LEDReflectors and Outdoor665 to 1439 lumensANY</v>
      </c>
      <c r="K43" s="37">
        <f>'SC-New'!E84</f>
        <v>5.7354992914593903E-3</v>
      </c>
      <c r="L43" s="37">
        <f>'SC-New'!F84</f>
        <v>0</v>
      </c>
      <c r="M43" s="37">
        <f>'SC-New'!G84</f>
        <v>0</v>
      </c>
      <c r="N43" s="37">
        <f>'SC-New'!H84</f>
        <v>0</v>
      </c>
      <c r="O43" s="37">
        <f>'SC-New'!I84</f>
        <v>0</v>
      </c>
      <c r="P43" s="37">
        <f>'SC-New'!J84</f>
        <v>0</v>
      </c>
      <c r="Q43" s="37">
        <f>'SC-New'!K84</f>
        <v>0</v>
      </c>
      <c r="R43" s="37">
        <f>'SC-New'!L84</f>
        <v>0</v>
      </c>
      <c r="S43" s="37">
        <f>'SC-New'!M84</f>
        <v>0</v>
      </c>
      <c r="T43" s="37">
        <f>'SC-New'!N84</f>
        <v>0</v>
      </c>
      <c r="U43" s="37">
        <f>'SC-New'!O84</f>
        <v>0</v>
      </c>
      <c r="V43" s="37">
        <f>'SC-New'!P84</f>
        <v>0</v>
      </c>
      <c r="W43" s="37">
        <f>'SC-New'!Q84</f>
        <v>0</v>
      </c>
      <c r="X43" s="37">
        <f>'SC-New'!R84</f>
        <v>0</v>
      </c>
      <c r="Y43" s="37">
        <f>'SC-New'!S84</f>
        <v>0</v>
      </c>
      <c r="Z43" s="37">
        <f>'SC-New'!T84</f>
        <v>0</v>
      </c>
      <c r="AA43" s="37">
        <f>'SC-New'!U84</f>
        <v>0</v>
      </c>
      <c r="AB43" s="37">
        <f>'SC-New'!V84</f>
        <v>0</v>
      </c>
      <c r="AC43" s="37">
        <f>'SC-New'!W84</f>
        <v>0</v>
      </c>
      <c r="AD43" s="37">
        <f>'SC-New'!X84</f>
        <v>0</v>
      </c>
      <c r="AE43" s="37">
        <f>'SC-New'!Y84</f>
        <v>5.7354992914593903E-3</v>
      </c>
      <c r="AF43" s="479">
        <f t="shared" si="2"/>
        <v>1.1115968132516232</v>
      </c>
      <c r="AG43" s="479">
        <f t="shared" si="3"/>
        <v>0.88411367400858021</v>
      </c>
      <c r="AH43" s="479">
        <f t="shared" si="4"/>
        <v>0.89323650240449115</v>
      </c>
      <c r="AI43" s="479">
        <f t="shared" si="5"/>
        <v>0.72849999946647181</v>
      </c>
      <c r="AJ43" s="479">
        <f t="shared" si="6"/>
        <v>0.66336503051642903</v>
      </c>
      <c r="AK43" s="479">
        <f t="shared" si="7"/>
        <v>0.68162200472457402</v>
      </c>
      <c r="AL43" s="479">
        <f t="shared" si="8"/>
        <v>0.5625360975782151</v>
      </c>
      <c r="AM43" s="479">
        <f t="shared" si="9"/>
        <v>0.64165761557353207</v>
      </c>
      <c r="AN43" s="479">
        <f t="shared" si="10"/>
        <v>0.70656195688643419</v>
      </c>
      <c r="AO43" s="479">
        <f t="shared" si="11"/>
        <v>1.0311658765180765</v>
      </c>
      <c r="AP43" s="479">
        <f t="shared" si="12"/>
        <v>1.0409274452959347</v>
      </c>
      <c r="AQ43" s="479">
        <f t="shared" si="13"/>
        <v>1.1427323201173605</v>
      </c>
      <c r="AR43" s="479"/>
      <c r="AS43" s="479">
        <f t="shared" si="14"/>
        <v>0.57990071474149463</v>
      </c>
      <c r="AT43" s="479">
        <f t="shared" si="15"/>
        <v>0.44568120107742304</v>
      </c>
      <c r="AU43" s="479">
        <f t="shared" si="16"/>
        <v>0.41539059653685312</v>
      </c>
      <c r="AV43" s="479">
        <f t="shared" si="17"/>
        <v>0.40747775624148563</v>
      </c>
      <c r="AW43" s="479">
        <f t="shared" si="18"/>
        <v>0.39589796404527355</v>
      </c>
      <c r="AX43" s="479">
        <f t="shared" si="19"/>
        <v>0.3702342155050527</v>
      </c>
      <c r="AY43" s="479">
        <f t="shared" si="20"/>
        <v>0.42236518837446929</v>
      </c>
      <c r="AZ43" s="479">
        <f t="shared" si="21"/>
        <v>0.38209151021460364</v>
      </c>
      <c r="BA43" s="479">
        <f t="shared" si="22"/>
        <v>0.44286791602190761</v>
      </c>
      <c r="BB43" s="479">
        <f t="shared" si="23"/>
        <v>0.44027123586229888</v>
      </c>
      <c r="BC43" s="479">
        <f t="shared" si="24"/>
        <v>0.55449264316834523</v>
      </c>
      <c r="BD43" s="479">
        <f t="shared" si="25"/>
        <v>0.59152426084087517</v>
      </c>
    </row>
    <row r="44" spans="1:56" ht="15">
      <c r="A44" s="63" t="str">
        <f>VLOOKUP(CONCATENATE($C44," - ",$B44),[2]ACHIEV!$B$12:$C$100,2,FALSE)</f>
        <v>LO20Fast</v>
      </c>
      <c r="B44" s="63" t="str">
        <f>'SC-New'!$C$7</f>
        <v>New</v>
      </c>
      <c r="C44" s="63" t="str">
        <f>'SC-New'!$C$8</f>
        <v>Lighting</v>
      </c>
      <c r="D44" s="63" t="s">
        <v>795</v>
      </c>
      <c r="E44" s="63" t="str">
        <f>'SC-New'!$A$9</f>
        <v>Lighting</v>
      </c>
      <c r="F44" s="478">
        <f t="shared" si="1"/>
        <v>2.1728858656963793E-2</v>
      </c>
      <c r="G44" s="71">
        <f>'SC-New'!A85</f>
        <v>83.173238448682625</v>
      </c>
      <c r="H44" s="71">
        <f>'SC-New'!B85</f>
        <v>-27.334459272113147</v>
      </c>
      <c r="I44" s="1" t="str">
        <f>'SC-New'!C85</f>
        <v>Multifamily - High Rise</v>
      </c>
      <c r="J44" s="1" t="str">
        <f>'SC-New'!D85</f>
        <v>2016 - LEDReflectors and Outdoor1440 to 2600 lumensANY</v>
      </c>
      <c r="K44" s="37">
        <f>'SC-New'!E85</f>
        <v>2.5232584347846397E-3</v>
      </c>
      <c r="L44" s="37">
        <f>'SC-New'!F85</f>
        <v>0</v>
      </c>
      <c r="M44" s="37">
        <f>'SC-New'!G85</f>
        <v>0</v>
      </c>
      <c r="N44" s="37">
        <f>'SC-New'!H85</f>
        <v>0</v>
      </c>
      <c r="O44" s="37">
        <f>'SC-New'!I85</f>
        <v>0</v>
      </c>
      <c r="P44" s="37">
        <f>'SC-New'!J85</f>
        <v>0</v>
      </c>
      <c r="Q44" s="37">
        <f>'SC-New'!K85</f>
        <v>0</v>
      </c>
      <c r="R44" s="37">
        <f>'SC-New'!L85</f>
        <v>0</v>
      </c>
      <c r="S44" s="37">
        <f>'SC-New'!M85</f>
        <v>0</v>
      </c>
      <c r="T44" s="37">
        <f>'SC-New'!N85</f>
        <v>0</v>
      </c>
      <c r="U44" s="37">
        <f>'SC-New'!O85</f>
        <v>0</v>
      </c>
      <c r="V44" s="37">
        <f>'SC-New'!P85</f>
        <v>0</v>
      </c>
      <c r="W44" s="37">
        <f>'SC-New'!Q85</f>
        <v>0</v>
      </c>
      <c r="X44" s="37">
        <f>'SC-New'!R85</f>
        <v>0</v>
      </c>
      <c r="Y44" s="37">
        <f>'SC-New'!S85</f>
        <v>0</v>
      </c>
      <c r="Z44" s="37">
        <f>'SC-New'!T85</f>
        <v>0</v>
      </c>
      <c r="AA44" s="37">
        <f>'SC-New'!U85</f>
        <v>0</v>
      </c>
      <c r="AB44" s="37">
        <f>'SC-New'!V85</f>
        <v>0</v>
      </c>
      <c r="AC44" s="37">
        <f>'SC-New'!W85</f>
        <v>0</v>
      </c>
      <c r="AD44" s="37">
        <f>'SC-New'!X85</f>
        <v>0</v>
      </c>
      <c r="AE44" s="37">
        <f>'SC-New'!Y85</f>
        <v>2.5232584347846397E-3</v>
      </c>
      <c r="AF44" s="479">
        <f t="shared" si="2"/>
        <v>5.9509432223162761</v>
      </c>
      <c r="AG44" s="479">
        <f t="shared" si="3"/>
        <v>4.7331102548847825</v>
      </c>
      <c r="AH44" s="479">
        <f t="shared" si="4"/>
        <v>4.7819493961667678</v>
      </c>
      <c r="AI44" s="479">
        <f t="shared" si="5"/>
        <v>3.9000310927493396</v>
      </c>
      <c r="AJ44" s="479">
        <f t="shared" si="6"/>
        <v>3.5513304691165719</v>
      </c>
      <c r="AK44" s="479">
        <f t="shared" si="7"/>
        <v>3.6490693395674088</v>
      </c>
      <c r="AL44" s="479">
        <f t="shared" si="8"/>
        <v>3.0115418983605462</v>
      </c>
      <c r="AM44" s="479">
        <f t="shared" si="9"/>
        <v>3.4351196341371462</v>
      </c>
      <c r="AN44" s="479">
        <f t="shared" si="10"/>
        <v>3.7825855907055974</v>
      </c>
      <c r="AO44" s="479">
        <f t="shared" si="11"/>
        <v>5.5203555019188597</v>
      </c>
      <c r="AP44" s="479">
        <f t="shared" si="12"/>
        <v>5.5726141453993536</v>
      </c>
      <c r="AQ44" s="479">
        <f t="shared" si="13"/>
        <v>6.1176274295281043</v>
      </c>
      <c r="AR44" s="479"/>
      <c r="AS44" s="479">
        <f t="shared" si="14"/>
        <v>3.104503527598812</v>
      </c>
      <c r="AT44" s="479">
        <f t="shared" si="15"/>
        <v>2.3859581920779633</v>
      </c>
      <c r="AU44" s="479">
        <f t="shared" si="16"/>
        <v>2.2237971768234481</v>
      </c>
      <c r="AV44" s="479">
        <f t="shared" si="17"/>
        <v>2.181435717377334</v>
      </c>
      <c r="AW44" s="479">
        <f t="shared" si="18"/>
        <v>2.1194431989890319</v>
      </c>
      <c r="AX44" s="479">
        <f t="shared" si="19"/>
        <v>1.9820520976346545</v>
      </c>
      <c r="AY44" s="479">
        <f t="shared" si="20"/>
        <v>2.2611357149783688</v>
      </c>
      <c r="AZ44" s="479">
        <f t="shared" si="21"/>
        <v>2.0455302281453043</v>
      </c>
      <c r="BA44" s="479">
        <f t="shared" si="22"/>
        <v>2.3708972460281177</v>
      </c>
      <c r="BB44" s="479">
        <f t="shared" si="23"/>
        <v>2.3569958961752469</v>
      </c>
      <c r="BC44" s="479">
        <f t="shared" si="24"/>
        <v>2.9684811951147281</v>
      </c>
      <c r="BD44" s="479">
        <f t="shared" si="25"/>
        <v>3.1667302828888446</v>
      </c>
    </row>
    <row r="45" spans="1:56" ht="15">
      <c r="A45" s="63" t="str">
        <f>VLOOKUP(CONCATENATE($C45," - ",$B45),[2]ACHIEV!$B$12:$C$100,2,FALSE)</f>
        <v>LO20Fast</v>
      </c>
      <c r="B45" s="63" t="str">
        <f>'SC-New'!$C$7</f>
        <v>New</v>
      </c>
      <c r="C45" s="63" t="str">
        <f>'SC-New'!$C$8</f>
        <v>Lighting</v>
      </c>
      <c r="D45" s="63" t="s">
        <v>795</v>
      </c>
      <c r="E45" s="63" t="str">
        <f>'SC-New'!$A$9</f>
        <v>Lighting</v>
      </c>
      <c r="F45" s="478">
        <f t="shared" si="1"/>
        <v>1.2650011213785653E-2</v>
      </c>
      <c r="G45" s="71">
        <f>'SC-New'!A86</f>
        <v>48.421429568529426</v>
      </c>
      <c r="H45" s="71">
        <f>'SC-New'!B86</f>
        <v>-0.28395098554769854</v>
      </c>
      <c r="I45" s="1" t="str">
        <f>'SC-New'!C86</f>
        <v>Multifamily - High Rise</v>
      </c>
      <c r="J45" s="1" t="str">
        <f>'SC-New'!D86</f>
        <v>2016 - LEDThree-Way250 to 664 lumensANY</v>
      </c>
      <c r="K45" s="37">
        <f>'SC-New'!E86</f>
        <v>2.3050280678791022E-5</v>
      </c>
      <c r="L45" s="37">
        <f>'SC-New'!F86</f>
        <v>0</v>
      </c>
      <c r="M45" s="37">
        <f>'SC-New'!G86</f>
        <v>0</v>
      </c>
      <c r="N45" s="37">
        <f>'SC-New'!H86</f>
        <v>0</v>
      </c>
      <c r="O45" s="37">
        <f>'SC-New'!I86</f>
        <v>0</v>
      </c>
      <c r="P45" s="37">
        <f>'SC-New'!J86</f>
        <v>0</v>
      </c>
      <c r="Q45" s="37">
        <f>'SC-New'!K86</f>
        <v>0</v>
      </c>
      <c r="R45" s="37">
        <f>'SC-New'!L86</f>
        <v>0</v>
      </c>
      <c r="S45" s="37">
        <f>'SC-New'!M86</f>
        <v>0</v>
      </c>
      <c r="T45" s="37">
        <f>'SC-New'!N86</f>
        <v>0</v>
      </c>
      <c r="U45" s="37">
        <f>'SC-New'!O86</f>
        <v>0</v>
      </c>
      <c r="V45" s="37">
        <f>'SC-New'!P86</f>
        <v>0</v>
      </c>
      <c r="W45" s="37">
        <f>'SC-New'!Q86</f>
        <v>0</v>
      </c>
      <c r="X45" s="37">
        <f>'SC-New'!R86</f>
        <v>0</v>
      </c>
      <c r="Y45" s="37">
        <f>'SC-New'!S86</f>
        <v>0</v>
      </c>
      <c r="Z45" s="37">
        <f>'SC-New'!T86</f>
        <v>0</v>
      </c>
      <c r="AA45" s="37">
        <f>'SC-New'!U86</f>
        <v>0</v>
      </c>
      <c r="AB45" s="37">
        <f>'SC-New'!V86</f>
        <v>0</v>
      </c>
      <c r="AC45" s="37">
        <f>'SC-New'!W86</f>
        <v>0</v>
      </c>
      <c r="AD45" s="37">
        <f>'SC-New'!X86</f>
        <v>0</v>
      </c>
      <c r="AE45" s="37">
        <f>'SC-New'!Y86</f>
        <v>2.3050280678791022E-5</v>
      </c>
      <c r="AF45" s="479">
        <f t="shared" si="2"/>
        <v>3.4644939103037795</v>
      </c>
      <c r="AG45" s="479">
        <f t="shared" si="3"/>
        <v>2.7555012780750743</v>
      </c>
      <c r="AH45" s="479">
        <f t="shared" si="4"/>
        <v>2.783934234202329</v>
      </c>
      <c r="AI45" s="479">
        <f t="shared" si="5"/>
        <v>2.2705029213110808</v>
      </c>
      <c r="AJ45" s="479">
        <f t="shared" si="6"/>
        <v>2.067497928327021</v>
      </c>
      <c r="AK45" s="479">
        <f t="shared" si="7"/>
        <v>2.1243991133706071</v>
      </c>
      <c r="AL45" s="479">
        <f t="shared" si="8"/>
        <v>1.7532461960599572</v>
      </c>
      <c r="AM45" s="479">
        <f t="shared" si="9"/>
        <v>1.9998428163461626</v>
      </c>
      <c r="AN45" s="479">
        <f t="shared" si="10"/>
        <v>2.2021290162976261</v>
      </c>
      <c r="AO45" s="479">
        <f t="shared" si="11"/>
        <v>3.2138162480511396</v>
      </c>
      <c r="AP45" s="479">
        <f t="shared" si="12"/>
        <v>3.2442399549048635</v>
      </c>
      <c r="AQ45" s="479">
        <f t="shared" si="13"/>
        <v>3.5615333877875557</v>
      </c>
      <c r="AR45" s="479"/>
      <c r="AS45" s="479">
        <f t="shared" si="14"/>
        <v>1.8073661878589267</v>
      </c>
      <c r="AT45" s="479">
        <f t="shared" si="15"/>
        <v>1.3890466297334463</v>
      </c>
      <c r="AU45" s="479">
        <f t="shared" si="16"/>
        <v>1.2946404442179886</v>
      </c>
      <c r="AV45" s="479">
        <f t="shared" si="17"/>
        <v>1.2699786363667083</v>
      </c>
      <c r="AW45" s="479">
        <f t="shared" si="18"/>
        <v>1.2338881050984445</v>
      </c>
      <c r="AX45" s="479">
        <f t="shared" si="19"/>
        <v>1.1539023589419051</v>
      </c>
      <c r="AY45" s="479">
        <f t="shared" si="20"/>
        <v>1.3163780298787402</v>
      </c>
      <c r="AZ45" s="479">
        <f t="shared" si="21"/>
        <v>1.1908577773311961</v>
      </c>
      <c r="BA45" s="479">
        <f t="shared" si="22"/>
        <v>1.3802785145080427</v>
      </c>
      <c r="BB45" s="479">
        <f t="shared" si="23"/>
        <v>1.3721854878883859</v>
      </c>
      <c r="BC45" s="479">
        <f t="shared" si="24"/>
        <v>1.7281773055336467</v>
      </c>
      <c r="BD45" s="479">
        <f t="shared" si="25"/>
        <v>1.8435930861347887</v>
      </c>
    </row>
    <row r="46" spans="1:56" ht="15">
      <c r="A46" s="63" t="str">
        <f>VLOOKUP(CONCATENATE($C46," - ",$B46),[2]ACHIEV!$B$12:$C$100,2,FALSE)</f>
        <v>LO20Fast</v>
      </c>
      <c r="B46" s="63" t="str">
        <f>'SC-New'!$C$7</f>
        <v>New</v>
      </c>
      <c r="C46" s="63" t="str">
        <f>'SC-New'!$C$8</f>
        <v>Lighting</v>
      </c>
      <c r="D46" s="63" t="s">
        <v>795</v>
      </c>
      <c r="E46" s="63" t="str">
        <f>'SC-New'!$A$9</f>
        <v>Lighting</v>
      </c>
      <c r="F46" s="478">
        <f t="shared" si="1"/>
        <v>1.3626103635974879E-2</v>
      </c>
      <c r="G46" s="71">
        <f>'SC-New'!A87</f>
        <v>52.157694278074032</v>
      </c>
      <c r="H46" s="71">
        <f>'SC-New'!B87</f>
        <v>-8.9398321624848585</v>
      </c>
      <c r="I46" s="1" t="str">
        <f>'SC-New'!C87</f>
        <v>Multifamily - High Rise</v>
      </c>
      <c r="J46" s="1" t="str">
        <f>'SC-New'!D87</f>
        <v>2016 - LEDThree-Way665 to 1439 lumensANY</v>
      </c>
      <c r="K46" s="37">
        <f>'SC-New'!E87</f>
        <v>3.0647321852433727E-4</v>
      </c>
      <c r="L46" s="37">
        <f>'SC-New'!F87</f>
        <v>0</v>
      </c>
      <c r="M46" s="37">
        <f>'SC-New'!G87</f>
        <v>0</v>
      </c>
      <c r="N46" s="37">
        <f>'SC-New'!H87</f>
        <v>0</v>
      </c>
      <c r="O46" s="37">
        <f>'SC-New'!I87</f>
        <v>0</v>
      </c>
      <c r="P46" s="37">
        <f>'SC-New'!J87</f>
        <v>0</v>
      </c>
      <c r="Q46" s="37">
        <f>'SC-New'!K87</f>
        <v>0</v>
      </c>
      <c r="R46" s="37">
        <f>'SC-New'!L87</f>
        <v>0</v>
      </c>
      <c r="S46" s="37">
        <f>'SC-New'!M87</f>
        <v>0</v>
      </c>
      <c r="T46" s="37">
        <f>'SC-New'!N87</f>
        <v>0</v>
      </c>
      <c r="U46" s="37">
        <f>'SC-New'!O87</f>
        <v>0</v>
      </c>
      <c r="V46" s="37">
        <f>'SC-New'!P87</f>
        <v>0</v>
      </c>
      <c r="W46" s="37">
        <f>'SC-New'!Q87</f>
        <v>0</v>
      </c>
      <c r="X46" s="37">
        <f>'SC-New'!R87</f>
        <v>0</v>
      </c>
      <c r="Y46" s="37">
        <f>'SC-New'!S87</f>
        <v>0</v>
      </c>
      <c r="Z46" s="37">
        <f>'SC-New'!T87</f>
        <v>0</v>
      </c>
      <c r="AA46" s="37">
        <f>'SC-New'!U87</f>
        <v>0</v>
      </c>
      <c r="AB46" s="37">
        <f>'SC-New'!V87</f>
        <v>0</v>
      </c>
      <c r="AC46" s="37">
        <f>'SC-New'!W87</f>
        <v>0</v>
      </c>
      <c r="AD46" s="37">
        <f>'SC-New'!X87</f>
        <v>0</v>
      </c>
      <c r="AE46" s="37">
        <f>'SC-New'!Y87</f>
        <v>3.0647321852433727E-4</v>
      </c>
      <c r="AF46" s="479">
        <f t="shared" si="2"/>
        <v>3.731819068789251</v>
      </c>
      <c r="AG46" s="479">
        <f t="shared" si="3"/>
        <v>2.9681195810478593</v>
      </c>
      <c r="AH46" s="479">
        <f t="shared" si="4"/>
        <v>2.9987464635319547</v>
      </c>
      <c r="AI46" s="479">
        <f t="shared" si="5"/>
        <v>2.44569807794739</v>
      </c>
      <c r="AJ46" s="479">
        <f t="shared" si="6"/>
        <v>2.2270289379543238</v>
      </c>
      <c r="AK46" s="479">
        <f t="shared" si="7"/>
        <v>2.2883206974089516</v>
      </c>
      <c r="AL46" s="479">
        <f t="shared" si="8"/>
        <v>1.8885291058759777</v>
      </c>
      <c r="AM46" s="479">
        <f t="shared" si="9"/>
        <v>2.154153463634584</v>
      </c>
      <c r="AN46" s="479">
        <f t="shared" si="10"/>
        <v>2.3720483475270466</v>
      </c>
      <c r="AO46" s="479">
        <f t="shared" si="11"/>
        <v>3.4617987702020074</v>
      </c>
      <c r="AP46" s="479">
        <f t="shared" si="12"/>
        <v>3.4945700125015868</v>
      </c>
      <c r="AQ46" s="479">
        <f t="shared" si="13"/>
        <v>3.8363462470366358</v>
      </c>
      <c r="AR46" s="479"/>
      <c r="AS46" s="479">
        <f t="shared" si="14"/>
        <v>1.9468250713552193</v>
      </c>
      <c r="AT46" s="479">
        <f t="shared" si="15"/>
        <v>1.4962273955396257</v>
      </c>
      <c r="AU46" s="479">
        <f t="shared" si="16"/>
        <v>1.3945366977235774</v>
      </c>
      <c r="AV46" s="479">
        <f t="shared" si="17"/>
        <v>1.3679719505504024</v>
      </c>
      <c r="AW46" s="479">
        <f t="shared" si="18"/>
        <v>1.3290966237994797</v>
      </c>
      <c r="AX46" s="479">
        <f t="shared" si="19"/>
        <v>1.2429390664573923</v>
      </c>
      <c r="AY46" s="479">
        <f t="shared" si="20"/>
        <v>1.4179515856634783</v>
      </c>
      <c r="AZ46" s="479">
        <f t="shared" si="21"/>
        <v>1.2827460162199764</v>
      </c>
      <c r="BA46" s="479">
        <f t="shared" si="22"/>
        <v>1.4867827203741746</v>
      </c>
      <c r="BB46" s="479">
        <f t="shared" si="23"/>
        <v>1.4780652245882442</v>
      </c>
      <c r="BC46" s="479">
        <f t="shared" si="24"/>
        <v>1.8615258649635777</v>
      </c>
      <c r="BD46" s="479">
        <f t="shared" si="25"/>
        <v>1.98584728738131</v>
      </c>
    </row>
    <row r="47" spans="1:56" ht="15">
      <c r="A47" s="63" t="str">
        <f>VLOOKUP(CONCATENATE($C47," - ",$B47),[2]ACHIEV!$B$12:$C$100,2,FALSE)</f>
        <v>LO20Fast</v>
      </c>
      <c r="B47" s="63" t="str">
        <f>'SC-New'!$C$7</f>
        <v>New</v>
      </c>
      <c r="C47" s="63" t="str">
        <f>'SC-New'!$C$8</f>
        <v>Lighting</v>
      </c>
      <c r="D47" s="63" t="s">
        <v>795</v>
      </c>
      <c r="E47" s="63" t="str">
        <f>'SC-New'!$A$9</f>
        <v>Lighting</v>
      </c>
      <c r="F47" s="478">
        <f t="shared" si="1"/>
        <v>1.2193310022794003E-2</v>
      </c>
      <c r="G47" s="71">
        <f>'SC-New'!A88</f>
        <v>46.673278979590322</v>
      </c>
      <c r="H47" s="71">
        <f>'SC-New'!B88</f>
        <v>-22.011904676498236</v>
      </c>
      <c r="I47" s="1" t="str">
        <f>'SC-New'!C88</f>
        <v>Multifamily - High Rise</v>
      </c>
      <c r="J47" s="1" t="str">
        <f>'SC-New'!D88</f>
        <v>2016 - LEDThree-Way1440 to 2600 lumensANY</v>
      </c>
      <c r="K47" s="37">
        <f>'SC-New'!E88</f>
        <v>1.0604850791835123E-3</v>
      </c>
      <c r="L47" s="37">
        <f>'SC-New'!F88</f>
        <v>0</v>
      </c>
      <c r="M47" s="37">
        <f>'SC-New'!G88</f>
        <v>0</v>
      </c>
      <c r="N47" s="37">
        <f>'SC-New'!H88</f>
        <v>0</v>
      </c>
      <c r="O47" s="37">
        <f>'SC-New'!I88</f>
        <v>0</v>
      </c>
      <c r="P47" s="37">
        <f>'SC-New'!J88</f>
        <v>0</v>
      </c>
      <c r="Q47" s="37">
        <f>'SC-New'!K88</f>
        <v>0</v>
      </c>
      <c r="R47" s="37">
        <f>'SC-New'!L88</f>
        <v>0</v>
      </c>
      <c r="S47" s="37">
        <f>'SC-New'!M88</f>
        <v>0</v>
      </c>
      <c r="T47" s="37">
        <f>'SC-New'!N88</f>
        <v>0</v>
      </c>
      <c r="U47" s="37">
        <f>'SC-New'!O88</f>
        <v>0</v>
      </c>
      <c r="V47" s="37">
        <f>'SC-New'!P88</f>
        <v>0</v>
      </c>
      <c r="W47" s="37">
        <f>'SC-New'!Q88</f>
        <v>0</v>
      </c>
      <c r="X47" s="37">
        <f>'SC-New'!R88</f>
        <v>0</v>
      </c>
      <c r="Y47" s="37">
        <f>'SC-New'!S88</f>
        <v>0</v>
      </c>
      <c r="Z47" s="37">
        <f>'SC-New'!T88</f>
        <v>0</v>
      </c>
      <c r="AA47" s="37">
        <f>'SC-New'!U88</f>
        <v>0</v>
      </c>
      <c r="AB47" s="37">
        <f>'SC-New'!V88</f>
        <v>0</v>
      </c>
      <c r="AC47" s="37">
        <f>'SC-New'!W88</f>
        <v>0</v>
      </c>
      <c r="AD47" s="37">
        <f>'SC-New'!X88</f>
        <v>0</v>
      </c>
      <c r="AE47" s="37">
        <f>'SC-New'!Y88</f>
        <v>1.0604850791835123E-3</v>
      </c>
      <c r="AF47" s="479">
        <f t="shared" si="2"/>
        <v>3.3394158792823707</v>
      </c>
      <c r="AG47" s="479">
        <f t="shared" si="3"/>
        <v>2.6560198867776115</v>
      </c>
      <c r="AH47" s="479">
        <f t="shared" si="4"/>
        <v>2.6834263327534305</v>
      </c>
      <c r="AI47" s="479">
        <f t="shared" si="5"/>
        <v>2.1885313427260153</v>
      </c>
      <c r="AJ47" s="479">
        <f t="shared" si="6"/>
        <v>1.9928554042784474</v>
      </c>
      <c r="AK47" s="479">
        <f t="shared" si="7"/>
        <v>2.0477022955716913</v>
      </c>
      <c r="AL47" s="479">
        <f t="shared" si="8"/>
        <v>1.6899490485467938</v>
      </c>
      <c r="AM47" s="479">
        <f t="shared" si="9"/>
        <v>1.927642833232625</v>
      </c>
      <c r="AN47" s="479">
        <f t="shared" si="10"/>
        <v>2.1226259291094984</v>
      </c>
      <c r="AO47" s="479">
        <f t="shared" si="11"/>
        <v>3.0977883897901326</v>
      </c>
      <c r="AP47" s="479">
        <f t="shared" si="12"/>
        <v>3.127113714759473</v>
      </c>
      <c r="AQ47" s="479">
        <f t="shared" si="13"/>
        <v>3.4329519571097302</v>
      </c>
      <c r="AR47" s="479"/>
      <c r="AS47" s="479">
        <f t="shared" si="14"/>
        <v>1.7421151555393914</v>
      </c>
      <c r="AT47" s="479">
        <f t="shared" si="15"/>
        <v>1.3388981168648673</v>
      </c>
      <c r="AU47" s="479">
        <f t="shared" si="16"/>
        <v>1.2479002617163344</v>
      </c>
      <c r="AV47" s="479">
        <f t="shared" si="17"/>
        <v>1.22412881489536</v>
      </c>
      <c r="AW47" s="479">
        <f t="shared" si="18"/>
        <v>1.1893412539039743</v>
      </c>
      <c r="AX47" s="479">
        <f t="shared" si="19"/>
        <v>1.1122432194588867</v>
      </c>
      <c r="AY47" s="479">
        <f t="shared" si="20"/>
        <v>1.2688530590403191</v>
      </c>
      <c r="AZ47" s="479">
        <f t="shared" si="21"/>
        <v>1.1478644426995133</v>
      </c>
      <c r="BA47" s="479">
        <f t="shared" si="22"/>
        <v>1.330446555403608</v>
      </c>
      <c r="BB47" s="479">
        <f t="shared" si="23"/>
        <v>1.3226457099396403</v>
      </c>
      <c r="BC47" s="479">
        <f t="shared" si="24"/>
        <v>1.6657852158869719</v>
      </c>
      <c r="BD47" s="479">
        <f t="shared" si="25"/>
        <v>1.7770341603036266</v>
      </c>
    </row>
    <row r="48" spans="1:56" ht="15">
      <c r="A48" s="63" t="str">
        <f>VLOOKUP(CONCATENATE($C48," - ",$B48),[2]ACHIEV!$B$12:$C$100,2,FALSE)</f>
        <v>LO20Fast</v>
      </c>
      <c r="B48" s="63" t="str">
        <f>'SC-New'!$C$7</f>
        <v>New</v>
      </c>
      <c r="C48" s="63" t="str">
        <f>'SC-New'!$C$8</f>
        <v>Lighting</v>
      </c>
      <c r="D48" s="63" t="s">
        <v>795</v>
      </c>
      <c r="E48" s="63" t="str">
        <f>'SC-New'!$A$9</f>
        <v>Lighting</v>
      </c>
      <c r="F48" s="478">
        <f t="shared" si="1"/>
        <v>5.0254466343264623E-3</v>
      </c>
      <c r="G48" s="71">
        <f>'SC-New'!A89</f>
        <v>19.236292058718274</v>
      </c>
      <c r="H48" s="71">
        <f>'SC-New'!B89</f>
        <v>-15.059976945801358</v>
      </c>
      <c r="I48" s="1" t="str">
        <f>'SC-New'!C89</f>
        <v>Manufactured</v>
      </c>
      <c r="J48" s="1" t="str">
        <f>'SC-New'!D89</f>
        <v>2016 - LEDDecorative and Mini-Base250 to 664 lumensANY</v>
      </c>
      <c r="K48" s="37">
        <f>'SC-New'!E89</f>
        <v>2.1592427036696096E-3</v>
      </c>
      <c r="L48" s="37">
        <f>'SC-New'!F89</f>
        <v>0</v>
      </c>
      <c r="M48" s="37">
        <f>'SC-New'!G89</f>
        <v>0</v>
      </c>
      <c r="N48" s="37">
        <f>'SC-New'!H89</f>
        <v>0</v>
      </c>
      <c r="O48" s="37">
        <f>'SC-New'!I89</f>
        <v>0</v>
      </c>
      <c r="P48" s="37">
        <f>'SC-New'!J89</f>
        <v>0</v>
      </c>
      <c r="Q48" s="37">
        <f>'SC-New'!K89</f>
        <v>0</v>
      </c>
      <c r="R48" s="37">
        <f>'SC-New'!L89</f>
        <v>0</v>
      </c>
      <c r="S48" s="37">
        <f>'SC-New'!M89</f>
        <v>0</v>
      </c>
      <c r="T48" s="37">
        <f>'SC-New'!N89</f>
        <v>0</v>
      </c>
      <c r="U48" s="37">
        <f>'SC-New'!O89</f>
        <v>0</v>
      </c>
      <c r="V48" s="37">
        <f>'SC-New'!P89</f>
        <v>0</v>
      </c>
      <c r="W48" s="37">
        <f>'SC-New'!Q89</f>
        <v>0</v>
      </c>
      <c r="X48" s="37">
        <f>'SC-New'!R89</f>
        <v>0</v>
      </c>
      <c r="Y48" s="37">
        <f>'SC-New'!S89</f>
        <v>0</v>
      </c>
      <c r="Z48" s="37">
        <f>'SC-New'!T89</f>
        <v>0</v>
      </c>
      <c r="AA48" s="37">
        <f>'SC-New'!U89</f>
        <v>0</v>
      </c>
      <c r="AB48" s="37">
        <f>'SC-New'!V89</f>
        <v>0</v>
      </c>
      <c r="AC48" s="37">
        <f>'SC-New'!W89</f>
        <v>0</v>
      </c>
      <c r="AD48" s="37">
        <f>'SC-New'!X89</f>
        <v>0</v>
      </c>
      <c r="AE48" s="37">
        <f>'SC-New'!Y89</f>
        <v>2.1592427036696096E-3</v>
      </c>
      <c r="AF48" s="479">
        <f t="shared" si="2"/>
        <v>1.3763331088755877</v>
      </c>
      <c r="AG48" s="479">
        <f t="shared" si="3"/>
        <v>1.0946729129136159</v>
      </c>
      <c r="AH48" s="479">
        <f t="shared" si="4"/>
        <v>1.10596842097751</v>
      </c>
      <c r="AI48" s="479">
        <f t="shared" si="5"/>
        <v>0.90199850982713226</v>
      </c>
      <c r="AJ48" s="479">
        <f t="shared" si="6"/>
        <v>0.8213510905085285</v>
      </c>
      <c r="AK48" s="479">
        <f t="shared" si="7"/>
        <v>0.84395611939220683</v>
      </c>
      <c r="AL48" s="479">
        <f t="shared" si="8"/>
        <v>0.69650888416077883</v>
      </c>
      <c r="AM48" s="479">
        <f t="shared" si="9"/>
        <v>0.79447386889558136</v>
      </c>
      <c r="AN48" s="479">
        <f t="shared" si="10"/>
        <v>0.87483573463123632</v>
      </c>
      <c r="AO48" s="479">
        <f t="shared" si="11"/>
        <v>1.2767468561222706</v>
      </c>
      <c r="AP48" s="479">
        <f t="shared" si="12"/>
        <v>1.2888332260572761</v>
      </c>
      <c r="AQ48" s="479">
        <f t="shared" si="13"/>
        <v>1.4148838032011544</v>
      </c>
      <c r="AR48" s="479"/>
      <c r="AS48" s="479">
        <f t="shared" si="14"/>
        <v>0.71800903353135914</v>
      </c>
      <c r="AT48" s="479">
        <f t="shared" si="15"/>
        <v>0.55182399385616432</v>
      </c>
      <c r="AU48" s="479">
        <f t="shared" si="16"/>
        <v>0.5143194225763198</v>
      </c>
      <c r="AV48" s="479">
        <f t="shared" si="17"/>
        <v>0.50452207163582741</v>
      </c>
      <c r="AW48" s="479">
        <f t="shared" si="18"/>
        <v>0.49018445281257317</v>
      </c>
      <c r="AX48" s="479">
        <f t="shared" si="19"/>
        <v>0.45840866289244864</v>
      </c>
      <c r="AY48" s="479">
        <f t="shared" si="20"/>
        <v>0.52295507315804879</v>
      </c>
      <c r="AZ48" s="479">
        <f t="shared" si="21"/>
        <v>0.47308987382783491</v>
      </c>
      <c r="BA48" s="479">
        <f t="shared" si="22"/>
        <v>0.54834070088478171</v>
      </c>
      <c r="BB48" s="479">
        <f t="shared" si="23"/>
        <v>0.54512559911926328</v>
      </c>
      <c r="BC48" s="479">
        <f t="shared" si="24"/>
        <v>0.68654981223644318</v>
      </c>
      <c r="BD48" s="479">
        <f t="shared" si="25"/>
        <v>0.73240082662432637</v>
      </c>
    </row>
    <row r="49" spans="1:56" ht="15">
      <c r="A49" s="63" t="str">
        <f>VLOOKUP(CONCATENATE($C49," - ",$B49),[2]ACHIEV!$B$12:$C$100,2,FALSE)</f>
        <v>LO20Fast</v>
      </c>
      <c r="B49" s="63" t="str">
        <f>'SC-New'!$C$7</f>
        <v>New</v>
      </c>
      <c r="C49" s="63" t="str">
        <f>'SC-New'!$C$8</f>
        <v>Lighting</v>
      </c>
      <c r="D49" s="63" t="s">
        <v>795</v>
      </c>
      <c r="E49" s="63" t="str">
        <f>'SC-New'!$A$9</f>
        <v>Lighting</v>
      </c>
      <c r="F49" s="478">
        <f t="shared" si="1"/>
        <v>3.7860143455178382E-3</v>
      </c>
      <c r="G49" s="71">
        <f>'SC-New'!A90</f>
        <v>14.492020906444102</v>
      </c>
      <c r="H49" s="71">
        <f>'SC-New'!B90</f>
        <v>-3.5286913755547569</v>
      </c>
      <c r="I49" s="1" t="str">
        <f>'SC-New'!C90</f>
        <v>Manufactured</v>
      </c>
      <c r="J49" s="1" t="str">
        <f>'SC-New'!D90</f>
        <v>2016 - LEDDecorative and Mini-Base665 to 1439 lumensANY</v>
      </c>
      <c r="K49" s="37">
        <f>'SC-New'!E90</f>
        <v>4.4616045040100363E-4</v>
      </c>
      <c r="L49" s="37">
        <f>'SC-New'!F90</f>
        <v>0</v>
      </c>
      <c r="M49" s="37">
        <f>'SC-New'!G90</f>
        <v>0</v>
      </c>
      <c r="N49" s="37">
        <f>'SC-New'!H90</f>
        <v>0</v>
      </c>
      <c r="O49" s="37">
        <f>'SC-New'!I90</f>
        <v>0</v>
      </c>
      <c r="P49" s="37">
        <f>'SC-New'!J90</f>
        <v>0</v>
      </c>
      <c r="Q49" s="37">
        <f>'SC-New'!K90</f>
        <v>0</v>
      </c>
      <c r="R49" s="37">
        <f>'SC-New'!L90</f>
        <v>0</v>
      </c>
      <c r="S49" s="37">
        <f>'SC-New'!M90</f>
        <v>0</v>
      </c>
      <c r="T49" s="37">
        <f>'SC-New'!N90</f>
        <v>0</v>
      </c>
      <c r="U49" s="37">
        <f>'SC-New'!O90</f>
        <v>0</v>
      </c>
      <c r="V49" s="37">
        <f>'SC-New'!P90</f>
        <v>0</v>
      </c>
      <c r="W49" s="37">
        <f>'SC-New'!Q90</f>
        <v>0</v>
      </c>
      <c r="X49" s="37">
        <f>'SC-New'!R90</f>
        <v>0</v>
      </c>
      <c r="Y49" s="37">
        <f>'SC-New'!S90</f>
        <v>0</v>
      </c>
      <c r="Z49" s="37">
        <f>'SC-New'!T90</f>
        <v>0</v>
      </c>
      <c r="AA49" s="37">
        <f>'SC-New'!U90</f>
        <v>0</v>
      </c>
      <c r="AB49" s="37">
        <f>'SC-New'!V90</f>
        <v>0</v>
      </c>
      <c r="AC49" s="37">
        <f>'SC-New'!W90</f>
        <v>0</v>
      </c>
      <c r="AD49" s="37">
        <f>'SC-New'!X90</f>
        <v>0</v>
      </c>
      <c r="AE49" s="37">
        <f>'SC-New'!Y90</f>
        <v>4.4616045040100363E-4</v>
      </c>
      <c r="AF49" s="479">
        <f t="shared" si="2"/>
        <v>1.0368863254504586</v>
      </c>
      <c r="AG49" s="479">
        <f t="shared" si="3"/>
        <v>0.8246923414989582</v>
      </c>
      <c r="AH49" s="479">
        <f t="shared" si="4"/>
        <v>0.83320202405686417</v>
      </c>
      <c r="AI49" s="479">
        <f t="shared" si="5"/>
        <v>0.67953747125979169</v>
      </c>
      <c r="AJ49" s="479">
        <f t="shared" si="6"/>
        <v>0.61878022743918382</v>
      </c>
      <c r="AK49" s="479">
        <f t="shared" si="7"/>
        <v>0.63581014932709601</v>
      </c>
      <c r="AL49" s="479">
        <f t="shared" si="8"/>
        <v>0.52472801306878369</v>
      </c>
      <c r="AM49" s="479">
        <f t="shared" si="9"/>
        <v>0.59853176914311479</v>
      </c>
      <c r="AN49" s="479">
        <f t="shared" si="10"/>
        <v>0.65907388582376392</v>
      </c>
      <c r="AO49" s="479">
        <f t="shared" si="11"/>
        <v>0.96186115674901895</v>
      </c>
      <c r="AP49" s="479">
        <f t="shared" si="12"/>
        <v>0.97096664990988701</v>
      </c>
      <c r="AQ49" s="479">
        <f t="shared" si="13"/>
        <v>1.065929213051598</v>
      </c>
      <c r="AR49" s="479"/>
      <c r="AS49" s="479">
        <f t="shared" si="14"/>
        <v>0.5409255532817846</v>
      </c>
      <c r="AT49" s="479">
        <f t="shared" si="15"/>
        <v>0.41572694109812058</v>
      </c>
      <c r="AU49" s="479">
        <f t="shared" si="16"/>
        <v>0.3874721698867219</v>
      </c>
      <c r="AV49" s="479">
        <f t="shared" si="17"/>
        <v>0.38009115205729899</v>
      </c>
      <c r="AW49" s="479">
        <f t="shared" si="18"/>
        <v>0.36928963838195134</v>
      </c>
      <c r="AX49" s="479">
        <f t="shared" si="19"/>
        <v>0.34535075190447584</v>
      </c>
      <c r="AY49" s="479">
        <f t="shared" si="20"/>
        <v>0.39397799899293179</v>
      </c>
      <c r="AZ49" s="479">
        <f t="shared" si="21"/>
        <v>0.35641111713276868</v>
      </c>
      <c r="BA49" s="479">
        <f t="shared" si="22"/>
        <v>0.41310273709817824</v>
      </c>
      <c r="BB49" s="479">
        <f t="shared" si="23"/>
        <v>0.41068057996623142</v>
      </c>
      <c r="BC49" s="479">
        <f t="shared" si="24"/>
        <v>0.51722515970724714</v>
      </c>
      <c r="BD49" s="479">
        <f t="shared" si="25"/>
        <v>0.55176788015787159</v>
      </c>
    </row>
    <row r="50" spans="1:56" ht="15">
      <c r="A50" s="63" t="str">
        <f>VLOOKUP(CONCATENATE($C50," - ",$B50),[2]ACHIEV!$B$12:$C$100,2,FALSE)</f>
        <v>LO20Fast</v>
      </c>
      <c r="B50" s="63" t="str">
        <f>'SC-New'!$C$7</f>
        <v>New</v>
      </c>
      <c r="C50" s="63" t="str">
        <f>'SC-New'!$C$8</f>
        <v>Lighting</v>
      </c>
      <c r="D50" s="63" t="s">
        <v>795</v>
      </c>
      <c r="E50" s="63" t="str">
        <f>'SC-New'!$A$9</f>
        <v>Lighting</v>
      </c>
      <c r="F50" s="478">
        <f t="shared" si="1"/>
        <v>1.8749503794567041E-3</v>
      </c>
      <c r="G50" s="71">
        <f>'SC-New'!A91</f>
        <v>7.1768930642853626</v>
      </c>
      <c r="H50" s="71">
        <f>'SC-New'!B91</f>
        <v>355.22288385759038</v>
      </c>
      <c r="I50" s="1" t="str">
        <f>'SC-New'!C91</f>
        <v>Manufactured</v>
      </c>
      <c r="J50" s="1" t="str">
        <f>'SC-New'!D91</f>
        <v>2016 - LEDDecorative and Mini-Base1440 to 2600 lumensANY</v>
      </c>
      <c r="K50" s="37">
        <f>'SC-New'!E91</f>
        <v>4.3409349189717722E-6</v>
      </c>
      <c r="L50" s="37">
        <f>'SC-New'!F91</f>
        <v>0</v>
      </c>
      <c r="M50" s="37">
        <f>'SC-New'!G91</f>
        <v>0</v>
      </c>
      <c r="N50" s="37">
        <f>'SC-New'!H91</f>
        <v>0</v>
      </c>
      <c r="O50" s="37">
        <f>'SC-New'!I91</f>
        <v>0</v>
      </c>
      <c r="P50" s="37">
        <f>'SC-New'!J91</f>
        <v>0</v>
      </c>
      <c r="Q50" s="37">
        <f>'SC-New'!K91</f>
        <v>0</v>
      </c>
      <c r="R50" s="37">
        <f>'SC-New'!L91</f>
        <v>0</v>
      </c>
      <c r="S50" s="37">
        <f>'SC-New'!M91</f>
        <v>0</v>
      </c>
      <c r="T50" s="37">
        <f>'SC-New'!N91</f>
        <v>0</v>
      </c>
      <c r="U50" s="37">
        <f>'SC-New'!O91</f>
        <v>0</v>
      </c>
      <c r="V50" s="37">
        <f>'SC-New'!P91</f>
        <v>0</v>
      </c>
      <c r="W50" s="37">
        <f>'SC-New'!Q91</f>
        <v>0</v>
      </c>
      <c r="X50" s="37">
        <f>'SC-New'!R91</f>
        <v>0</v>
      </c>
      <c r="Y50" s="37">
        <f>'SC-New'!S91</f>
        <v>0</v>
      </c>
      <c r="Z50" s="37">
        <f>'SC-New'!T91</f>
        <v>0</v>
      </c>
      <c r="AA50" s="37">
        <f>'SC-New'!U91</f>
        <v>0</v>
      </c>
      <c r="AB50" s="37">
        <f>'SC-New'!V91</f>
        <v>0</v>
      </c>
      <c r="AC50" s="37">
        <f>'SC-New'!W91</f>
        <v>0</v>
      </c>
      <c r="AD50" s="37">
        <f>'SC-New'!X91</f>
        <v>0</v>
      </c>
      <c r="AE50" s="37">
        <f>'SC-New'!Y91</f>
        <v>4.3409349189717722E-6</v>
      </c>
      <c r="AF50" s="479">
        <f t="shared" si="2"/>
        <v>0.51349789829993253</v>
      </c>
      <c r="AG50" s="479">
        <f t="shared" si="3"/>
        <v>0.40841293178381172</v>
      </c>
      <c r="AH50" s="479">
        <f t="shared" si="4"/>
        <v>0.41262718748516447</v>
      </c>
      <c r="AI50" s="479">
        <f t="shared" si="5"/>
        <v>0.33652778973274827</v>
      </c>
      <c r="AJ50" s="479">
        <f t="shared" si="6"/>
        <v>0.30643893983415893</v>
      </c>
      <c r="AK50" s="479">
        <f t="shared" si="7"/>
        <v>0.31487267927406898</v>
      </c>
      <c r="AL50" s="479">
        <f t="shared" si="8"/>
        <v>0.25986139972755762</v>
      </c>
      <c r="AM50" s="479">
        <f t="shared" si="9"/>
        <v>0.29641128248770077</v>
      </c>
      <c r="AN50" s="479">
        <f t="shared" si="10"/>
        <v>0.32639359483099145</v>
      </c>
      <c r="AO50" s="479">
        <f t="shared" si="11"/>
        <v>0.47634313455950961</v>
      </c>
      <c r="AP50" s="479">
        <f t="shared" si="12"/>
        <v>0.4808524539384289</v>
      </c>
      <c r="AQ50" s="479">
        <f t="shared" si="13"/>
        <v>0.52788082666700065</v>
      </c>
      <c r="AR50" s="479"/>
      <c r="AS50" s="479">
        <f t="shared" si="14"/>
        <v>0.26788291824203048</v>
      </c>
      <c r="AT50" s="479">
        <f t="shared" si="15"/>
        <v>0.20588072701971843</v>
      </c>
      <c r="AU50" s="479">
        <f t="shared" si="16"/>
        <v>0.19188809805174015</v>
      </c>
      <c r="AV50" s="479">
        <f t="shared" si="17"/>
        <v>0.18823279172770654</v>
      </c>
      <c r="AW50" s="479">
        <f t="shared" si="18"/>
        <v>0.18288355099166023</v>
      </c>
      <c r="AX50" s="479">
        <f t="shared" si="19"/>
        <v>0.17102828046479313</v>
      </c>
      <c r="AY50" s="479">
        <f t="shared" si="20"/>
        <v>0.19510998408759461</v>
      </c>
      <c r="AZ50" s="479">
        <f t="shared" si="21"/>
        <v>0.17650571242599744</v>
      </c>
      <c r="BA50" s="479">
        <f t="shared" si="22"/>
        <v>0.20458114074337783</v>
      </c>
      <c r="BB50" s="479">
        <f t="shared" si="23"/>
        <v>0.20338161427063109</v>
      </c>
      <c r="BC50" s="479">
        <f t="shared" si="24"/>
        <v>0.25614575671266115</v>
      </c>
      <c r="BD50" s="479">
        <f t="shared" si="25"/>
        <v>0.27325237092637639</v>
      </c>
    </row>
    <row r="51" spans="1:56" ht="15">
      <c r="A51" s="63" t="str">
        <f>VLOOKUP(CONCATENATE($C51," - ",$B51),[2]ACHIEV!$B$12:$C$100,2,FALSE)</f>
        <v>LO20Fast</v>
      </c>
      <c r="B51" s="63" t="str">
        <f>'SC-New'!$C$7</f>
        <v>New</v>
      </c>
      <c r="C51" s="63" t="str">
        <f>'SC-New'!$C$8</f>
        <v>Lighting</v>
      </c>
      <c r="D51" s="63" t="s">
        <v>795</v>
      </c>
      <c r="E51" s="63" t="str">
        <f>'SC-New'!$A$9</f>
        <v>Lighting</v>
      </c>
      <c r="F51" s="478">
        <f t="shared" si="1"/>
        <v>4.7955325150829165E-4</v>
      </c>
      <c r="G51" s="71">
        <f>'SC-New'!A92</f>
        <v>1.835623194306955</v>
      </c>
      <c r="H51" s="71">
        <f>'SC-New'!B92</f>
        <v>45.354656455601045</v>
      </c>
      <c r="I51" s="1" t="str">
        <f>'SC-New'!C92</f>
        <v>Manufactured</v>
      </c>
      <c r="J51" s="1" t="str">
        <f>'SC-New'!D92</f>
        <v>2016 - LEDGeneral Purpose and Dimmable250 to 664 lumensANY</v>
      </c>
      <c r="K51" s="37">
        <f>'SC-New'!E92</f>
        <v>1.720583360778261E-4</v>
      </c>
      <c r="L51" s="37">
        <f>'SC-New'!F92</f>
        <v>0</v>
      </c>
      <c r="M51" s="37">
        <f>'SC-New'!G92</f>
        <v>0</v>
      </c>
      <c r="N51" s="37">
        <f>'SC-New'!H92</f>
        <v>0</v>
      </c>
      <c r="O51" s="37">
        <f>'SC-New'!I92</f>
        <v>0</v>
      </c>
      <c r="P51" s="37">
        <f>'SC-New'!J92</f>
        <v>0</v>
      </c>
      <c r="Q51" s="37">
        <f>'SC-New'!K92</f>
        <v>0</v>
      </c>
      <c r="R51" s="37">
        <f>'SC-New'!L92</f>
        <v>0</v>
      </c>
      <c r="S51" s="37">
        <f>'SC-New'!M92</f>
        <v>0</v>
      </c>
      <c r="T51" s="37">
        <f>'SC-New'!N92</f>
        <v>0</v>
      </c>
      <c r="U51" s="37">
        <f>'SC-New'!O92</f>
        <v>0</v>
      </c>
      <c r="V51" s="37">
        <f>'SC-New'!P92</f>
        <v>0</v>
      </c>
      <c r="W51" s="37">
        <f>'SC-New'!Q92</f>
        <v>0</v>
      </c>
      <c r="X51" s="37">
        <f>'SC-New'!R92</f>
        <v>0</v>
      </c>
      <c r="Y51" s="37">
        <f>'SC-New'!S92</f>
        <v>0</v>
      </c>
      <c r="Z51" s="37">
        <f>'SC-New'!T92</f>
        <v>0</v>
      </c>
      <c r="AA51" s="37">
        <f>'SC-New'!U92</f>
        <v>0</v>
      </c>
      <c r="AB51" s="37">
        <f>'SC-New'!V92</f>
        <v>0</v>
      </c>
      <c r="AC51" s="37">
        <f>'SC-New'!W92</f>
        <v>0</v>
      </c>
      <c r="AD51" s="37">
        <f>'SC-New'!X92</f>
        <v>0</v>
      </c>
      <c r="AE51" s="37">
        <f>'SC-New'!Y92</f>
        <v>1.720583360778261E-4</v>
      </c>
      <c r="AF51" s="479">
        <f t="shared" si="2"/>
        <v>0.13133658867482209</v>
      </c>
      <c r="AG51" s="479">
        <f t="shared" si="3"/>
        <v>0.10445916411489954</v>
      </c>
      <c r="AH51" s="479">
        <f t="shared" si="4"/>
        <v>0.1055370379863439</v>
      </c>
      <c r="AI51" s="479">
        <f t="shared" si="5"/>
        <v>8.6073208953935804E-2</v>
      </c>
      <c r="AJ51" s="479">
        <f t="shared" si="6"/>
        <v>7.837742886230771E-2</v>
      </c>
      <c r="AK51" s="479">
        <f t="shared" si="7"/>
        <v>8.0534513772445179E-2</v>
      </c>
      <c r="AL51" s="479">
        <f t="shared" si="8"/>
        <v>6.6464361161896968E-2</v>
      </c>
      <c r="AM51" s="479">
        <f t="shared" si="9"/>
        <v>7.5812669955515485E-2</v>
      </c>
      <c r="AN51" s="479">
        <f t="shared" si="10"/>
        <v>8.3481201096125474E-2</v>
      </c>
      <c r="AO51" s="479">
        <f t="shared" si="11"/>
        <v>0.12183357037846314</v>
      </c>
      <c r="AP51" s="479">
        <f t="shared" si="12"/>
        <v>0.12298691224496987</v>
      </c>
      <c r="AQ51" s="479">
        <f t="shared" si="13"/>
        <v>0.13501528873014673</v>
      </c>
      <c r="AR51" s="479"/>
      <c r="AS51" s="479">
        <f t="shared" si="14"/>
        <v>6.851601294308389E-2</v>
      </c>
      <c r="AT51" s="479">
        <f t="shared" si="15"/>
        <v>5.2657805319523042E-2</v>
      </c>
      <c r="AU51" s="479">
        <f t="shared" si="16"/>
        <v>4.9078931557174459E-2</v>
      </c>
      <c r="AV51" s="479">
        <f t="shared" si="17"/>
        <v>4.8144019331146884E-2</v>
      </c>
      <c r="AW51" s="479">
        <f t="shared" si="18"/>
        <v>4.6775852036599626E-2</v>
      </c>
      <c r="AX51" s="479">
        <f t="shared" si="19"/>
        <v>4.3743647242829607E-2</v>
      </c>
      <c r="AY51" s="479">
        <f t="shared" si="20"/>
        <v>4.99029885249812E-2</v>
      </c>
      <c r="AZ51" s="479">
        <f t="shared" si="21"/>
        <v>4.5144601815116529E-2</v>
      </c>
      <c r="BA51" s="479">
        <f t="shared" si="22"/>
        <v>5.2325412083273619E-2</v>
      </c>
      <c r="BB51" s="479">
        <f t="shared" si="23"/>
        <v>5.2018610993186824E-2</v>
      </c>
      <c r="BC51" s="479">
        <f t="shared" si="24"/>
        <v>6.5514016710779291E-2</v>
      </c>
      <c r="BD51" s="479">
        <f t="shared" si="25"/>
        <v>6.98893498173878E-2</v>
      </c>
    </row>
    <row r="52" spans="1:56" ht="15">
      <c r="A52" s="63" t="str">
        <f>VLOOKUP(CONCATENATE($C52," - ",$B52),[2]ACHIEV!$B$12:$C$100,2,FALSE)</f>
        <v>LO20Fast</v>
      </c>
      <c r="B52" s="63" t="str">
        <f>'SC-New'!$C$7</f>
        <v>New</v>
      </c>
      <c r="C52" s="63" t="str">
        <f>'SC-New'!$C$8</f>
        <v>Lighting</v>
      </c>
      <c r="D52" s="63" t="s">
        <v>795</v>
      </c>
      <c r="E52" s="63" t="str">
        <f>'SC-New'!$A$9</f>
        <v>Lighting</v>
      </c>
      <c r="F52" s="478">
        <f t="shared" si="1"/>
        <v>1.8717307205817217E-3</v>
      </c>
      <c r="G52" s="71">
        <f>'SC-New'!A93</f>
        <v>7.1645689261628798</v>
      </c>
      <c r="H52" s="71">
        <f>'SC-New'!B93</f>
        <v>56.611757463143533</v>
      </c>
      <c r="I52" s="1" t="str">
        <f>'SC-New'!C93</f>
        <v>Manufactured</v>
      </c>
      <c r="J52" s="1" t="str">
        <f>'SC-New'!D93</f>
        <v>2016 - LEDGeneral Purpose and Dimmable665 to 1439 lumensANY</v>
      </c>
      <c r="K52" s="37">
        <f>'SC-New'!E93</f>
        <v>5.1820373037757489E-3</v>
      </c>
      <c r="L52" s="37">
        <f>'SC-New'!F93</f>
        <v>0</v>
      </c>
      <c r="M52" s="37">
        <f>'SC-New'!G93</f>
        <v>0</v>
      </c>
      <c r="N52" s="37">
        <f>'SC-New'!H93</f>
        <v>0</v>
      </c>
      <c r="O52" s="37">
        <f>'SC-New'!I93</f>
        <v>0</v>
      </c>
      <c r="P52" s="37">
        <f>'SC-New'!J93</f>
        <v>0</v>
      </c>
      <c r="Q52" s="37">
        <f>'SC-New'!K93</f>
        <v>0</v>
      </c>
      <c r="R52" s="37">
        <f>'SC-New'!L93</f>
        <v>0</v>
      </c>
      <c r="S52" s="37">
        <f>'SC-New'!M93</f>
        <v>0</v>
      </c>
      <c r="T52" s="37">
        <f>'SC-New'!N93</f>
        <v>0</v>
      </c>
      <c r="U52" s="37">
        <f>'SC-New'!O93</f>
        <v>0</v>
      </c>
      <c r="V52" s="37">
        <f>'SC-New'!P93</f>
        <v>0</v>
      </c>
      <c r="W52" s="37">
        <f>'SC-New'!Q93</f>
        <v>0</v>
      </c>
      <c r="X52" s="37">
        <f>'SC-New'!R93</f>
        <v>0</v>
      </c>
      <c r="Y52" s="37">
        <f>'SC-New'!S93</f>
        <v>0</v>
      </c>
      <c r="Z52" s="37">
        <f>'SC-New'!T93</f>
        <v>0</v>
      </c>
      <c r="AA52" s="37">
        <f>'SC-New'!U93</f>
        <v>0</v>
      </c>
      <c r="AB52" s="37">
        <f>'SC-New'!V93</f>
        <v>0</v>
      </c>
      <c r="AC52" s="37">
        <f>'SC-New'!W93</f>
        <v>0</v>
      </c>
      <c r="AD52" s="37">
        <f>'SC-New'!X93</f>
        <v>0</v>
      </c>
      <c r="AE52" s="37">
        <f>'SC-New'!Y93</f>
        <v>5.1820373037757489E-3</v>
      </c>
      <c r="AF52" s="479">
        <f t="shared" si="2"/>
        <v>0.5126161213293734</v>
      </c>
      <c r="AG52" s="479">
        <f t="shared" si="3"/>
        <v>0.40771160638614634</v>
      </c>
      <c r="AH52" s="479">
        <f t="shared" si="4"/>
        <v>0.41191862538090729</v>
      </c>
      <c r="AI52" s="479">
        <f t="shared" si="5"/>
        <v>0.33594990527417118</v>
      </c>
      <c r="AJ52" s="479">
        <f t="shared" si="6"/>
        <v>0.3059127238536789</v>
      </c>
      <c r="AK52" s="479">
        <f t="shared" si="7"/>
        <v>0.31433198090283632</v>
      </c>
      <c r="AL52" s="479">
        <f t="shared" si="8"/>
        <v>0.25941516655196784</v>
      </c>
      <c r="AM52" s="479">
        <f t="shared" si="9"/>
        <v>0.2959022859687726</v>
      </c>
      <c r="AN52" s="479">
        <f t="shared" si="10"/>
        <v>0.32583311277992005</v>
      </c>
      <c r="AO52" s="479">
        <f t="shared" si="11"/>
        <v>0.47552515963199937</v>
      </c>
      <c r="AP52" s="479">
        <f t="shared" si="12"/>
        <v>0.48002673562191084</v>
      </c>
      <c r="AQ52" s="479">
        <f t="shared" si="13"/>
        <v>0.52697435137723647</v>
      </c>
      <c r="AR52" s="479"/>
      <c r="AS52" s="479">
        <f t="shared" si="14"/>
        <v>0.26742291054016054</v>
      </c>
      <c r="AT52" s="479">
        <f t="shared" si="15"/>
        <v>0.20552718928496042</v>
      </c>
      <c r="AU52" s="479">
        <f t="shared" si="16"/>
        <v>0.19155858841529055</v>
      </c>
      <c r="AV52" s="479">
        <f t="shared" si="17"/>
        <v>0.18790955897174189</v>
      </c>
      <c r="AW52" s="479">
        <f t="shared" si="18"/>
        <v>0.18256950393500734</v>
      </c>
      <c r="AX52" s="479">
        <f t="shared" si="19"/>
        <v>0.17073459124127832</v>
      </c>
      <c r="AY52" s="479">
        <f t="shared" si="20"/>
        <v>0.19477494183861133</v>
      </c>
      <c r="AZ52" s="479">
        <f t="shared" si="21"/>
        <v>0.17620261737360352</v>
      </c>
      <c r="BA52" s="479">
        <f t="shared" si="22"/>
        <v>0.20422983465407252</v>
      </c>
      <c r="BB52" s="479">
        <f t="shared" si="23"/>
        <v>0.20303236800439955</v>
      </c>
      <c r="BC52" s="479">
        <f t="shared" si="24"/>
        <v>0.25570590402753146</v>
      </c>
      <c r="BD52" s="479">
        <f t="shared" si="25"/>
        <v>0.27278314281730076</v>
      </c>
    </row>
    <row r="53" spans="1:56" ht="15">
      <c r="A53" s="63" t="str">
        <f>VLOOKUP(CONCATENATE($C53," - ",$B53),[2]ACHIEV!$B$12:$C$100,2,FALSE)</f>
        <v>LO20Fast</v>
      </c>
      <c r="B53" s="63" t="str">
        <f>'SC-New'!$C$7</f>
        <v>New</v>
      </c>
      <c r="C53" s="63" t="str">
        <f>'SC-New'!$C$8</f>
        <v>Lighting</v>
      </c>
      <c r="D53" s="63" t="s">
        <v>795</v>
      </c>
      <c r="E53" s="63" t="str">
        <f>'SC-New'!$A$9</f>
        <v>Lighting</v>
      </c>
      <c r="F53" s="478">
        <f t="shared" si="1"/>
        <v>3.4972440175301935E-3</v>
      </c>
      <c r="G53" s="71">
        <f>'SC-New'!A94</f>
        <v>13.386672313322151</v>
      </c>
      <c r="H53" s="71">
        <f>'SC-New'!B94</f>
        <v>91.063681093838966</v>
      </c>
      <c r="I53" s="1" t="str">
        <f>'SC-New'!C94</f>
        <v>Manufactured</v>
      </c>
      <c r="J53" s="1" t="str">
        <f>'SC-New'!D94</f>
        <v>2016 - LEDGeneral Purpose and Dimmable1440 to 2600 lumensANY</v>
      </c>
      <c r="K53" s="37">
        <f>'SC-New'!E94</f>
        <v>9.6534787678861315E-4</v>
      </c>
      <c r="L53" s="37">
        <f>'SC-New'!F94</f>
        <v>0</v>
      </c>
      <c r="M53" s="37">
        <f>'SC-New'!G94</f>
        <v>0</v>
      </c>
      <c r="N53" s="37">
        <f>'SC-New'!H94</f>
        <v>0</v>
      </c>
      <c r="O53" s="37">
        <f>'SC-New'!I94</f>
        <v>0</v>
      </c>
      <c r="P53" s="37">
        <f>'SC-New'!J94</f>
        <v>0</v>
      </c>
      <c r="Q53" s="37">
        <f>'SC-New'!K94</f>
        <v>0</v>
      </c>
      <c r="R53" s="37">
        <f>'SC-New'!L94</f>
        <v>0</v>
      </c>
      <c r="S53" s="37">
        <f>'SC-New'!M94</f>
        <v>0</v>
      </c>
      <c r="T53" s="37">
        <f>'SC-New'!N94</f>
        <v>0</v>
      </c>
      <c r="U53" s="37">
        <f>'SC-New'!O94</f>
        <v>0</v>
      </c>
      <c r="V53" s="37">
        <f>'SC-New'!P94</f>
        <v>0</v>
      </c>
      <c r="W53" s="37">
        <f>'SC-New'!Q94</f>
        <v>0</v>
      </c>
      <c r="X53" s="37">
        <f>'SC-New'!R94</f>
        <v>0</v>
      </c>
      <c r="Y53" s="37">
        <f>'SC-New'!S94</f>
        <v>0</v>
      </c>
      <c r="Z53" s="37">
        <f>'SC-New'!T94</f>
        <v>0</v>
      </c>
      <c r="AA53" s="37">
        <f>'SC-New'!U94</f>
        <v>0</v>
      </c>
      <c r="AB53" s="37">
        <f>'SC-New'!V94</f>
        <v>0</v>
      </c>
      <c r="AC53" s="37">
        <f>'SC-New'!W94</f>
        <v>0</v>
      </c>
      <c r="AD53" s="37">
        <f>'SC-New'!X94</f>
        <v>0</v>
      </c>
      <c r="AE53" s="37">
        <f>'SC-New'!Y94</f>
        <v>9.6534787678861315E-4</v>
      </c>
      <c r="AF53" s="479">
        <f t="shared" si="2"/>
        <v>0.95779998901311492</v>
      </c>
      <c r="AG53" s="479">
        <f t="shared" si="3"/>
        <v>0.76179065750890984</v>
      </c>
      <c r="AH53" s="479">
        <f t="shared" si="4"/>
        <v>0.76965128182269515</v>
      </c>
      <c r="AI53" s="479">
        <f t="shared" si="5"/>
        <v>0.62770717149140953</v>
      </c>
      <c r="AJ53" s="479">
        <f t="shared" si="6"/>
        <v>0.57158405940526624</v>
      </c>
      <c r="AK53" s="479">
        <f t="shared" si="7"/>
        <v>0.58731505960921848</v>
      </c>
      <c r="AL53" s="479">
        <f t="shared" si="8"/>
        <v>0.48470548103121619</v>
      </c>
      <c r="AM53" s="479">
        <f t="shared" si="9"/>
        <v>0.552880009928018</v>
      </c>
      <c r="AN53" s="479">
        <f t="shared" si="10"/>
        <v>0.60880440324699125</v>
      </c>
      <c r="AO53" s="479">
        <f t="shared" si="11"/>
        <v>0.888497208183473</v>
      </c>
      <c r="AP53" s="479">
        <f t="shared" si="12"/>
        <v>0.89690819889226614</v>
      </c>
      <c r="AQ53" s="479">
        <f t="shared" si="13"/>
        <v>0.98462769108855308</v>
      </c>
      <c r="AR53" s="479"/>
      <c r="AS53" s="479">
        <f t="shared" si="14"/>
        <v>0.49966758773207559</v>
      </c>
      <c r="AT53" s="479">
        <f t="shared" si="15"/>
        <v>0.38401823791364159</v>
      </c>
      <c r="AU53" s="479">
        <f t="shared" si="16"/>
        <v>0.35791854029819764</v>
      </c>
      <c r="AV53" s="479">
        <f t="shared" si="17"/>
        <v>0.35110049417066713</v>
      </c>
      <c r="AW53" s="479">
        <f t="shared" si="18"/>
        <v>0.34112284336590948</v>
      </c>
      <c r="AX53" s="479">
        <f t="shared" si="19"/>
        <v>0.31900984540043698</v>
      </c>
      <c r="AY53" s="479">
        <f t="shared" si="20"/>
        <v>0.36392815089243707</v>
      </c>
      <c r="AZ53" s="479">
        <f t="shared" si="21"/>
        <v>0.32922660439717438</v>
      </c>
      <c r="BA53" s="479">
        <f t="shared" si="22"/>
        <v>0.38159418958681945</v>
      </c>
      <c r="BB53" s="479">
        <f t="shared" si="23"/>
        <v>0.37935677742559831</v>
      </c>
      <c r="BC53" s="479">
        <f t="shared" si="24"/>
        <v>0.47777489212203672</v>
      </c>
      <c r="BD53" s="479">
        <f t="shared" si="25"/>
        <v>0.50968293879602289</v>
      </c>
    </row>
    <row r="54" spans="1:56" ht="15">
      <c r="A54" s="63" t="str">
        <f>VLOOKUP(CONCATENATE($C54," - ",$B54),[2]ACHIEV!$B$12:$C$100,2,FALSE)</f>
        <v>LO20Fast</v>
      </c>
      <c r="B54" s="63" t="str">
        <f>'SC-New'!$C$7</f>
        <v>New</v>
      </c>
      <c r="C54" s="63" t="str">
        <f>'SC-New'!$C$8</f>
        <v>Lighting</v>
      </c>
      <c r="D54" s="63" t="s">
        <v>795</v>
      </c>
      <c r="E54" s="63" t="str">
        <f>'SC-New'!$A$9</f>
        <v>Lighting</v>
      </c>
      <c r="F54" s="478">
        <f t="shared" si="1"/>
        <v>3.7448609823725787E-3</v>
      </c>
      <c r="G54" s="71">
        <f>'SC-New'!A95</f>
        <v>14.33449498481688</v>
      </c>
      <c r="H54" s="71">
        <f>'SC-New'!B95</f>
        <v>-37.397069706053522</v>
      </c>
      <c r="I54" s="1" t="str">
        <f>'SC-New'!C95</f>
        <v>Manufactured</v>
      </c>
      <c r="J54" s="1" t="str">
        <f>'SC-New'!D95</f>
        <v>2016 - LEDGlobe250 to 664 lumensANY</v>
      </c>
      <c r="K54" s="37">
        <f>'SC-New'!E95</f>
        <v>8.8347670816280629E-4</v>
      </c>
      <c r="L54" s="37">
        <f>'SC-New'!F95</f>
        <v>0</v>
      </c>
      <c r="M54" s="37">
        <f>'SC-New'!G95</f>
        <v>0</v>
      </c>
      <c r="N54" s="37">
        <f>'SC-New'!H95</f>
        <v>0</v>
      </c>
      <c r="O54" s="37">
        <f>'SC-New'!I95</f>
        <v>0</v>
      </c>
      <c r="P54" s="37">
        <f>'SC-New'!J95</f>
        <v>0</v>
      </c>
      <c r="Q54" s="37">
        <f>'SC-New'!K95</f>
        <v>0</v>
      </c>
      <c r="R54" s="37">
        <f>'SC-New'!L95</f>
        <v>0</v>
      </c>
      <c r="S54" s="37">
        <f>'SC-New'!M95</f>
        <v>0</v>
      </c>
      <c r="T54" s="37">
        <f>'SC-New'!N95</f>
        <v>0</v>
      </c>
      <c r="U54" s="37">
        <f>'SC-New'!O95</f>
        <v>0</v>
      </c>
      <c r="V54" s="37">
        <f>'SC-New'!P95</f>
        <v>0</v>
      </c>
      <c r="W54" s="37">
        <f>'SC-New'!Q95</f>
        <v>0</v>
      </c>
      <c r="X54" s="37">
        <f>'SC-New'!R95</f>
        <v>0</v>
      </c>
      <c r="Y54" s="37">
        <f>'SC-New'!S95</f>
        <v>0</v>
      </c>
      <c r="Z54" s="37">
        <f>'SC-New'!T95</f>
        <v>0</v>
      </c>
      <c r="AA54" s="37">
        <f>'SC-New'!U95</f>
        <v>0</v>
      </c>
      <c r="AB54" s="37">
        <f>'SC-New'!V95</f>
        <v>0</v>
      </c>
      <c r="AC54" s="37">
        <f>'SC-New'!W95</f>
        <v>0</v>
      </c>
      <c r="AD54" s="37">
        <f>'SC-New'!X95</f>
        <v>0</v>
      </c>
      <c r="AE54" s="37">
        <f>'SC-New'!Y95</f>
        <v>8.8347670816280629E-4</v>
      </c>
      <c r="AF54" s="479">
        <f t="shared" si="2"/>
        <v>1.0256155389194634</v>
      </c>
      <c r="AG54" s="479">
        <f t="shared" si="3"/>
        <v>0.81572806922856911</v>
      </c>
      <c r="AH54" s="479">
        <f t="shared" si="4"/>
        <v>0.82414525291441687</v>
      </c>
      <c r="AI54" s="479">
        <f t="shared" si="5"/>
        <v>0.67215100893466262</v>
      </c>
      <c r="AJ54" s="479">
        <f t="shared" si="6"/>
        <v>0.61205418652043819</v>
      </c>
      <c r="AK54" s="479">
        <f t="shared" si="7"/>
        <v>0.62889899591383003</v>
      </c>
      <c r="AL54" s="479">
        <f t="shared" si="8"/>
        <v>0.51902430449729475</v>
      </c>
      <c r="AM54" s="479">
        <f t="shared" si="9"/>
        <v>0.59202582568870554</v>
      </c>
      <c r="AN54" s="479">
        <f t="shared" si="10"/>
        <v>0.65190985936016288</v>
      </c>
      <c r="AO54" s="479">
        <f t="shared" si="11"/>
        <v>0.95140588165850748</v>
      </c>
      <c r="AP54" s="479">
        <f t="shared" si="12"/>
        <v>0.96041239958249891</v>
      </c>
      <c r="AQ54" s="479">
        <f t="shared" si="13"/>
        <v>1.0543427350331549</v>
      </c>
      <c r="AR54" s="479"/>
      <c r="AS54" s="479">
        <f t="shared" si="14"/>
        <v>0.53504578006985537</v>
      </c>
      <c r="AT54" s="479">
        <f t="shared" si="15"/>
        <v>0.4112080565364355</v>
      </c>
      <c r="AU54" s="479">
        <f t="shared" si="16"/>
        <v>0.38326041011489015</v>
      </c>
      <c r="AV54" s="479">
        <f t="shared" si="17"/>
        <v>0.37595962275460831</v>
      </c>
      <c r="AW54" s="479">
        <f t="shared" si="18"/>
        <v>0.36527551978461797</v>
      </c>
      <c r="AX54" s="479">
        <f t="shared" si="19"/>
        <v>0.34159684512849148</v>
      </c>
      <c r="AY54" s="479">
        <f t="shared" si="20"/>
        <v>0.38969552191172535</v>
      </c>
      <c r="AZ54" s="479">
        <f t="shared" si="21"/>
        <v>0.35253698597694333</v>
      </c>
      <c r="BA54" s="479">
        <f t="shared" si="22"/>
        <v>0.40861237720922838</v>
      </c>
      <c r="BB54" s="479">
        <f t="shared" si="23"/>
        <v>0.40621654853326428</v>
      </c>
      <c r="BC54" s="479">
        <f t="shared" si="24"/>
        <v>0.51160300593741348</v>
      </c>
      <c r="BD54" s="479">
        <f t="shared" si="25"/>
        <v>0.54577025260769885</v>
      </c>
    </row>
    <row r="55" spans="1:56" ht="15">
      <c r="A55" s="63" t="str">
        <f>VLOOKUP(CONCATENATE($C55," - ",$B55),[2]ACHIEV!$B$12:$C$100,2,FALSE)</f>
        <v>LO20Fast</v>
      </c>
      <c r="B55" s="63" t="str">
        <f>'SC-New'!$C$7</f>
        <v>New</v>
      </c>
      <c r="C55" s="63" t="str">
        <f>'SC-New'!$C$8</f>
        <v>Lighting</v>
      </c>
      <c r="D55" s="63" t="s">
        <v>795</v>
      </c>
      <c r="E55" s="63" t="str">
        <f>'SC-New'!$A$9</f>
        <v>Lighting</v>
      </c>
      <c r="F55" s="478">
        <f t="shared" si="1"/>
        <v>2.5791399031027257E-3</v>
      </c>
      <c r="G55" s="71">
        <f>'SC-New'!A96</f>
        <v>9.8723739493112301</v>
      </c>
      <c r="H55" s="71">
        <f>'SC-New'!B96</f>
        <v>-94.996719014918995</v>
      </c>
      <c r="I55" s="1" t="str">
        <f>'SC-New'!C96</f>
        <v>Manufactured</v>
      </c>
      <c r="J55" s="1" t="str">
        <f>'SC-New'!D96</f>
        <v>2016 - LEDGlobe665 to 1439 lumensANY</v>
      </c>
      <c r="K55" s="37">
        <f>'SC-New'!E96</f>
        <v>3.7102529822676802E-4</v>
      </c>
      <c r="L55" s="37">
        <f>'SC-New'!F96</f>
        <v>0</v>
      </c>
      <c r="M55" s="37">
        <f>'SC-New'!G96</f>
        <v>0</v>
      </c>
      <c r="N55" s="37">
        <f>'SC-New'!H96</f>
        <v>0</v>
      </c>
      <c r="O55" s="37">
        <f>'SC-New'!I96</f>
        <v>0</v>
      </c>
      <c r="P55" s="37">
        <f>'SC-New'!J96</f>
        <v>0</v>
      </c>
      <c r="Q55" s="37">
        <f>'SC-New'!K96</f>
        <v>0</v>
      </c>
      <c r="R55" s="37">
        <f>'SC-New'!L96</f>
        <v>0</v>
      </c>
      <c r="S55" s="37">
        <f>'SC-New'!M96</f>
        <v>0</v>
      </c>
      <c r="T55" s="37">
        <f>'SC-New'!N96</f>
        <v>0</v>
      </c>
      <c r="U55" s="37">
        <f>'SC-New'!O96</f>
        <v>0</v>
      </c>
      <c r="V55" s="37">
        <f>'SC-New'!P96</f>
        <v>0</v>
      </c>
      <c r="W55" s="37">
        <f>'SC-New'!Q96</f>
        <v>0</v>
      </c>
      <c r="X55" s="37">
        <f>'SC-New'!R96</f>
        <v>0</v>
      </c>
      <c r="Y55" s="37">
        <f>'SC-New'!S96</f>
        <v>0</v>
      </c>
      <c r="Z55" s="37">
        <f>'SC-New'!T96</f>
        <v>0</v>
      </c>
      <c r="AA55" s="37">
        <f>'SC-New'!U96</f>
        <v>0</v>
      </c>
      <c r="AB55" s="37">
        <f>'SC-New'!V96</f>
        <v>0</v>
      </c>
      <c r="AC55" s="37">
        <f>'SC-New'!W96</f>
        <v>0</v>
      </c>
      <c r="AD55" s="37">
        <f>'SC-New'!X96</f>
        <v>0</v>
      </c>
      <c r="AE55" s="37">
        <f>'SC-New'!Y96</f>
        <v>3.7102529822676802E-4</v>
      </c>
      <c r="AF55" s="479">
        <f t="shared" si="2"/>
        <v>0.70635625037101069</v>
      </c>
      <c r="AG55" s="479">
        <f t="shared" si="3"/>
        <v>0.5618037153666039</v>
      </c>
      <c r="AH55" s="479">
        <f t="shared" si="4"/>
        <v>0.5676007514697069</v>
      </c>
      <c r="AI55" s="479">
        <f t="shared" si="5"/>
        <v>0.46292011805357608</v>
      </c>
      <c r="AJ55" s="479">
        <f t="shared" si="6"/>
        <v>0.42153056755549467</v>
      </c>
      <c r="AK55" s="479">
        <f t="shared" si="7"/>
        <v>0.43313183133301719</v>
      </c>
      <c r="AL55" s="479">
        <f t="shared" si="8"/>
        <v>0.35745954274676744</v>
      </c>
      <c r="AM55" s="479">
        <f t="shared" si="9"/>
        <v>0.40773674587345871</v>
      </c>
      <c r="AN55" s="479">
        <f t="shared" si="10"/>
        <v>0.44897974568782045</v>
      </c>
      <c r="AO55" s="479">
        <f t="shared" si="11"/>
        <v>0.65524698646555923</v>
      </c>
      <c r="AP55" s="479">
        <f t="shared" si="12"/>
        <v>0.66144990557927741</v>
      </c>
      <c r="AQ55" s="479">
        <f t="shared" si="13"/>
        <v>0.72614108568261104</v>
      </c>
      <c r="AR55" s="479"/>
      <c r="AS55" s="479">
        <f t="shared" si="14"/>
        <v>0.36849376461782796</v>
      </c>
      <c r="AT55" s="479">
        <f t="shared" si="15"/>
        <v>0.28320493393015522</v>
      </c>
      <c r="AU55" s="479">
        <f t="shared" si="16"/>
        <v>0.26395698576254489</v>
      </c>
      <c r="AV55" s="479">
        <f t="shared" si="17"/>
        <v>0.25892882795011757</v>
      </c>
      <c r="AW55" s="479">
        <f t="shared" si="18"/>
        <v>0.25157053176009392</v>
      </c>
      <c r="AX55" s="479">
        <f t="shared" si="19"/>
        <v>0.2352626861696519</v>
      </c>
      <c r="AY55" s="479">
        <f t="shared" si="20"/>
        <v>0.26838894029817884</v>
      </c>
      <c r="AZ55" s="479">
        <f t="shared" si="21"/>
        <v>0.24279731934845944</v>
      </c>
      <c r="BA55" s="479">
        <f t="shared" si="22"/>
        <v>0.28141725204824536</v>
      </c>
      <c r="BB55" s="479">
        <f t="shared" si="23"/>
        <v>0.27976721019935885</v>
      </c>
      <c r="BC55" s="479">
        <f t="shared" si="24"/>
        <v>0.35234838712878186</v>
      </c>
      <c r="BD55" s="479">
        <f t="shared" si="25"/>
        <v>0.37587986391290973</v>
      </c>
    </row>
    <row r="56" spans="1:56" ht="15">
      <c r="A56" s="63" t="str">
        <f>VLOOKUP(CONCATENATE($C56," - ",$B56),[2]ACHIEV!$B$12:$C$100,2,FALSE)</f>
        <v>LO20Fast</v>
      </c>
      <c r="B56" s="63" t="str">
        <f>'SC-New'!$C$7</f>
        <v>New</v>
      </c>
      <c r="C56" s="63" t="str">
        <f>'SC-New'!$C$8</f>
        <v>Lighting</v>
      </c>
      <c r="D56" s="63" t="s">
        <v>795</v>
      </c>
      <c r="E56" s="63" t="str">
        <f>'SC-New'!$A$9</f>
        <v>Lighting</v>
      </c>
      <c r="F56" s="478">
        <f t="shared" si="1"/>
        <v>2.7904432298357131E-3</v>
      </c>
      <c r="G56" s="71">
        <f>'SC-New'!A97</f>
        <v>10.681196090262945</v>
      </c>
      <c r="H56" s="71">
        <f>'SC-New'!B97</f>
        <v>-99.87829920820603</v>
      </c>
      <c r="I56" s="1" t="str">
        <f>'SC-New'!C97</f>
        <v>Manufactured</v>
      </c>
      <c r="J56" s="1" t="str">
        <f>'SC-New'!D97</f>
        <v>2016 - LEDGlobe1440 to 2600 lumensANY</v>
      </c>
      <c r="K56" s="37">
        <f>'SC-New'!E97</f>
        <v>3.0247519844000403E-5</v>
      </c>
      <c r="L56" s="37">
        <f>'SC-New'!F97</f>
        <v>0</v>
      </c>
      <c r="M56" s="37">
        <f>'SC-New'!G97</f>
        <v>0</v>
      </c>
      <c r="N56" s="37">
        <f>'SC-New'!H97</f>
        <v>0</v>
      </c>
      <c r="O56" s="37">
        <f>'SC-New'!I97</f>
        <v>0</v>
      </c>
      <c r="P56" s="37">
        <f>'SC-New'!J97</f>
        <v>0</v>
      </c>
      <c r="Q56" s="37">
        <f>'SC-New'!K97</f>
        <v>0</v>
      </c>
      <c r="R56" s="37">
        <f>'SC-New'!L97</f>
        <v>0</v>
      </c>
      <c r="S56" s="37">
        <f>'SC-New'!M97</f>
        <v>0</v>
      </c>
      <c r="T56" s="37">
        <f>'SC-New'!N97</f>
        <v>0</v>
      </c>
      <c r="U56" s="37">
        <f>'SC-New'!O97</f>
        <v>0</v>
      </c>
      <c r="V56" s="37">
        <f>'SC-New'!P97</f>
        <v>0</v>
      </c>
      <c r="W56" s="37">
        <f>'SC-New'!Q97</f>
        <v>0</v>
      </c>
      <c r="X56" s="37">
        <f>'SC-New'!R97</f>
        <v>0</v>
      </c>
      <c r="Y56" s="37">
        <f>'SC-New'!S97</f>
        <v>0</v>
      </c>
      <c r="Z56" s="37">
        <f>'SC-New'!T97</f>
        <v>0</v>
      </c>
      <c r="AA56" s="37">
        <f>'SC-New'!U97</f>
        <v>0</v>
      </c>
      <c r="AB56" s="37">
        <f>'SC-New'!V97</f>
        <v>0</v>
      </c>
      <c r="AC56" s="37">
        <f>'SC-New'!W97</f>
        <v>0</v>
      </c>
      <c r="AD56" s="37">
        <f>'SC-New'!X97</f>
        <v>0</v>
      </c>
      <c r="AE56" s="37">
        <f>'SC-New'!Y97</f>
        <v>3.0247519844000403E-5</v>
      </c>
      <c r="AF56" s="479">
        <f t="shared" si="2"/>
        <v>0.7642264827622347</v>
      </c>
      <c r="AG56" s="479">
        <f t="shared" si="3"/>
        <v>0.60783107273682868</v>
      </c>
      <c r="AH56" s="479">
        <f t="shared" si="4"/>
        <v>0.61410304740852306</v>
      </c>
      <c r="AI56" s="479">
        <f t="shared" si="5"/>
        <v>0.50084615721053449</v>
      </c>
      <c r="AJ56" s="479">
        <f t="shared" si="6"/>
        <v>0.45606565079660444</v>
      </c>
      <c r="AK56" s="479">
        <f t="shared" si="7"/>
        <v>0.46861738090111776</v>
      </c>
      <c r="AL56" s="479">
        <f t="shared" si="8"/>
        <v>0.38674542617789825</v>
      </c>
      <c r="AM56" s="479">
        <f t="shared" si="9"/>
        <v>0.44114173128378797</v>
      </c>
      <c r="AN56" s="479">
        <f t="shared" si="10"/>
        <v>0.48576368043499596</v>
      </c>
      <c r="AO56" s="479">
        <f t="shared" si="11"/>
        <v>0.70892994794639019</v>
      </c>
      <c r="AP56" s="479">
        <f t="shared" si="12"/>
        <v>0.71564105874160944</v>
      </c>
      <c r="AQ56" s="479">
        <f t="shared" si="13"/>
        <v>0.78563224663035736</v>
      </c>
      <c r="AR56" s="479"/>
      <c r="AS56" s="479">
        <f t="shared" si="14"/>
        <v>0.39868365786496762</v>
      </c>
      <c r="AT56" s="479">
        <f t="shared" si="15"/>
        <v>0.30640729864664351</v>
      </c>
      <c r="AU56" s="479">
        <f t="shared" si="16"/>
        <v>0.28558240791934209</v>
      </c>
      <c r="AV56" s="479">
        <f t="shared" si="17"/>
        <v>0.28014230406559065</v>
      </c>
      <c r="AW56" s="479">
        <f t="shared" si="18"/>
        <v>0.27218115866131221</v>
      </c>
      <c r="AX56" s="479">
        <f t="shared" si="19"/>
        <v>0.25453724672527844</v>
      </c>
      <c r="AY56" s="479">
        <f t="shared" si="20"/>
        <v>0.29037746285762667</v>
      </c>
      <c r="AZ56" s="479">
        <f t="shared" si="21"/>
        <v>0.26268917602457925</v>
      </c>
      <c r="BA56" s="479">
        <f t="shared" si="22"/>
        <v>0.30447315587351431</v>
      </c>
      <c r="BB56" s="479">
        <f t="shared" si="23"/>
        <v>0.30268792968216585</v>
      </c>
      <c r="BC56" s="479">
        <f t="shared" si="24"/>
        <v>0.3812155246887674</v>
      </c>
      <c r="BD56" s="479">
        <f t="shared" si="25"/>
        <v>0.4066748842222741</v>
      </c>
    </row>
    <row r="57" spans="1:56" ht="15">
      <c r="A57" s="63" t="str">
        <f>VLOOKUP(CONCATENATE($C57," - ",$B57),[2]ACHIEV!$B$12:$C$100,2,FALSE)</f>
        <v>LO20Fast</v>
      </c>
      <c r="B57" s="63" t="str">
        <f>'SC-New'!$C$7</f>
        <v>New</v>
      </c>
      <c r="C57" s="63" t="str">
        <f>'SC-New'!$C$8</f>
        <v>Lighting</v>
      </c>
      <c r="D57" s="63" t="s">
        <v>795</v>
      </c>
      <c r="E57" s="63" t="str">
        <f>'SC-New'!$A$9</f>
        <v>Lighting</v>
      </c>
      <c r="F57" s="478">
        <f t="shared" si="1"/>
        <v>5.3228772760490119E-3</v>
      </c>
      <c r="G57" s="71">
        <f>'SC-New'!A98</f>
        <v>20.374790406766845</v>
      </c>
      <c r="H57" s="71">
        <f>'SC-New'!B98</f>
        <v>-38.377975660533203</v>
      </c>
      <c r="I57" s="1" t="str">
        <f>'SC-New'!C98</f>
        <v>Manufactured</v>
      </c>
      <c r="J57" s="1" t="str">
        <f>'SC-New'!D98</f>
        <v>2016 - LEDReflectors and Outdoor250 to 664 lumensANY</v>
      </c>
      <c r="K57" s="37">
        <f>'SC-New'!E98</f>
        <v>3.9943018950622228E-4</v>
      </c>
      <c r="L57" s="37">
        <f>'SC-New'!F98</f>
        <v>0</v>
      </c>
      <c r="M57" s="37">
        <f>'SC-New'!G98</f>
        <v>0</v>
      </c>
      <c r="N57" s="37">
        <f>'SC-New'!H98</f>
        <v>0</v>
      </c>
      <c r="O57" s="37">
        <f>'SC-New'!I98</f>
        <v>0</v>
      </c>
      <c r="P57" s="37">
        <f>'SC-New'!J98</f>
        <v>0</v>
      </c>
      <c r="Q57" s="37">
        <f>'SC-New'!K98</f>
        <v>0</v>
      </c>
      <c r="R57" s="37">
        <f>'SC-New'!L98</f>
        <v>0</v>
      </c>
      <c r="S57" s="37">
        <f>'SC-New'!M98</f>
        <v>0</v>
      </c>
      <c r="T57" s="37">
        <f>'SC-New'!N98</f>
        <v>0</v>
      </c>
      <c r="U57" s="37">
        <f>'SC-New'!O98</f>
        <v>0</v>
      </c>
      <c r="V57" s="37">
        <f>'SC-New'!P98</f>
        <v>0</v>
      </c>
      <c r="W57" s="37">
        <f>'SC-New'!Q98</f>
        <v>0</v>
      </c>
      <c r="X57" s="37">
        <f>'SC-New'!R98</f>
        <v>0</v>
      </c>
      <c r="Y57" s="37">
        <f>'SC-New'!S98</f>
        <v>0</v>
      </c>
      <c r="Z57" s="37">
        <f>'SC-New'!T98</f>
        <v>0</v>
      </c>
      <c r="AA57" s="37">
        <f>'SC-New'!U98</f>
        <v>0</v>
      </c>
      <c r="AB57" s="37">
        <f>'SC-New'!V98</f>
        <v>0</v>
      </c>
      <c r="AC57" s="37">
        <f>'SC-New'!W98</f>
        <v>0</v>
      </c>
      <c r="AD57" s="37">
        <f>'SC-New'!X98</f>
        <v>0</v>
      </c>
      <c r="AE57" s="37">
        <f>'SC-New'!Y98</f>
        <v>3.9943018950622228E-4</v>
      </c>
      <c r="AF57" s="479">
        <f t="shared" si="2"/>
        <v>1.4577912696290392</v>
      </c>
      <c r="AG57" s="479">
        <f t="shared" si="3"/>
        <v>1.1594610383590722</v>
      </c>
      <c r="AH57" s="479">
        <f t="shared" si="4"/>
        <v>1.1714250701297106</v>
      </c>
      <c r="AI57" s="479">
        <f t="shared" si="5"/>
        <v>0.95538321672624815</v>
      </c>
      <c r="AJ57" s="479">
        <f t="shared" si="6"/>
        <v>0.86996268659250697</v>
      </c>
      <c r="AK57" s="479">
        <f t="shared" si="7"/>
        <v>0.89390559223346777</v>
      </c>
      <c r="AL57" s="479">
        <f t="shared" si="8"/>
        <v>0.73773170462938431</v>
      </c>
      <c r="AM57" s="479">
        <f t="shared" si="9"/>
        <v>0.84149473885037285</v>
      </c>
      <c r="AN57" s="479">
        <f t="shared" si="10"/>
        <v>0.92661281493607173</v>
      </c>
      <c r="AO57" s="479">
        <f t="shared" si="11"/>
        <v>1.3523110127764957</v>
      </c>
      <c r="AP57" s="479">
        <f t="shared" si="12"/>
        <v>1.3651127135124117</v>
      </c>
      <c r="AQ57" s="479">
        <f t="shared" si="13"/>
        <v>1.4986235835968849</v>
      </c>
      <c r="AR57" s="479"/>
      <c r="AS57" s="479">
        <f t="shared" si="14"/>
        <v>0.76050433855501731</v>
      </c>
      <c r="AT57" s="479">
        <f t="shared" si="15"/>
        <v>0.58448365110721312</v>
      </c>
      <c r="AU57" s="479">
        <f t="shared" si="16"/>
        <v>0.54475937489067727</v>
      </c>
      <c r="AV57" s="479">
        <f t="shared" si="17"/>
        <v>0.53438216854837683</v>
      </c>
      <c r="AW57" s="479">
        <f t="shared" si="18"/>
        <v>0.51919597894571268</v>
      </c>
      <c r="AX57" s="479">
        <f t="shared" si="19"/>
        <v>0.48553954153793449</v>
      </c>
      <c r="AY57" s="479">
        <f t="shared" si="20"/>
        <v>0.55390612573495235</v>
      </c>
      <c r="AZ57" s="479">
        <f t="shared" si="21"/>
        <v>0.5010896587233542</v>
      </c>
      <c r="BA57" s="479">
        <f t="shared" si="22"/>
        <v>0.58079419973058355</v>
      </c>
      <c r="BB57" s="479">
        <f t="shared" si="23"/>
        <v>0.57738881243406592</v>
      </c>
      <c r="BC57" s="479">
        <f t="shared" si="24"/>
        <v>0.72718320586024165</v>
      </c>
      <c r="BD57" s="479">
        <f t="shared" si="25"/>
        <v>0.77574790872704857</v>
      </c>
    </row>
    <row r="58" spans="1:56" ht="15">
      <c r="A58" s="63" t="str">
        <f>VLOOKUP(CONCATENATE($C58," - ",$B58),[2]ACHIEV!$B$12:$C$100,2,FALSE)</f>
        <v>LO20Fast</v>
      </c>
      <c r="B58" s="63" t="str">
        <f>'SC-New'!$C$7</f>
        <v>New</v>
      </c>
      <c r="C58" s="63" t="str">
        <f>'SC-New'!$C$8</f>
        <v>Lighting</v>
      </c>
      <c r="D58" s="63" t="s">
        <v>795</v>
      </c>
      <c r="E58" s="63" t="str">
        <f>'SC-New'!$A$9</f>
        <v>Lighting</v>
      </c>
      <c r="F58" s="478">
        <f t="shared" si="1"/>
        <v>4.0588070052657264E-3</v>
      </c>
      <c r="G58" s="71">
        <f>'SC-New'!A99</f>
        <v>15.536210538971808</v>
      </c>
      <c r="H58" s="71">
        <f>'SC-New'!B99</f>
        <v>-47.72588478334999</v>
      </c>
      <c r="I58" s="1" t="str">
        <f>'SC-New'!C99</f>
        <v>Manufactured</v>
      </c>
      <c r="J58" s="1" t="str">
        <f>'SC-New'!D99</f>
        <v>2016 - LEDReflectors and Outdoor665 to 1439 lumensANY</v>
      </c>
      <c r="K58" s="37">
        <f>'SC-New'!E99</f>
        <v>3.0776287524322972E-3</v>
      </c>
      <c r="L58" s="37">
        <f>'SC-New'!F99</f>
        <v>0</v>
      </c>
      <c r="M58" s="37">
        <f>'SC-New'!G99</f>
        <v>0</v>
      </c>
      <c r="N58" s="37">
        <f>'SC-New'!H99</f>
        <v>0</v>
      </c>
      <c r="O58" s="37">
        <f>'SC-New'!I99</f>
        <v>0</v>
      </c>
      <c r="P58" s="37">
        <f>'SC-New'!J99</f>
        <v>0</v>
      </c>
      <c r="Q58" s="37">
        <f>'SC-New'!K99</f>
        <v>0</v>
      </c>
      <c r="R58" s="37">
        <f>'SC-New'!L99</f>
        <v>0</v>
      </c>
      <c r="S58" s="37">
        <f>'SC-New'!M99</f>
        <v>0</v>
      </c>
      <c r="T58" s="37">
        <f>'SC-New'!N99</f>
        <v>0</v>
      </c>
      <c r="U58" s="37">
        <f>'SC-New'!O99</f>
        <v>0</v>
      </c>
      <c r="V58" s="37">
        <f>'SC-New'!P99</f>
        <v>0</v>
      </c>
      <c r="W58" s="37">
        <f>'SC-New'!Q99</f>
        <v>0</v>
      </c>
      <c r="X58" s="37">
        <f>'SC-New'!R99</f>
        <v>0</v>
      </c>
      <c r="Y58" s="37">
        <f>'SC-New'!S99</f>
        <v>0</v>
      </c>
      <c r="Z58" s="37">
        <f>'SC-New'!T99</f>
        <v>0</v>
      </c>
      <c r="AA58" s="37">
        <f>'SC-New'!U99</f>
        <v>0</v>
      </c>
      <c r="AB58" s="37">
        <f>'SC-New'!V99</f>
        <v>0</v>
      </c>
      <c r="AC58" s="37">
        <f>'SC-New'!W99</f>
        <v>0</v>
      </c>
      <c r="AD58" s="37">
        <f>'SC-New'!X99</f>
        <v>0</v>
      </c>
      <c r="AE58" s="37">
        <f>'SC-New'!Y99</f>
        <v>3.0776287524322972E-3</v>
      </c>
      <c r="AF58" s="479">
        <f t="shared" si="2"/>
        <v>1.1115968132516232</v>
      </c>
      <c r="AG58" s="479">
        <f t="shared" si="3"/>
        <v>0.88411367400858021</v>
      </c>
      <c r="AH58" s="479">
        <f t="shared" si="4"/>
        <v>0.89323650240449115</v>
      </c>
      <c r="AI58" s="479">
        <f t="shared" si="5"/>
        <v>0.72849999946647181</v>
      </c>
      <c r="AJ58" s="479">
        <f t="shared" si="6"/>
        <v>0.66336503051642903</v>
      </c>
      <c r="AK58" s="479">
        <f t="shared" si="7"/>
        <v>0.68162200472457402</v>
      </c>
      <c r="AL58" s="479">
        <f t="shared" si="8"/>
        <v>0.5625360975782151</v>
      </c>
      <c r="AM58" s="479">
        <f t="shared" si="9"/>
        <v>0.64165761557353207</v>
      </c>
      <c r="AN58" s="479">
        <f t="shared" si="10"/>
        <v>0.70656195688643419</v>
      </c>
      <c r="AO58" s="479">
        <f t="shared" si="11"/>
        <v>1.0311658765180765</v>
      </c>
      <c r="AP58" s="479">
        <f t="shared" si="12"/>
        <v>1.0409274452959347</v>
      </c>
      <c r="AQ58" s="479">
        <f t="shared" si="13"/>
        <v>1.1427323201173605</v>
      </c>
      <c r="AR58" s="479"/>
      <c r="AS58" s="479">
        <f t="shared" si="14"/>
        <v>0.57990071474149463</v>
      </c>
      <c r="AT58" s="479">
        <f t="shared" si="15"/>
        <v>0.44568120107742304</v>
      </c>
      <c r="AU58" s="479">
        <f t="shared" si="16"/>
        <v>0.41539059653685312</v>
      </c>
      <c r="AV58" s="479">
        <f t="shared" si="17"/>
        <v>0.40747775624148563</v>
      </c>
      <c r="AW58" s="479">
        <f t="shared" si="18"/>
        <v>0.39589796404527355</v>
      </c>
      <c r="AX58" s="479">
        <f t="shared" si="19"/>
        <v>0.3702342155050527</v>
      </c>
      <c r="AY58" s="479">
        <f t="shared" si="20"/>
        <v>0.42236518837446929</v>
      </c>
      <c r="AZ58" s="479">
        <f t="shared" si="21"/>
        <v>0.38209151021460364</v>
      </c>
      <c r="BA58" s="479">
        <f t="shared" si="22"/>
        <v>0.44286791602190761</v>
      </c>
      <c r="BB58" s="479">
        <f t="shared" si="23"/>
        <v>0.44027123586229888</v>
      </c>
      <c r="BC58" s="479">
        <f t="shared" si="24"/>
        <v>0.55449264316834523</v>
      </c>
      <c r="BD58" s="479">
        <f t="shared" si="25"/>
        <v>0.59152426084087517</v>
      </c>
    </row>
    <row r="59" spans="1:56" ht="15">
      <c r="A59" s="63" t="str">
        <f>VLOOKUP(CONCATENATE($C59," - ",$B59),[2]ACHIEV!$B$12:$C$100,2,FALSE)</f>
        <v>LO20Fast</v>
      </c>
      <c r="B59" s="63" t="str">
        <f>'SC-New'!$C$7</f>
        <v>New</v>
      </c>
      <c r="C59" s="63" t="str">
        <f>'SC-New'!$C$8</f>
        <v>Lighting</v>
      </c>
      <c r="D59" s="63" t="s">
        <v>795</v>
      </c>
      <c r="E59" s="63" t="str">
        <f>'SC-New'!$A$9</f>
        <v>Lighting</v>
      </c>
      <c r="F59" s="478">
        <f t="shared" si="1"/>
        <v>2.1728858656963793E-2</v>
      </c>
      <c r="G59" s="71">
        <f>'SC-New'!A100</f>
        <v>83.173238448682625</v>
      </c>
      <c r="H59" s="71">
        <f>'SC-New'!B100</f>
        <v>-27.334459272113147</v>
      </c>
      <c r="I59" s="1" t="str">
        <f>'SC-New'!C100</f>
        <v>Manufactured</v>
      </c>
      <c r="J59" s="1" t="str">
        <f>'SC-New'!D100</f>
        <v>2016 - LEDReflectors and Outdoor1440 to 2600 lumensANY</v>
      </c>
      <c r="K59" s="37">
        <f>'SC-New'!E100</f>
        <v>1.3539628049948833E-3</v>
      </c>
      <c r="L59" s="37">
        <f>'SC-New'!F100</f>
        <v>0</v>
      </c>
      <c r="M59" s="37">
        <f>'SC-New'!G100</f>
        <v>0</v>
      </c>
      <c r="N59" s="37">
        <f>'SC-New'!H100</f>
        <v>0</v>
      </c>
      <c r="O59" s="37">
        <f>'SC-New'!I100</f>
        <v>0</v>
      </c>
      <c r="P59" s="37">
        <f>'SC-New'!J100</f>
        <v>0</v>
      </c>
      <c r="Q59" s="37">
        <f>'SC-New'!K100</f>
        <v>0</v>
      </c>
      <c r="R59" s="37">
        <f>'SC-New'!L100</f>
        <v>0</v>
      </c>
      <c r="S59" s="37">
        <f>'SC-New'!M100</f>
        <v>0</v>
      </c>
      <c r="T59" s="37">
        <f>'SC-New'!N100</f>
        <v>0</v>
      </c>
      <c r="U59" s="37">
        <f>'SC-New'!O100</f>
        <v>0</v>
      </c>
      <c r="V59" s="37">
        <f>'SC-New'!P100</f>
        <v>0</v>
      </c>
      <c r="W59" s="37">
        <f>'SC-New'!Q100</f>
        <v>0</v>
      </c>
      <c r="X59" s="37">
        <f>'SC-New'!R100</f>
        <v>0</v>
      </c>
      <c r="Y59" s="37">
        <f>'SC-New'!S100</f>
        <v>0</v>
      </c>
      <c r="Z59" s="37">
        <f>'SC-New'!T100</f>
        <v>0</v>
      </c>
      <c r="AA59" s="37">
        <f>'SC-New'!U100</f>
        <v>0</v>
      </c>
      <c r="AB59" s="37">
        <f>'SC-New'!V100</f>
        <v>0</v>
      </c>
      <c r="AC59" s="37">
        <f>'SC-New'!W100</f>
        <v>0</v>
      </c>
      <c r="AD59" s="37">
        <f>'SC-New'!X100</f>
        <v>0</v>
      </c>
      <c r="AE59" s="37">
        <f>'SC-New'!Y100</f>
        <v>1.3539628049948833E-3</v>
      </c>
      <c r="AF59" s="479">
        <f t="shared" si="2"/>
        <v>5.9509432223162761</v>
      </c>
      <c r="AG59" s="479">
        <f t="shared" si="3"/>
        <v>4.7331102548847825</v>
      </c>
      <c r="AH59" s="479">
        <f t="shared" si="4"/>
        <v>4.7819493961667678</v>
      </c>
      <c r="AI59" s="479">
        <f t="shared" si="5"/>
        <v>3.9000310927493396</v>
      </c>
      <c r="AJ59" s="479">
        <f t="shared" si="6"/>
        <v>3.5513304691165719</v>
      </c>
      <c r="AK59" s="479">
        <f t="shared" si="7"/>
        <v>3.6490693395674088</v>
      </c>
      <c r="AL59" s="479">
        <f t="shared" si="8"/>
        <v>3.0115418983605462</v>
      </c>
      <c r="AM59" s="479">
        <f t="shared" si="9"/>
        <v>3.4351196341371462</v>
      </c>
      <c r="AN59" s="479">
        <f t="shared" si="10"/>
        <v>3.7825855907055974</v>
      </c>
      <c r="AO59" s="479">
        <f t="shared" si="11"/>
        <v>5.5203555019188597</v>
      </c>
      <c r="AP59" s="479">
        <f t="shared" si="12"/>
        <v>5.5726141453993536</v>
      </c>
      <c r="AQ59" s="479">
        <f t="shared" si="13"/>
        <v>6.1176274295281043</v>
      </c>
      <c r="AR59" s="479"/>
      <c r="AS59" s="479">
        <f t="shared" si="14"/>
        <v>3.104503527598812</v>
      </c>
      <c r="AT59" s="479">
        <f t="shared" si="15"/>
        <v>2.3859581920779633</v>
      </c>
      <c r="AU59" s="479">
        <f t="shared" si="16"/>
        <v>2.2237971768234481</v>
      </c>
      <c r="AV59" s="479">
        <f t="shared" si="17"/>
        <v>2.181435717377334</v>
      </c>
      <c r="AW59" s="479">
        <f t="shared" si="18"/>
        <v>2.1194431989890319</v>
      </c>
      <c r="AX59" s="479">
        <f t="shared" si="19"/>
        <v>1.9820520976346545</v>
      </c>
      <c r="AY59" s="479">
        <f t="shared" si="20"/>
        <v>2.2611357149783688</v>
      </c>
      <c r="AZ59" s="479">
        <f t="shared" si="21"/>
        <v>2.0455302281453043</v>
      </c>
      <c r="BA59" s="479">
        <f t="shared" si="22"/>
        <v>2.3708972460281177</v>
      </c>
      <c r="BB59" s="479">
        <f t="shared" si="23"/>
        <v>2.3569958961752469</v>
      </c>
      <c r="BC59" s="479">
        <f t="shared" si="24"/>
        <v>2.9684811951147281</v>
      </c>
      <c r="BD59" s="479">
        <f t="shared" si="25"/>
        <v>3.1667302828888446</v>
      </c>
    </row>
    <row r="60" spans="1:56" ht="15">
      <c r="A60" s="63" t="str">
        <f>VLOOKUP(CONCATENATE($C60," - ",$B60),[2]ACHIEV!$B$12:$C$100,2,FALSE)</f>
        <v>LO20Fast</v>
      </c>
      <c r="B60" s="63" t="str">
        <f>'SC-New'!$C$7</f>
        <v>New</v>
      </c>
      <c r="C60" s="63" t="str">
        <f>'SC-New'!$C$8</f>
        <v>Lighting</v>
      </c>
      <c r="D60" s="63" t="s">
        <v>795</v>
      </c>
      <c r="E60" s="63" t="str">
        <f>'SC-New'!$A$9</f>
        <v>Lighting</v>
      </c>
      <c r="F60" s="478">
        <f t="shared" si="1"/>
        <v>1.2650011213785653E-2</v>
      </c>
      <c r="G60" s="71">
        <f>'SC-New'!A101</f>
        <v>48.421429568529426</v>
      </c>
      <c r="H60" s="71">
        <f>'SC-New'!B101</f>
        <v>-0.28395098554769854</v>
      </c>
      <c r="I60" s="1" t="str">
        <f>'SC-New'!C101</f>
        <v>Manufactured</v>
      </c>
      <c r="J60" s="1" t="str">
        <f>'SC-New'!D101</f>
        <v>2016 - LEDThree-Way250 to 664 lumensANY</v>
      </c>
      <c r="K60" s="37">
        <f>'SC-New'!E101</f>
        <v>1.2368619184439174E-5</v>
      </c>
      <c r="L60" s="37">
        <f>'SC-New'!F101</f>
        <v>0</v>
      </c>
      <c r="M60" s="37">
        <f>'SC-New'!G101</f>
        <v>0</v>
      </c>
      <c r="N60" s="37">
        <f>'SC-New'!H101</f>
        <v>0</v>
      </c>
      <c r="O60" s="37">
        <f>'SC-New'!I101</f>
        <v>0</v>
      </c>
      <c r="P60" s="37">
        <f>'SC-New'!J101</f>
        <v>0</v>
      </c>
      <c r="Q60" s="37">
        <f>'SC-New'!K101</f>
        <v>0</v>
      </c>
      <c r="R60" s="37">
        <f>'SC-New'!L101</f>
        <v>0</v>
      </c>
      <c r="S60" s="37">
        <f>'SC-New'!M101</f>
        <v>0</v>
      </c>
      <c r="T60" s="37">
        <f>'SC-New'!N101</f>
        <v>0</v>
      </c>
      <c r="U60" s="37">
        <f>'SC-New'!O101</f>
        <v>0</v>
      </c>
      <c r="V60" s="37">
        <f>'SC-New'!P101</f>
        <v>0</v>
      </c>
      <c r="W60" s="37">
        <f>'SC-New'!Q101</f>
        <v>0</v>
      </c>
      <c r="X60" s="37">
        <f>'SC-New'!R101</f>
        <v>0</v>
      </c>
      <c r="Y60" s="37">
        <f>'SC-New'!S101</f>
        <v>0</v>
      </c>
      <c r="Z60" s="37">
        <f>'SC-New'!T101</f>
        <v>0</v>
      </c>
      <c r="AA60" s="37">
        <f>'SC-New'!U101</f>
        <v>0</v>
      </c>
      <c r="AB60" s="37">
        <f>'SC-New'!V101</f>
        <v>0</v>
      </c>
      <c r="AC60" s="37">
        <f>'SC-New'!W101</f>
        <v>0</v>
      </c>
      <c r="AD60" s="37">
        <f>'SC-New'!X101</f>
        <v>0</v>
      </c>
      <c r="AE60" s="37">
        <f>'SC-New'!Y101</f>
        <v>1.2368619184439174E-5</v>
      </c>
      <c r="AF60" s="479">
        <f t="shared" si="2"/>
        <v>3.4644939103037795</v>
      </c>
      <c r="AG60" s="479">
        <f t="shared" si="3"/>
        <v>2.7555012780750743</v>
      </c>
      <c r="AH60" s="479">
        <f t="shared" si="4"/>
        <v>2.783934234202329</v>
      </c>
      <c r="AI60" s="479">
        <f t="shared" si="5"/>
        <v>2.2705029213110808</v>
      </c>
      <c r="AJ60" s="479">
        <f t="shared" si="6"/>
        <v>2.067497928327021</v>
      </c>
      <c r="AK60" s="479">
        <f t="shared" si="7"/>
        <v>2.1243991133706071</v>
      </c>
      <c r="AL60" s="479">
        <f t="shared" si="8"/>
        <v>1.7532461960599572</v>
      </c>
      <c r="AM60" s="479">
        <f t="shared" si="9"/>
        <v>1.9998428163461626</v>
      </c>
      <c r="AN60" s="479">
        <f t="shared" si="10"/>
        <v>2.2021290162976261</v>
      </c>
      <c r="AO60" s="479">
        <f t="shared" si="11"/>
        <v>3.2138162480511396</v>
      </c>
      <c r="AP60" s="479">
        <f t="shared" si="12"/>
        <v>3.2442399549048635</v>
      </c>
      <c r="AQ60" s="479">
        <f t="shared" si="13"/>
        <v>3.5615333877875557</v>
      </c>
      <c r="AR60" s="479"/>
      <c r="AS60" s="479">
        <f t="shared" si="14"/>
        <v>1.8073661878589267</v>
      </c>
      <c r="AT60" s="479">
        <f t="shared" si="15"/>
        <v>1.3890466297334463</v>
      </c>
      <c r="AU60" s="479">
        <f t="shared" si="16"/>
        <v>1.2946404442179886</v>
      </c>
      <c r="AV60" s="479">
        <f t="shared" si="17"/>
        <v>1.2699786363667083</v>
      </c>
      <c r="AW60" s="479">
        <f t="shared" si="18"/>
        <v>1.2338881050984445</v>
      </c>
      <c r="AX60" s="479">
        <f t="shared" si="19"/>
        <v>1.1539023589419051</v>
      </c>
      <c r="AY60" s="479">
        <f t="shared" si="20"/>
        <v>1.3163780298787402</v>
      </c>
      <c r="AZ60" s="479">
        <f t="shared" si="21"/>
        <v>1.1908577773311961</v>
      </c>
      <c r="BA60" s="479">
        <f t="shared" si="22"/>
        <v>1.3802785145080427</v>
      </c>
      <c r="BB60" s="479">
        <f t="shared" si="23"/>
        <v>1.3721854878883859</v>
      </c>
      <c r="BC60" s="479">
        <f t="shared" si="24"/>
        <v>1.7281773055336467</v>
      </c>
      <c r="BD60" s="479">
        <f t="shared" si="25"/>
        <v>1.8435930861347887</v>
      </c>
    </row>
    <row r="61" spans="1:56" ht="15">
      <c r="A61" s="63" t="str">
        <f>VLOOKUP(CONCATENATE($C61," - ",$B61),[2]ACHIEV!$B$12:$C$100,2,FALSE)</f>
        <v>LO20Fast</v>
      </c>
      <c r="B61" s="63" t="str">
        <f>'SC-New'!$C$7</f>
        <v>New</v>
      </c>
      <c r="C61" s="63" t="str">
        <f>'SC-New'!$C$8</f>
        <v>Lighting</v>
      </c>
      <c r="D61" s="63" t="s">
        <v>795</v>
      </c>
      <c r="E61" s="63" t="str">
        <f>'SC-New'!$A$9</f>
        <v>Lighting</v>
      </c>
      <c r="F61" s="478">
        <f t="shared" si="1"/>
        <v>1.3626103635974879E-2</v>
      </c>
      <c r="G61" s="71">
        <f>'SC-New'!A102</f>
        <v>52.157694278074032</v>
      </c>
      <c r="H61" s="71">
        <f>'SC-New'!B102</f>
        <v>-8.9398321624848585</v>
      </c>
      <c r="I61" s="1" t="str">
        <f>'SC-New'!C102</f>
        <v>Manufactured</v>
      </c>
      <c r="J61" s="1" t="str">
        <f>'SC-New'!D102</f>
        <v>2016 - LEDThree-Way665 to 1439 lumensANY</v>
      </c>
      <c r="K61" s="37">
        <f>'SC-New'!E102</f>
        <v>1.6445138273933396E-4</v>
      </c>
      <c r="L61" s="37">
        <f>'SC-New'!F102</f>
        <v>0</v>
      </c>
      <c r="M61" s="37">
        <f>'SC-New'!G102</f>
        <v>0</v>
      </c>
      <c r="N61" s="37">
        <f>'SC-New'!H102</f>
        <v>0</v>
      </c>
      <c r="O61" s="37">
        <f>'SC-New'!I102</f>
        <v>0</v>
      </c>
      <c r="P61" s="37">
        <f>'SC-New'!J102</f>
        <v>0</v>
      </c>
      <c r="Q61" s="37">
        <f>'SC-New'!K102</f>
        <v>0</v>
      </c>
      <c r="R61" s="37">
        <f>'SC-New'!L102</f>
        <v>0</v>
      </c>
      <c r="S61" s="37">
        <f>'SC-New'!M102</f>
        <v>0</v>
      </c>
      <c r="T61" s="37">
        <f>'SC-New'!N102</f>
        <v>0</v>
      </c>
      <c r="U61" s="37">
        <f>'SC-New'!O102</f>
        <v>0</v>
      </c>
      <c r="V61" s="37">
        <f>'SC-New'!P102</f>
        <v>0</v>
      </c>
      <c r="W61" s="37">
        <f>'SC-New'!Q102</f>
        <v>0</v>
      </c>
      <c r="X61" s="37">
        <f>'SC-New'!R102</f>
        <v>0</v>
      </c>
      <c r="Y61" s="37">
        <f>'SC-New'!S102</f>
        <v>0</v>
      </c>
      <c r="Z61" s="37">
        <f>'SC-New'!T102</f>
        <v>0</v>
      </c>
      <c r="AA61" s="37">
        <f>'SC-New'!U102</f>
        <v>0</v>
      </c>
      <c r="AB61" s="37">
        <f>'SC-New'!V102</f>
        <v>0</v>
      </c>
      <c r="AC61" s="37">
        <f>'SC-New'!W102</f>
        <v>0</v>
      </c>
      <c r="AD61" s="37">
        <f>'SC-New'!X102</f>
        <v>0</v>
      </c>
      <c r="AE61" s="37">
        <f>'SC-New'!Y102</f>
        <v>1.6445138273933396E-4</v>
      </c>
      <c r="AF61" s="479">
        <f t="shared" si="2"/>
        <v>3.731819068789251</v>
      </c>
      <c r="AG61" s="479">
        <f t="shared" si="3"/>
        <v>2.9681195810478593</v>
      </c>
      <c r="AH61" s="479">
        <f t="shared" si="4"/>
        <v>2.9987464635319547</v>
      </c>
      <c r="AI61" s="479">
        <f t="shared" si="5"/>
        <v>2.44569807794739</v>
      </c>
      <c r="AJ61" s="479">
        <f t="shared" si="6"/>
        <v>2.2270289379543238</v>
      </c>
      <c r="AK61" s="479">
        <f t="shared" si="7"/>
        <v>2.2883206974089516</v>
      </c>
      <c r="AL61" s="479">
        <f t="shared" si="8"/>
        <v>1.8885291058759777</v>
      </c>
      <c r="AM61" s="479">
        <f t="shared" si="9"/>
        <v>2.154153463634584</v>
      </c>
      <c r="AN61" s="479">
        <f t="shared" si="10"/>
        <v>2.3720483475270466</v>
      </c>
      <c r="AO61" s="479">
        <f t="shared" si="11"/>
        <v>3.4617987702020074</v>
      </c>
      <c r="AP61" s="479">
        <f t="shared" si="12"/>
        <v>3.4945700125015868</v>
      </c>
      <c r="AQ61" s="479">
        <f t="shared" si="13"/>
        <v>3.8363462470366358</v>
      </c>
      <c r="AR61" s="479"/>
      <c r="AS61" s="479">
        <f t="shared" si="14"/>
        <v>1.9468250713552193</v>
      </c>
      <c r="AT61" s="479">
        <f t="shared" si="15"/>
        <v>1.4962273955396257</v>
      </c>
      <c r="AU61" s="479">
        <f t="shared" si="16"/>
        <v>1.3945366977235774</v>
      </c>
      <c r="AV61" s="479">
        <f t="shared" si="17"/>
        <v>1.3679719505504024</v>
      </c>
      <c r="AW61" s="479">
        <f t="shared" si="18"/>
        <v>1.3290966237994797</v>
      </c>
      <c r="AX61" s="479">
        <f t="shared" si="19"/>
        <v>1.2429390664573923</v>
      </c>
      <c r="AY61" s="479">
        <f t="shared" si="20"/>
        <v>1.4179515856634783</v>
      </c>
      <c r="AZ61" s="479">
        <f t="shared" si="21"/>
        <v>1.2827460162199764</v>
      </c>
      <c r="BA61" s="479">
        <f t="shared" si="22"/>
        <v>1.4867827203741746</v>
      </c>
      <c r="BB61" s="479">
        <f t="shared" si="23"/>
        <v>1.4780652245882442</v>
      </c>
      <c r="BC61" s="479">
        <f t="shared" si="24"/>
        <v>1.8615258649635777</v>
      </c>
      <c r="BD61" s="479">
        <f t="shared" si="25"/>
        <v>1.98584728738131</v>
      </c>
    </row>
    <row r="62" spans="1:56" ht="15">
      <c r="A62" s="63" t="str">
        <f>VLOOKUP(CONCATENATE($C62," - ",$B62),[2]ACHIEV!$B$12:$C$100,2,FALSE)</f>
        <v>LO20Fast</v>
      </c>
      <c r="B62" s="63" t="str">
        <f>'SC-New'!$C$7</f>
        <v>New</v>
      </c>
      <c r="C62" s="63" t="str">
        <f>'SC-New'!$C$8</f>
        <v>Lighting</v>
      </c>
      <c r="D62" s="63" t="s">
        <v>795</v>
      </c>
      <c r="E62" s="63" t="str">
        <f>'SC-New'!$A$9</f>
        <v>Lighting</v>
      </c>
      <c r="F62" s="478">
        <f t="shared" si="1"/>
        <v>1.2193310022794003E-2</v>
      </c>
      <c r="G62" s="71">
        <f>'SC-New'!A103</f>
        <v>46.673278979590322</v>
      </c>
      <c r="H62" s="71">
        <f>'SC-New'!B103</f>
        <v>-22.011904676498236</v>
      </c>
      <c r="I62" s="1" t="str">
        <f>'SC-New'!C103</f>
        <v>Manufactured</v>
      </c>
      <c r="J62" s="1" t="str">
        <f>'SC-New'!D103</f>
        <v>2016 - LEDThree-Way1440 to 2600 lumensANY</v>
      </c>
      <c r="K62" s="37">
        <f>'SC-New'!E103</f>
        <v>5.6904886660532651E-4</v>
      </c>
      <c r="L62" s="37">
        <f>'SC-New'!F103</f>
        <v>0</v>
      </c>
      <c r="M62" s="37">
        <f>'SC-New'!G103</f>
        <v>0</v>
      </c>
      <c r="N62" s="37">
        <f>'SC-New'!H103</f>
        <v>0</v>
      </c>
      <c r="O62" s="37">
        <f>'SC-New'!I103</f>
        <v>0</v>
      </c>
      <c r="P62" s="37">
        <f>'SC-New'!J103</f>
        <v>0</v>
      </c>
      <c r="Q62" s="37">
        <f>'SC-New'!K103</f>
        <v>0</v>
      </c>
      <c r="R62" s="37">
        <f>'SC-New'!L103</f>
        <v>0</v>
      </c>
      <c r="S62" s="37">
        <f>'SC-New'!M103</f>
        <v>0</v>
      </c>
      <c r="T62" s="37">
        <f>'SC-New'!N103</f>
        <v>0</v>
      </c>
      <c r="U62" s="37">
        <f>'SC-New'!O103</f>
        <v>0</v>
      </c>
      <c r="V62" s="37">
        <f>'SC-New'!P103</f>
        <v>0</v>
      </c>
      <c r="W62" s="37">
        <f>'SC-New'!Q103</f>
        <v>0</v>
      </c>
      <c r="X62" s="37">
        <f>'SC-New'!R103</f>
        <v>0</v>
      </c>
      <c r="Y62" s="37">
        <f>'SC-New'!S103</f>
        <v>0</v>
      </c>
      <c r="Z62" s="37">
        <f>'SC-New'!T103</f>
        <v>0</v>
      </c>
      <c r="AA62" s="37">
        <f>'SC-New'!U103</f>
        <v>0</v>
      </c>
      <c r="AB62" s="37">
        <f>'SC-New'!V103</f>
        <v>0</v>
      </c>
      <c r="AC62" s="37">
        <f>'SC-New'!W103</f>
        <v>0</v>
      </c>
      <c r="AD62" s="37">
        <f>'SC-New'!X103</f>
        <v>0</v>
      </c>
      <c r="AE62" s="37">
        <f>'SC-New'!Y103</f>
        <v>5.6904886660532651E-4</v>
      </c>
      <c r="AF62" s="479">
        <f t="shared" si="2"/>
        <v>3.3394158792823707</v>
      </c>
      <c r="AG62" s="479">
        <f t="shared" si="3"/>
        <v>2.6560198867776115</v>
      </c>
      <c r="AH62" s="479">
        <f t="shared" si="4"/>
        <v>2.6834263327534305</v>
      </c>
      <c r="AI62" s="479">
        <f t="shared" si="5"/>
        <v>2.1885313427260153</v>
      </c>
      <c r="AJ62" s="479">
        <f t="shared" si="6"/>
        <v>1.9928554042784474</v>
      </c>
      <c r="AK62" s="479">
        <f t="shared" si="7"/>
        <v>2.0477022955716913</v>
      </c>
      <c r="AL62" s="479">
        <f t="shared" si="8"/>
        <v>1.6899490485467938</v>
      </c>
      <c r="AM62" s="479">
        <f t="shared" si="9"/>
        <v>1.927642833232625</v>
      </c>
      <c r="AN62" s="479">
        <f t="shared" si="10"/>
        <v>2.1226259291094984</v>
      </c>
      <c r="AO62" s="479">
        <f t="shared" si="11"/>
        <v>3.0977883897901326</v>
      </c>
      <c r="AP62" s="479">
        <f t="shared" si="12"/>
        <v>3.127113714759473</v>
      </c>
      <c r="AQ62" s="479">
        <f t="shared" si="13"/>
        <v>3.4329519571097302</v>
      </c>
      <c r="AR62" s="479"/>
      <c r="AS62" s="479">
        <f t="shared" si="14"/>
        <v>1.7421151555393914</v>
      </c>
      <c r="AT62" s="479">
        <f t="shared" si="15"/>
        <v>1.3388981168648673</v>
      </c>
      <c r="AU62" s="479">
        <f t="shared" si="16"/>
        <v>1.2479002617163344</v>
      </c>
      <c r="AV62" s="479">
        <f t="shared" si="17"/>
        <v>1.22412881489536</v>
      </c>
      <c r="AW62" s="479">
        <f t="shared" si="18"/>
        <v>1.1893412539039743</v>
      </c>
      <c r="AX62" s="479">
        <f t="shared" si="19"/>
        <v>1.1122432194588867</v>
      </c>
      <c r="AY62" s="479">
        <f t="shared" si="20"/>
        <v>1.2688530590403191</v>
      </c>
      <c r="AZ62" s="479">
        <f t="shared" si="21"/>
        <v>1.1478644426995133</v>
      </c>
      <c r="BA62" s="479">
        <f t="shared" si="22"/>
        <v>1.330446555403608</v>
      </c>
      <c r="BB62" s="479">
        <f t="shared" si="23"/>
        <v>1.3226457099396403</v>
      </c>
      <c r="BC62" s="479">
        <f t="shared" si="24"/>
        <v>1.6657852158869719</v>
      </c>
      <c r="BD62" s="479">
        <f t="shared" si="25"/>
        <v>1.7770341603036266</v>
      </c>
    </row>
    <row r="63" spans="1:56" ht="15">
      <c r="A63" s="63" t="str">
        <f>VLOOKUP(CONCATENATE($C63," - ",$B63),[2]ACHIEV!$B$12:$C$100,2,FALSE)</f>
        <v>LO20Fast</v>
      </c>
      <c r="B63" s="63" t="str">
        <f>'SC-New (2)'!$C$7</f>
        <v>New</v>
      </c>
      <c r="C63" s="63" t="str">
        <f>'SC-New (2)'!$C$8</f>
        <v>Lighting</v>
      </c>
      <c r="D63" s="63" t="s">
        <v>795</v>
      </c>
      <c r="E63" s="63" t="str">
        <f>'SC-New (2)'!$A$9</f>
        <v>Lighting</v>
      </c>
      <c r="F63" s="478">
        <f t="shared" si="1"/>
        <v>5.2591883382486233E-3</v>
      </c>
      <c r="G63" s="71">
        <f>'SC-New (2)'!A44</f>
        <v>20.131003317263307</v>
      </c>
      <c r="H63" s="71">
        <f>'SC-New (2)'!B44</f>
        <v>-21.262756278752239</v>
      </c>
      <c r="I63" s="1" t="str">
        <f>'SC-New (2)'!C44</f>
        <v>Single Family</v>
      </c>
      <c r="J63" s="1" t="str">
        <f>'SC-New (2)'!D44</f>
        <v>2017 - LEDDecorative and Mini-Base250 to 664 lumensANY</v>
      </c>
      <c r="K63" s="37">
        <f>'SC-New (2)'!E44</f>
        <v>0</v>
      </c>
      <c r="L63" s="37">
        <f>'SC-New (2)'!F44</f>
        <v>0.27512670978366904</v>
      </c>
      <c r="M63" s="37">
        <f>'SC-New (2)'!G44</f>
        <v>0.33516718177982457</v>
      </c>
      <c r="N63" s="37">
        <f>'SC-New (2)'!H44</f>
        <v>0.38031587539842421</v>
      </c>
      <c r="O63" s="37">
        <f>'SC-New (2)'!I44</f>
        <v>0.41788489898846981</v>
      </c>
      <c r="P63" s="37">
        <f>'SC-New (2)'!J44</f>
        <v>0.43756419910868777</v>
      </c>
      <c r="Q63" s="37">
        <f>'SC-New (2)'!K44</f>
        <v>0.45818837674181673</v>
      </c>
      <c r="R63" s="37">
        <f>'SC-New (2)'!L44</f>
        <v>0.48374212189498317</v>
      </c>
      <c r="S63" s="37">
        <f>'SC-New (2)'!M44</f>
        <v>0.50192066736506868</v>
      </c>
      <c r="T63" s="37">
        <f>'SC-New (2)'!N44</f>
        <v>0.53061657145710628</v>
      </c>
      <c r="U63" s="37">
        <f>'SC-New (2)'!O44</f>
        <v>0.55093861652324749</v>
      </c>
      <c r="V63" s="37">
        <f>'SC-New (2)'!P44</f>
        <v>0.55664012049269584</v>
      </c>
      <c r="W63" s="37">
        <f>'SC-New (2)'!Q44</f>
        <v>0.55157911255508907</v>
      </c>
      <c r="X63" s="37">
        <f>'SC-New (2)'!R44</f>
        <v>0.55970053606048609</v>
      </c>
      <c r="Y63" s="37">
        <f>'SC-New (2)'!S44</f>
        <v>0.57218000780025002</v>
      </c>
      <c r="Z63" s="37">
        <f>'SC-New (2)'!T44</f>
        <v>0.57435289358328179</v>
      </c>
      <c r="AA63" s="37">
        <f>'SC-New (2)'!U44</f>
        <v>0.55882699741972452</v>
      </c>
      <c r="AB63" s="37">
        <f>'SC-New (2)'!V44</f>
        <v>0.56057183714964764</v>
      </c>
      <c r="AC63" s="37">
        <f>'SC-New (2)'!W44</f>
        <v>0.56410444989443709</v>
      </c>
      <c r="AD63" s="37">
        <f>'SC-New (2)'!X44</f>
        <v>0.56958772605688646</v>
      </c>
      <c r="AE63" s="37">
        <f>'SC-New (2)'!Y44</f>
        <v>9.4390089000537944</v>
      </c>
      <c r="AF63" s="479">
        <f t="shared" si="2"/>
        <v>1.4403486023116614</v>
      </c>
      <c r="AG63" s="479">
        <f t="shared" si="3"/>
        <v>1.1455879321189004</v>
      </c>
      <c r="AH63" s="479">
        <f t="shared" si="4"/>
        <v>1.1574088126508824</v>
      </c>
      <c r="AI63" s="479">
        <f t="shared" si="5"/>
        <v>0.94395192888885926</v>
      </c>
      <c r="AJ63" s="479">
        <f t="shared" si="6"/>
        <v>0.85955346681125078</v>
      </c>
      <c r="AK63" s="479">
        <f t="shared" si="7"/>
        <v>0.88320989238719305</v>
      </c>
      <c r="AL63" s="479">
        <f t="shared" si="8"/>
        <v>0.72890464621476858</v>
      </c>
      <c r="AM63" s="479">
        <f t="shared" si="9"/>
        <v>0.83142614186746877</v>
      </c>
      <c r="AN63" s="479">
        <f t="shared" si="10"/>
        <v>0.91552576880013092</v>
      </c>
      <c r="AO63" s="479">
        <f t="shared" si="11"/>
        <v>1.3361304308256319</v>
      </c>
      <c r="AP63" s="479">
        <f t="shared" si="12"/>
        <v>1.3487789575018005</v>
      </c>
      <c r="AQ63" s="479">
        <f t="shared" si="13"/>
        <v>1.4806923521872546</v>
      </c>
      <c r="AR63" s="479"/>
      <c r="AS63" s="479">
        <f t="shared" si="14"/>
        <v>0.75140480253281761</v>
      </c>
      <c r="AT63" s="479">
        <f t="shared" si="15"/>
        <v>0.57749022612854406</v>
      </c>
      <c r="AU63" s="479">
        <f t="shared" si="16"/>
        <v>0.53824125618452068</v>
      </c>
      <c r="AV63" s="479">
        <f t="shared" si="17"/>
        <v>0.52798821450261002</v>
      </c>
      <c r="AW63" s="479">
        <f t="shared" si="18"/>
        <v>0.51298372968757655</v>
      </c>
      <c r="AX63" s="479">
        <f t="shared" si="19"/>
        <v>0.47972999605023692</v>
      </c>
      <c r="AY63" s="479">
        <f t="shared" si="20"/>
        <v>0.54727856493284177</v>
      </c>
      <c r="AZ63" s="479">
        <f t="shared" si="21"/>
        <v>0.4950940540058737</v>
      </c>
      <c r="BA63" s="479">
        <f t="shared" si="22"/>
        <v>0.57384491953058547</v>
      </c>
      <c r="BB63" s="479">
        <f t="shared" si="23"/>
        <v>0.57048027814806623</v>
      </c>
      <c r="BC63" s="479">
        <f t="shared" si="24"/>
        <v>0.71848236164278922</v>
      </c>
      <c r="BD63" s="479">
        <f t="shared" si="25"/>
        <v>0.76646598135103916</v>
      </c>
    </row>
    <row r="64" spans="1:56" ht="15">
      <c r="A64" s="63" t="str">
        <f>VLOOKUP(CONCATENATE($C64," - ",$B64),[2]ACHIEV!$B$12:$C$100,2,FALSE)</f>
        <v>LO20Fast</v>
      </c>
      <c r="B64" s="63" t="str">
        <f>'SC-New (2)'!$C$7</f>
        <v>New</v>
      </c>
      <c r="C64" s="63" t="str">
        <f>'SC-New (2)'!$C$8</f>
        <v>Lighting</v>
      </c>
      <c r="D64" s="63" t="s">
        <v>795</v>
      </c>
      <c r="E64" s="63" t="str">
        <f>'SC-New (2)'!$A$9</f>
        <v>Lighting</v>
      </c>
      <c r="F64" s="478">
        <f t="shared" si="1"/>
        <v>3.96210803600704E-3</v>
      </c>
      <c r="G64" s="71">
        <f>'SC-New (2)'!A45</f>
        <v>15.166068390464758</v>
      </c>
      <c r="H64" s="71">
        <f>'SC-New (2)'!B45</f>
        <v>-19.792953526125213</v>
      </c>
      <c r="I64" s="1" t="str">
        <f>'SC-New (2)'!C45</f>
        <v>Single Family</v>
      </c>
      <c r="J64" s="1" t="str">
        <f>'SC-New (2)'!D45</f>
        <v>2017 - LEDDecorative and Mini-Base665 to 1439 lumensANY</v>
      </c>
      <c r="K64" s="37">
        <f>'SC-New (2)'!E45</f>
        <v>0</v>
      </c>
      <c r="L64" s="37">
        <f>'SC-New (2)'!F45</f>
        <v>5.6848939003389748E-2</v>
      </c>
      <c r="M64" s="37">
        <f>'SC-New (2)'!G45</f>
        <v>6.9254994136778977E-2</v>
      </c>
      <c r="N64" s="37">
        <f>'SC-New (2)'!H45</f>
        <v>7.8583987790738094E-2</v>
      </c>
      <c r="O64" s="37">
        <f>'SC-New (2)'!I45</f>
        <v>8.6346807809800419E-2</v>
      </c>
      <c r="P64" s="37">
        <f>'SC-New (2)'!J45</f>
        <v>9.0413106327466464E-2</v>
      </c>
      <c r="Q64" s="37">
        <f>'SC-New (2)'!K45</f>
        <v>9.4674643192363114E-2</v>
      </c>
      <c r="R64" s="37">
        <f>'SC-New (2)'!L45</f>
        <v>9.9954767759922472E-2</v>
      </c>
      <c r="S64" s="37">
        <f>'SC-New (2)'!M45</f>
        <v>0.10371096803365025</v>
      </c>
      <c r="T64" s="37">
        <f>'SC-New (2)'!N45</f>
        <v>0.10964035127186098</v>
      </c>
      <c r="U64" s="37">
        <f>'SC-New (2)'!O45</f>
        <v>0.11383945902587586</v>
      </c>
      <c r="V64" s="37">
        <f>'SC-New (2)'!P45</f>
        <v>0.11501755057373615</v>
      </c>
      <c r="W64" s="37">
        <f>'SC-New (2)'!Q45</f>
        <v>0.11397180357313812</v>
      </c>
      <c r="X64" s="37">
        <f>'SC-New (2)'!R45</f>
        <v>0.11564991875810886</v>
      </c>
      <c r="Y64" s="37">
        <f>'SC-New (2)'!S45</f>
        <v>0.11822852963993201</v>
      </c>
      <c r="Z64" s="37">
        <f>'SC-New (2)'!T45</f>
        <v>0.1186775091353726</v>
      </c>
      <c r="AA64" s="37">
        <f>'SC-New (2)'!U45</f>
        <v>0.1154694210341881</v>
      </c>
      <c r="AB64" s="37">
        <f>'SC-New (2)'!V45</f>
        <v>0.11582995414075231</v>
      </c>
      <c r="AC64" s="37">
        <f>'SC-New (2)'!W45</f>
        <v>0.11655989158161018</v>
      </c>
      <c r="AD64" s="37">
        <f>'SC-New (2)'!X45</f>
        <v>0.1176928911087841</v>
      </c>
      <c r="AE64" s="37">
        <f>'SC-New (2)'!Y45</f>
        <v>1.9503654938974686</v>
      </c>
      <c r="AF64" s="479">
        <f t="shared" si="2"/>
        <v>1.0851135964016425</v>
      </c>
      <c r="AG64" s="479">
        <f t="shared" si="3"/>
        <v>0.86305012482449117</v>
      </c>
      <c r="AH64" s="479">
        <f t="shared" si="4"/>
        <v>0.87195560657113691</v>
      </c>
      <c r="AI64" s="479">
        <f t="shared" si="5"/>
        <v>0.71114386527187501</v>
      </c>
      <c r="AJ64" s="479">
        <f t="shared" si="6"/>
        <v>0.64756070313402958</v>
      </c>
      <c r="AK64" s="479">
        <f t="shared" si="7"/>
        <v>0.66538271441207719</v>
      </c>
      <c r="AL64" s="479">
        <f t="shared" si="8"/>
        <v>0.54913396716500618</v>
      </c>
      <c r="AM64" s="479">
        <f t="shared" si="9"/>
        <v>0.62637045608000386</v>
      </c>
      <c r="AN64" s="479">
        <f t="shared" si="10"/>
        <v>0.68972848516440399</v>
      </c>
      <c r="AO64" s="479">
        <f t="shared" si="11"/>
        <v>1.0065988849699035</v>
      </c>
      <c r="AP64" s="479">
        <f t="shared" si="12"/>
        <v>1.0161278894405794</v>
      </c>
      <c r="AQ64" s="479">
        <f t="shared" si="13"/>
        <v>1.1155073159842306</v>
      </c>
      <c r="AR64" s="479"/>
      <c r="AS64" s="479">
        <f t="shared" si="14"/>
        <v>0.56608488134140256</v>
      </c>
      <c r="AT64" s="479">
        <f t="shared" si="15"/>
        <v>0.435063077893382</v>
      </c>
      <c r="AU64" s="479">
        <f t="shared" si="16"/>
        <v>0.40549413127680195</v>
      </c>
      <c r="AV64" s="479">
        <f t="shared" si="17"/>
        <v>0.39776981029252217</v>
      </c>
      <c r="AW64" s="479">
        <f t="shared" si="18"/>
        <v>0.38646590063227465</v>
      </c>
      <c r="AX64" s="479">
        <f t="shared" si="19"/>
        <v>0.36141357757445147</v>
      </c>
      <c r="AY64" s="479">
        <f t="shared" si="20"/>
        <v>0.4123025570856263</v>
      </c>
      <c r="AZ64" s="479">
        <f t="shared" si="21"/>
        <v>0.37298837839475796</v>
      </c>
      <c r="BA64" s="479">
        <f t="shared" si="22"/>
        <v>0.43231681789344234</v>
      </c>
      <c r="BB64" s="479">
        <f t="shared" si="23"/>
        <v>0.42978200229024216</v>
      </c>
      <c r="BC64" s="479">
        <f t="shared" si="24"/>
        <v>0.54128214387967721</v>
      </c>
      <c r="BD64" s="479">
        <f t="shared" si="25"/>
        <v>0.57743150249079578</v>
      </c>
    </row>
    <row r="65" spans="1:56" ht="15">
      <c r="A65" s="63" t="str">
        <f>VLOOKUP(CONCATENATE($C65," - ",$B65),[2]ACHIEV!$B$12:$C$100,2,FALSE)</f>
        <v>LO20Fast</v>
      </c>
      <c r="B65" s="63" t="str">
        <f>'SC-New (2)'!$C$7</f>
        <v>New</v>
      </c>
      <c r="C65" s="63" t="str">
        <f>'SC-New (2)'!$C$8</f>
        <v>Lighting</v>
      </c>
      <c r="D65" s="63" t="s">
        <v>795</v>
      </c>
      <c r="E65" s="63" t="str">
        <f>'SC-New (2)'!$A$9</f>
        <v>Lighting</v>
      </c>
      <c r="F65" s="478">
        <f t="shared" si="1"/>
        <v>1.962157373850039E-3</v>
      </c>
      <c r="G65" s="71">
        <f>'SC-New (2)'!A46</f>
        <v>7.5107020440195642</v>
      </c>
      <c r="H65" s="71">
        <f>'SC-New (2)'!B46</f>
        <v>253.66864707291808</v>
      </c>
      <c r="I65" s="1" t="str">
        <f>'SC-New (2)'!C46</f>
        <v>Single Family</v>
      </c>
      <c r="J65" s="1" t="str">
        <f>'SC-New (2)'!D46</f>
        <v>2017 - LEDDecorative and Mini-Base1440 to 2600 lumensANY</v>
      </c>
      <c r="K65" s="37">
        <f>'SC-New (2)'!E46</f>
        <v>0</v>
      </c>
      <c r="L65" s="37">
        <f>'SC-New (2)'!F46</f>
        <v>5.5311389479840772E-4</v>
      </c>
      <c r="M65" s="37">
        <f>'SC-New (2)'!G46</f>
        <v>6.7381907583096042E-4</v>
      </c>
      <c r="N65" s="37">
        <f>'SC-New (2)'!H46</f>
        <v>7.6458587121799968E-4</v>
      </c>
      <c r="O65" s="37">
        <f>'SC-New (2)'!I46</f>
        <v>8.4011452119168832E-4</v>
      </c>
      <c r="P65" s="37">
        <f>'SC-New (2)'!J46</f>
        <v>8.7967772588729671E-4</v>
      </c>
      <c r="Q65" s="37">
        <f>'SC-New (2)'!K46</f>
        <v>9.2114050944125934E-4</v>
      </c>
      <c r="R65" s="37">
        <f>'SC-New (2)'!L46</f>
        <v>9.7251368044115052E-4</v>
      </c>
      <c r="S65" s="37">
        <f>'SC-New (2)'!M46</f>
        <v>1.009059772584058E-3</v>
      </c>
      <c r="T65" s="37">
        <f>'SC-New (2)'!N46</f>
        <v>1.0667499302920778E-3</v>
      </c>
      <c r="U65" s="37">
        <f>'SC-New (2)'!O46</f>
        <v>1.1076053074586219E-3</v>
      </c>
      <c r="V65" s="37">
        <f>'SC-New (2)'!P46</f>
        <v>1.1190675935784603E-3</v>
      </c>
      <c r="W65" s="37">
        <f>'SC-New (2)'!Q46</f>
        <v>1.1088929587195753E-3</v>
      </c>
      <c r="X65" s="37">
        <f>'SC-New (2)'!R46</f>
        <v>1.1252202436636998E-3</v>
      </c>
      <c r="Y65" s="37">
        <f>'SC-New (2)'!S46</f>
        <v>1.1503089354320672E-3</v>
      </c>
      <c r="Z65" s="37">
        <f>'SC-New (2)'!T46</f>
        <v>1.1546772983560079E-3</v>
      </c>
      <c r="AA65" s="37">
        <f>'SC-New (2)'!U46</f>
        <v>1.1234640842554462E-3</v>
      </c>
      <c r="AB65" s="37">
        <f>'SC-New (2)'!V46</f>
        <v>1.1269719047050698E-3</v>
      </c>
      <c r="AC65" s="37">
        <f>'SC-New (2)'!W46</f>
        <v>1.1340738585488871E-3</v>
      </c>
      <c r="AD65" s="37">
        <f>'SC-New (2)'!X46</f>
        <v>1.1450974201538374E-3</v>
      </c>
      <c r="AE65" s="37">
        <f>'SC-New (2)'!Y46</f>
        <v>1.8976154586556569E-2</v>
      </c>
      <c r="AF65" s="479">
        <f t="shared" si="2"/>
        <v>0.53738152147667351</v>
      </c>
      <c r="AG65" s="479">
        <f t="shared" si="3"/>
        <v>0.42740888209933781</v>
      </c>
      <c r="AH65" s="479">
        <f t="shared" si="4"/>
        <v>0.43181914969377672</v>
      </c>
      <c r="AI65" s="479">
        <f t="shared" si="5"/>
        <v>0.35218024506915513</v>
      </c>
      <c r="AJ65" s="479">
        <f t="shared" si="6"/>
        <v>0.32069191377993372</v>
      </c>
      <c r="AK65" s="479">
        <f t="shared" si="7"/>
        <v>0.32951792017053727</v>
      </c>
      <c r="AL65" s="479">
        <f t="shared" si="8"/>
        <v>0.27194797645907187</v>
      </c>
      <c r="AM65" s="479">
        <f t="shared" si="9"/>
        <v>0.31019785376619841</v>
      </c>
      <c r="AN65" s="479">
        <f t="shared" si="10"/>
        <v>0.34157469226499099</v>
      </c>
      <c r="AO65" s="479">
        <f t="shared" si="11"/>
        <v>0.49849862919018445</v>
      </c>
      <c r="AP65" s="479">
        <f t="shared" si="12"/>
        <v>0.50321768435416969</v>
      </c>
      <c r="AQ65" s="479">
        <f t="shared" si="13"/>
        <v>0.5524334232561634</v>
      </c>
      <c r="AR65" s="479"/>
      <c r="AS65" s="479">
        <f t="shared" si="14"/>
        <v>0.28034258885793889</v>
      </c>
      <c r="AT65" s="479">
        <f t="shared" si="15"/>
        <v>0.21545657478807742</v>
      </c>
      <c r="AU65" s="479">
        <f t="shared" si="16"/>
        <v>0.20081312586810013</v>
      </c>
      <c r="AV65" s="479">
        <f t="shared" si="17"/>
        <v>0.19698780529643709</v>
      </c>
      <c r="AW65" s="479">
        <f t="shared" si="18"/>
        <v>0.19138976266569091</v>
      </c>
      <c r="AX65" s="479">
        <f t="shared" si="19"/>
        <v>0.17898308420734163</v>
      </c>
      <c r="AY65" s="479">
        <f t="shared" si="20"/>
        <v>0.20418486706841296</v>
      </c>
      <c r="AZ65" s="479">
        <f t="shared" si="21"/>
        <v>0.18471528044581126</v>
      </c>
      <c r="BA65" s="479">
        <f t="shared" si="22"/>
        <v>0.21409654263841862</v>
      </c>
      <c r="BB65" s="479">
        <f t="shared" si="23"/>
        <v>0.21284122423670696</v>
      </c>
      <c r="BC65" s="479">
        <f t="shared" si="24"/>
        <v>0.26805951283883145</v>
      </c>
      <c r="BD65" s="479">
        <f t="shared" si="25"/>
        <v>0.28596178352760315</v>
      </c>
    </row>
    <row r="66" spans="1:56" ht="15">
      <c r="A66" s="63" t="str">
        <f>VLOOKUP(CONCATENATE($C66," - ",$B66),[2]ACHIEV!$B$12:$C$100,2,FALSE)</f>
        <v>LO20Fast</v>
      </c>
      <c r="B66" s="63" t="str">
        <f>'SC-New (2)'!$C$7</f>
        <v>New</v>
      </c>
      <c r="C66" s="63" t="str">
        <f>'SC-New (2)'!$C$8</f>
        <v>Lighting</v>
      </c>
      <c r="D66" s="63" t="s">
        <v>795</v>
      </c>
      <c r="E66" s="63" t="str">
        <f>'SC-New (2)'!$A$9</f>
        <v>Lighting</v>
      </c>
      <c r="F66" s="478">
        <f t="shared" si="1"/>
        <v>5.0185805390402609E-4</v>
      </c>
      <c r="G66" s="71">
        <f>'SC-New (2)'!A47</f>
        <v>1.9210010172979759</v>
      </c>
      <c r="H66" s="71">
        <f>'SC-New (2)'!B47</f>
        <v>19.879331870717266</v>
      </c>
      <c r="I66" s="1" t="str">
        <f>'SC-New (2)'!C47</f>
        <v>Single Family</v>
      </c>
      <c r="J66" s="1" t="str">
        <f>'SC-New (2)'!D47</f>
        <v>2017 - LEDGeneral Purpose and Dimmable250 to 664 lumensANY</v>
      </c>
      <c r="K66" s="37">
        <f>'SC-New (2)'!E47</f>
        <v>0</v>
      </c>
      <c r="L66" s="37">
        <f>'SC-New (2)'!F47</f>
        <v>2.192335480189184E-2</v>
      </c>
      <c r="M66" s="37">
        <f>'SC-New (2)'!G47</f>
        <v>2.6707654265509025E-2</v>
      </c>
      <c r="N66" s="37">
        <f>'SC-New (2)'!H47</f>
        <v>3.0305308705605927E-2</v>
      </c>
      <c r="O66" s="37">
        <f>'SC-New (2)'!I47</f>
        <v>3.3298980364649275E-2</v>
      </c>
      <c r="P66" s="37">
        <f>'SC-New (2)'!J47</f>
        <v>3.4867117021129074E-2</v>
      </c>
      <c r="Q66" s="37">
        <f>'SC-New (2)'!K47</f>
        <v>3.6510545840177037E-2</v>
      </c>
      <c r="R66" s="37">
        <f>'SC-New (2)'!L47</f>
        <v>3.854678514951379E-2</v>
      </c>
      <c r="S66" s="37">
        <f>'SC-New (2)'!M47</f>
        <v>3.9995334810273293E-2</v>
      </c>
      <c r="T66" s="37">
        <f>'SC-New (2)'!N47</f>
        <v>4.228195571765616E-2</v>
      </c>
      <c r="U66" s="37">
        <f>'SC-New (2)'!O47</f>
        <v>4.3901309231662015E-2</v>
      </c>
      <c r="V66" s="37">
        <f>'SC-New (2)'!P47</f>
        <v>4.4355631149460874E-2</v>
      </c>
      <c r="W66" s="37">
        <f>'SC-New (2)'!Q47</f>
        <v>4.3952346885426367E-2</v>
      </c>
      <c r="X66" s="37">
        <f>'SC-New (2)'!R47</f>
        <v>4.4599499061764476E-2</v>
      </c>
      <c r="Y66" s="37">
        <f>'SC-New (2)'!S47</f>
        <v>4.5593920457295829E-2</v>
      </c>
      <c r="Z66" s="37">
        <f>'SC-New (2)'!T47</f>
        <v>4.5767065936347454E-2</v>
      </c>
      <c r="AA66" s="37">
        <f>'SC-New (2)'!U47</f>
        <v>4.4529891506868639E-2</v>
      </c>
      <c r="AB66" s="37">
        <f>'SC-New (2)'!V47</f>
        <v>4.4668928318313157E-2</v>
      </c>
      <c r="AC66" s="37">
        <f>'SC-New (2)'!W47</f>
        <v>4.495042306174464E-2</v>
      </c>
      <c r="AD66" s="37">
        <f>'SC-New (2)'!X47</f>
        <v>4.538735558959936E-2</v>
      </c>
      <c r="AE66" s="37">
        <f>'SC-New (2)'!Y47</f>
        <v>0.75214340787488831</v>
      </c>
      <c r="AF66" s="479">
        <f t="shared" si="2"/>
        <v>0.13744526721783706</v>
      </c>
      <c r="AG66" s="479">
        <f t="shared" si="3"/>
        <v>0.10931772988768557</v>
      </c>
      <c r="AH66" s="479">
        <f t="shared" si="4"/>
        <v>0.11044573742756919</v>
      </c>
      <c r="AI66" s="479">
        <f t="shared" si="5"/>
        <v>9.0076614021560725E-2</v>
      </c>
      <c r="AJ66" s="479">
        <f t="shared" si="6"/>
        <v>8.2022890669856893E-2</v>
      </c>
      <c r="AK66" s="479">
        <f t="shared" si="7"/>
        <v>8.4280305110698436E-2</v>
      </c>
      <c r="AL66" s="479">
        <f t="shared" si="8"/>
        <v>6.955572679733403E-2</v>
      </c>
      <c r="AM66" s="479">
        <f t="shared" si="9"/>
        <v>7.9338840651120859E-2</v>
      </c>
      <c r="AN66" s="479">
        <f t="shared" si="10"/>
        <v>8.7364047658735955E-2</v>
      </c>
      <c r="AO66" s="479">
        <f t="shared" si="11"/>
        <v>0.12750024807048468</v>
      </c>
      <c r="AP66" s="479">
        <f t="shared" si="12"/>
        <v>0.12870723374473589</v>
      </c>
      <c r="AQ66" s="479">
        <f t="shared" si="13"/>
        <v>0.14129506960131633</v>
      </c>
      <c r="AR66" s="479"/>
      <c r="AS66" s="479">
        <f t="shared" si="14"/>
        <v>7.1702804242762208E-2</v>
      </c>
      <c r="AT66" s="479">
        <f t="shared" si="15"/>
        <v>5.5107005566942716E-2</v>
      </c>
      <c r="AU66" s="479">
        <f t="shared" si="16"/>
        <v>5.1361672559833739E-2</v>
      </c>
      <c r="AV66" s="479">
        <f t="shared" si="17"/>
        <v>5.0383276044223477E-2</v>
      </c>
      <c r="AW66" s="479">
        <f t="shared" si="18"/>
        <v>4.8951473061557747E-2</v>
      </c>
      <c r="AX66" s="479">
        <f t="shared" si="19"/>
        <v>4.5778235486682146E-2</v>
      </c>
      <c r="AY66" s="479">
        <f t="shared" si="20"/>
        <v>5.2224057758701252E-2</v>
      </c>
      <c r="AZ66" s="479">
        <f t="shared" si="21"/>
        <v>4.7244350736749853E-2</v>
      </c>
      <c r="BA66" s="479">
        <f t="shared" si="22"/>
        <v>5.4759152180170065E-2</v>
      </c>
      <c r="BB66" s="479">
        <f t="shared" si="23"/>
        <v>5.4438081271939699E-2</v>
      </c>
      <c r="BC66" s="479">
        <f t="shared" si="24"/>
        <v>6.8561180278722517E-2</v>
      </c>
      <c r="BD66" s="479">
        <f t="shared" si="25"/>
        <v>7.3140017250754669E-2</v>
      </c>
    </row>
    <row r="67" spans="1:56" ht="15">
      <c r="A67" s="63" t="str">
        <f>VLOOKUP(CONCATENATE($C67," - ",$B67),[2]ACHIEV!$B$12:$C$100,2,FALSE)</f>
        <v>LO20Fast</v>
      </c>
      <c r="B67" s="63" t="str">
        <f>'SC-New (2)'!$C$7</f>
        <v>New</v>
      </c>
      <c r="C67" s="63" t="str">
        <f>'SC-New (2)'!$C$8</f>
        <v>Lighting</v>
      </c>
      <c r="D67" s="63" t="s">
        <v>795</v>
      </c>
      <c r="E67" s="63" t="str">
        <f>'SC-New (2)'!$A$9</f>
        <v>Lighting</v>
      </c>
      <c r="F67" s="478">
        <f t="shared" si="1"/>
        <v>1.9587879633994761E-3</v>
      </c>
      <c r="G67" s="71">
        <f>'SC-New (2)'!A48</f>
        <v>7.4978046901704554</v>
      </c>
      <c r="H67" s="71">
        <f>'SC-New (2)'!B48</f>
        <v>38.047469279788793</v>
      </c>
      <c r="I67" s="1" t="str">
        <f>'SC-New (2)'!C48</f>
        <v>Single Family</v>
      </c>
      <c r="J67" s="1" t="str">
        <f>'SC-New (2)'!D48</f>
        <v>2017 - LEDGeneral Purpose and Dimmable665 to 1439 lumensANY</v>
      </c>
      <c r="K67" s="37">
        <f>'SC-New (2)'!E48</f>
        <v>0</v>
      </c>
      <c r="L67" s="37">
        <f>'SC-New (2)'!F48</f>
        <v>0.66028560427276983</v>
      </c>
      <c r="M67" s="37">
        <f>'SC-New (2)'!G48</f>
        <v>0.80437870001027811</v>
      </c>
      <c r="N67" s="37">
        <f>'SC-New (2)'!H48</f>
        <v>0.91273252894794643</v>
      </c>
      <c r="O67" s="37">
        <f>'SC-New (2)'!I48</f>
        <v>1.0028956594655041</v>
      </c>
      <c r="P67" s="37">
        <f>'SC-New (2)'!J48</f>
        <v>1.0501246565401992</v>
      </c>
      <c r="Q67" s="37">
        <f>'SC-New (2)'!K48</f>
        <v>1.0996212961133875</v>
      </c>
      <c r="R67" s="37">
        <f>'SC-New (2)'!L48</f>
        <v>1.160948566276135</v>
      </c>
      <c r="S67" s="37">
        <f>'SC-New (2)'!M48</f>
        <v>1.2045758530995532</v>
      </c>
      <c r="T67" s="37">
        <f>'SC-New (2)'!N48</f>
        <v>1.2734440934403863</v>
      </c>
      <c r="U67" s="37">
        <f>'SC-New (2)'!O48</f>
        <v>1.3222156351678556</v>
      </c>
      <c r="V67" s="37">
        <f>'SC-New (2)'!P48</f>
        <v>1.3358988613318687</v>
      </c>
      <c r="W67" s="37">
        <f>'SC-New (2)'!Q48</f>
        <v>1.3237527825780484</v>
      </c>
      <c r="X67" s="37">
        <f>'SC-New (2)'!R48</f>
        <v>1.3432436529156928</v>
      </c>
      <c r="Y67" s="37">
        <f>'SC-New (2)'!S48</f>
        <v>1.3731935459855953</v>
      </c>
      <c r="Z67" s="37">
        <f>'SC-New (2)'!T48</f>
        <v>1.3784083257624948</v>
      </c>
      <c r="AA67" s="37">
        <f>'SC-New (2)'!U48</f>
        <v>1.3411472189136129</v>
      </c>
      <c r="AB67" s="37">
        <f>'SC-New (2)'!V48</f>
        <v>1.3453347169443834</v>
      </c>
      <c r="AC67" s="37">
        <f>'SC-New (2)'!W48</f>
        <v>1.3538127500030017</v>
      </c>
      <c r="AD67" s="37">
        <f>'SC-New (2)'!X48</f>
        <v>1.3669722441036076</v>
      </c>
      <c r="AE67" s="37">
        <f>'SC-New (2)'!Y48</f>
        <v>22.652986691872318</v>
      </c>
      <c r="AF67" s="479">
        <f t="shared" si="2"/>
        <v>0.53645873162376279</v>
      </c>
      <c r="AG67" s="479">
        <f t="shared" si="3"/>
        <v>0.42667493691573455</v>
      </c>
      <c r="AH67" s="479">
        <f t="shared" si="4"/>
        <v>0.43107763121257736</v>
      </c>
      <c r="AI67" s="479">
        <f t="shared" si="5"/>
        <v>0.35157548226366747</v>
      </c>
      <c r="AJ67" s="479">
        <f t="shared" si="6"/>
        <v>0.32014122263757089</v>
      </c>
      <c r="AK67" s="479">
        <f t="shared" si="7"/>
        <v>0.32895207303785196</v>
      </c>
      <c r="AL67" s="479">
        <f t="shared" si="8"/>
        <v>0.27148098825205935</v>
      </c>
      <c r="AM67" s="479">
        <f t="shared" si="9"/>
        <v>0.30966518299057599</v>
      </c>
      <c r="AN67" s="479">
        <f t="shared" si="10"/>
        <v>0.34098814128131166</v>
      </c>
      <c r="AO67" s="479">
        <f t="shared" si="11"/>
        <v>0.49764260891720863</v>
      </c>
      <c r="AP67" s="479">
        <f t="shared" si="12"/>
        <v>0.50235356053455782</v>
      </c>
      <c r="AQ67" s="479">
        <f t="shared" si="13"/>
        <v>0.55148478632501485</v>
      </c>
      <c r="AR67" s="479"/>
      <c r="AS67" s="479">
        <f t="shared" si="14"/>
        <v>0.27986118544900518</v>
      </c>
      <c r="AT67" s="479">
        <f t="shared" si="15"/>
        <v>0.21508659343774925</v>
      </c>
      <c r="AU67" s="479">
        <f t="shared" si="16"/>
        <v>0.20046829020204826</v>
      </c>
      <c r="AV67" s="479">
        <f t="shared" si="17"/>
        <v>0.19664953845879962</v>
      </c>
      <c r="AW67" s="479">
        <f t="shared" si="18"/>
        <v>0.19106110876919372</v>
      </c>
      <c r="AX67" s="479">
        <f t="shared" si="19"/>
        <v>0.17867573501994241</v>
      </c>
      <c r="AY67" s="479">
        <f t="shared" si="20"/>
        <v>0.20383424145901183</v>
      </c>
      <c r="AZ67" s="479">
        <f t="shared" si="21"/>
        <v>0.18439808794911994</v>
      </c>
      <c r="BA67" s="479">
        <f t="shared" si="22"/>
        <v>0.21372889673100612</v>
      </c>
      <c r="BB67" s="479">
        <f t="shared" si="23"/>
        <v>0.21247573395809255</v>
      </c>
      <c r="BC67" s="479">
        <f t="shared" si="24"/>
        <v>0.26759920188927711</v>
      </c>
      <c r="BD67" s="479">
        <f t="shared" si="25"/>
        <v>0.28547073085531477</v>
      </c>
    </row>
    <row r="68" spans="1:56" ht="15">
      <c r="A68" s="63" t="str">
        <f>VLOOKUP(CONCATENATE($C68," - ",$B68),[2]ACHIEV!$B$12:$C$100,2,FALSE)</f>
        <v>LO20Fast</v>
      </c>
      <c r="B68" s="63" t="str">
        <f>'SC-New (2)'!$C$7</f>
        <v>New</v>
      </c>
      <c r="C68" s="63" t="str">
        <f>'SC-New (2)'!$C$8</f>
        <v>Lighting</v>
      </c>
      <c r="D68" s="63" t="s">
        <v>795</v>
      </c>
      <c r="E68" s="63" t="str">
        <f>'SC-New (2)'!$A$9</f>
        <v>Lighting</v>
      </c>
      <c r="F68" s="478">
        <f t="shared" si="1"/>
        <v>3.659906529973458E-3</v>
      </c>
      <c r="G68" s="71">
        <f>'SC-New (2)'!A49</f>
        <v>14.009308234872018</v>
      </c>
      <c r="H68" s="71">
        <f>'SC-New (2)'!B49</f>
        <v>64.372768585347757</v>
      </c>
      <c r="I68" s="1" t="str">
        <f>'SC-New (2)'!C49</f>
        <v>Single Family</v>
      </c>
      <c r="J68" s="1" t="str">
        <f>'SC-New (2)'!D49</f>
        <v>2017 - LEDGeneral Purpose and Dimmable1440 to 2600 lumensANY</v>
      </c>
      <c r="K68" s="37">
        <f>'SC-New (2)'!E49</f>
        <v>0</v>
      </c>
      <c r="L68" s="37">
        <f>'SC-New (2)'!F49</f>
        <v>0.12300284015600908</v>
      </c>
      <c r="M68" s="37">
        <f>'SC-New (2)'!G49</f>
        <v>0.14984555777379824</v>
      </c>
      <c r="N68" s="37">
        <f>'SC-New (2)'!H49</f>
        <v>0.17003050291703012</v>
      </c>
      <c r="O68" s="37">
        <f>'SC-New (2)'!I49</f>
        <v>0.18682675147863748</v>
      </c>
      <c r="P68" s="37">
        <f>'SC-New (2)'!J49</f>
        <v>0.19562491509195082</v>
      </c>
      <c r="Q68" s="37">
        <f>'SC-New (2)'!K49</f>
        <v>0.20484551176448615</v>
      </c>
      <c r="R68" s="37">
        <f>'SC-New (2)'!L49</f>
        <v>0.21627000498411506</v>
      </c>
      <c r="S68" s="37">
        <f>'SC-New (2)'!M49</f>
        <v>0.22439721562274711</v>
      </c>
      <c r="T68" s="37">
        <f>'SC-New (2)'!N49</f>
        <v>0.23722649601846163</v>
      </c>
      <c r="U68" s="37">
        <f>'SC-New (2)'!O49</f>
        <v>0.24631201615163689</v>
      </c>
      <c r="V68" s="37">
        <f>'SC-New (2)'!P49</f>
        <v>0.24886102777596927</v>
      </c>
      <c r="W68" s="37">
        <f>'SC-New (2)'!Q49</f>
        <v>0.24659836723360601</v>
      </c>
      <c r="X68" s="37">
        <f>'SC-New (2)'!R49</f>
        <v>0.25022926936615097</v>
      </c>
      <c r="Y68" s="37">
        <f>'SC-New (2)'!S49</f>
        <v>0.25580855488461113</v>
      </c>
      <c r="Z68" s="37">
        <f>'SC-New (2)'!T49</f>
        <v>0.25678000226919145</v>
      </c>
      <c r="AA68" s="37">
        <f>'SC-New (2)'!U49</f>
        <v>0.24983873028005435</v>
      </c>
      <c r="AB68" s="37">
        <f>'SC-New (2)'!V49</f>
        <v>0.25061880809425985</v>
      </c>
      <c r="AC68" s="37">
        <f>'SC-New (2)'!W49</f>
        <v>0.25219815820941976</v>
      </c>
      <c r="AD68" s="37">
        <f>'SC-New (2)'!X49</f>
        <v>0.25464960518769147</v>
      </c>
      <c r="AE68" s="37">
        <f>'SC-New (2)'!Y49</f>
        <v>4.2199643352598262</v>
      </c>
      <c r="AF68" s="479">
        <f t="shared" si="2"/>
        <v>1.0023488257113993</v>
      </c>
      <c r="AG68" s="479">
        <f t="shared" si="3"/>
        <v>0.79722278111397538</v>
      </c>
      <c r="AH68" s="479">
        <f t="shared" si="4"/>
        <v>0.80544901586095996</v>
      </c>
      <c r="AI68" s="479">
        <f t="shared" si="5"/>
        <v>0.65690285388635883</v>
      </c>
      <c r="AJ68" s="479">
        <f t="shared" si="6"/>
        <v>0.59816936449388325</v>
      </c>
      <c r="AK68" s="479">
        <f t="shared" si="7"/>
        <v>0.61463203912592634</v>
      </c>
      <c r="AL68" s="479">
        <f t="shared" si="8"/>
        <v>0.50724992200941221</v>
      </c>
      <c r="AM68" s="479">
        <f t="shared" si="9"/>
        <v>0.57859535922699556</v>
      </c>
      <c r="AN68" s="479">
        <f t="shared" si="10"/>
        <v>0.63712088711894432</v>
      </c>
      <c r="AO68" s="479">
        <f t="shared" si="11"/>
        <v>0.92982265972689038</v>
      </c>
      <c r="AP68" s="479">
        <f t="shared" si="12"/>
        <v>0.93862485930585982</v>
      </c>
      <c r="AQ68" s="479">
        <f t="shared" si="13"/>
        <v>1.0304243278833694</v>
      </c>
      <c r="AR68" s="479"/>
      <c r="AS68" s="479">
        <f t="shared" si="14"/>
        <v>0.52290794064984647</v>
      </c>
      <c r="AT68" s="479">
        <f t="shared" si="15"/>
        <v>0.40187955130497377</v>
      </c>
      <c r="AU68" s="479">
        <f t="shared" si="16"/>
        <v>0.37456591426555569</v>
      </c>
      <c r="AV68" s="479">
        <f t="shared" si="17"/>
        <v>0.36743074971348882</v>
      </c>
      <c r="AW68" s="479">
        <f t="shared" si="18"/>
        <v>0.35698902212711459</v>
      </c>
      <c r="AX68" s="479">
        <f t="shared" si="19"/>
        <v>0.33384751262836426</v>
      </c>
      <c r="AY68" s="479">
        <f t="shared" si="20"/>
        <v>0.38085504163162015</v>
      </c>
      <c r="AZ68" s="479">
        <f t="shared" si="21"/>
        <v>0.34453946971797317</v>
      </c>
      <c r="BA68" s="479">
        <f t="shared" si="22"/>
        <v>0.39934275654434592</v>
      </c>
      <c r="BB68" s="479">
        <f t="shared" si="23"/>
        <v>0.39700127870120755</v>
      </c>
      <c r="BC68" s="479">
        <f t="shared" si="24"/>
        <v>0.49999698012771288</v>
      </c>
      <c r="BD68" s="479">
        <f t="shared" si="25"/>
        <v>0.53338912199583788</v>
      </c>
    </row>
    <row r="69" spans="1:56" ht="15">
      <c r="A69" s="63" t="str">
        <f>VLOOKUP(CONCATENATE($C69," - ",$B69),[2]ACHIEV!$B$12:$C$100,2,FALSE)</f>
        <v>LO20Fast</v>
      </c>
      <c r="B69" s="63" t="str">
        <f>'SC-New (2)'!$C$7</f>
        <v>New</v>
      </c>
      <c r="C69" s="63" t="str">
        <f>'SC-New (2)'!$C$8</f>
        <v>Lighting</v>
      </c>
      <c r="D69" s="63" t="s">
        <v>795</v>
      </c>
      <c r="E69" s="63" t="str">
        <f>'SC-New (2)'!$A$9</f>
        <v>Lighting</v>
      </c>
      <c r="F69" s="478">
        <f t="shared" si="1"/>
        <v>3.9190405629480479E-3</v>
      </c>
      <c r="G69" s="71">
        <f>'SC-New (2)'!A50</f>
        <v>15.001215681785107</v>
      </c>
      <c r="H69" s="71">
        <f>'SC-New (2)'!B50</f>
        <v>-40.723166254238713</v>
      </c>
      <c r="I69" s="1" t="str">
        <f>'SC-New (2)'!C50</f>
        <v>Single Family</v>
      </c>
      <c r="J69" s="1" t="str">
        <f>'SC-New (2)'!D50</f>
        <v>2017 - LEDGlobe250 to 664 lumensANY</v>
      </c>
      <c r="K69" s="37">
        <f>'SC-New (2)'!E50</f>
        <v>0</v>
      </c>
      <c r="L69" s="37">
        <f>'SC-New (2)'!F50</f>
        <v>0.11257096734621273</v>
      </c>
      <c r="M69" s="37">
        <f>'SC-New (2)'!G50</f>
        <v>0.13713715366031087</v>
      </c>
      <c r="N69" s="37">
        <f>'SC-New (2)'!H50</f>
        <v>0.15561021328821772</v>
      </c>
      <c r="O69" s="37">
        <f>'SC-New (2)'!I50</f>
        <v>0.17098197174492846</v>
      </c>
      <c r="P69" s="37">
        <f>'SC-New (2)'!J50</f>
        <v>0.17903396296370644</v>
      </c>
      <c r="Q69" s="37">
        <f>'SC-New (2)'!K50</f>
        <v>0.18747256068730436</v>
      </c>
      <c r="R69" s="37">
        <f>'SC-New (2)'!L50</f>
        <v>0.19792814245714566</v>
      </c>
      <c r="S69" s="37">
        <f>'SC-New (2)'!M50</f>
        <v>0.20536608423358638</v>
      </c>
      <c r="T69" s="37">
        <f>'SC-New (2)'!N50</f>
        <v>0.21710731315699694</v>
      </c>
      <c r="U69" s="37">
        <f>'SC-New (2)'!O50</f>
        <v>0.22542229018466409</v>
      </c>
      <c r="V69" s="37">
        <f>'SC-New (2)'!P50</f>
        <v>0.22775512009301332</v>
      </c>
      <c r="W69" s="37">
        <f>'SC-New (2)'!Q50</f>
        <v>0.22568435582686405</v>
      </c>
      <c r="X69" s="37">
        <f>'SC-New (2)'!R50</f>
        <v>0.22900732109239455</v>
      </c>
      <c r="Y69" s="37">
        <f>'SC-New (2)'!S50</f>
        <v>0.23411342731821158</v>
      </c>
      <c r="Z69" s="37">
        <f>'SC-New (2)'!T50</f>
        <v>0.23500248623481418</v>
      </c>
      <c r="AA69" s="37">
        <f>'SC-New (2)'!U50</f>
        <v>0.22864990363233714</v>
      </c>
      <c r="AB69" s="37">
        <f>'SC-New (2)'!V50</f>
        <v>0.22936382303484082</v>
      </c>
      <c r="AC69" s="37">
        <f>'SC-New (2)'!W50</f>
        <v>0.23080922844187379</v>
      </c>
      <c r="AD69" s="37">
        <f>'SC-New (2)'!X50</f>
        <v>0.23305276816333045</v>
      </c>
      <c r="AE69" s="37">
        <f>'SC-New (2)'!Y50</f>
        <v>3.8620690935607547</v>
      </c>
      <c r="AF69" s="479">
        <f t="shared" si="2"/>
        <v>1.0733185872412989</v>
      </c>
      <c r="AG69" s="479">
        <f t="shared" si="3"/>
        <v>0.85366890965780484</v>
      </c>
      <c r="AH69" s="479">
        <f t="shared" si="4"/>
        <v>0.86247759025927351</v>
      </c>
      <c r="AI69" s="479">
        <f t="shared" si="5"/>
        <v>0.70341384655953076</v>
      </c>
      <c r="AJ69" s="479">
        <f t="shared" si="6"/>
        <v>0.64052182310278416</v>
      </c>
      <c r="AK69" s="479">
        <f t="shared" si="7"/>
        <v>0.65815011200284546</v>
      </c>
      <c r="AL69" s="479">
        <f t="shared" si="8"/>
        <v>0.54316496982275031</v>
      </c>
      <c r="AM69" s="479">
        <f t="shared" si="9"/>
        <v>0.61956191060445931</v>
      </c>
      <c r="AN69" s="479">
        <f t="shared" si="10"/>
        <v>0.68223124816761238</v>
      </c>
      <c r="AO69" s="479">
        <f t="shared" si="11"/>
        <v>0.99565731801471724</v>
      </c>
      <c r="AP69" s="479">
        <f t="shared" si="12"/>
        <v>1.0050827437491268</v>
      </c>
      <c r="AQ69" s="479">
        <f t="shared" si="13"/>
        <v>1.1033819320114413</v>
      </c>
      <c r="AR69" s="479"/>
      <c r="AS69" s="479">
        <f t="shared" si="14"/>
        <v>0.55993163030566262</v>
      </c>
      <c r="AT69" s="479">
        <f t="shared" si="15"/>
        <v>0.43033401265440924</v>
      </c>
      <c r="AU69" s="479">
        <f t="shared" si="16"/>
        <v>0.40108647570162925</v>
      </c>
      <c r="AV69" s="479">
        <f t="shared" si="17"/>
        <v>0.39344611683621805</v>
      </c>
      <c r="AW69" s="479">
        <f t="shared" si="18"/>
        <v>0.38226507884436772</v>
      </c>
      <c r="AX69" s="479">
        <f t="shared" si="19"/>
        <v>0.35748507048330508</v>
      </c>
      <c r="AY69" s="479">
        <f t="shared" si="20"/>
        <v>0.40782089502389868</v>
      </c>
      <c r="AZ69" s="479">
        <f t="shared" si="21"/>
        <v>0.36893405509214999</v>
      </c>
      <c r="BA69" s="479">
        <f t="shared" si="22"/>
        <v>0.42761760405616928</v>
      </c>
      <c r="BB69" s="479">
        <f t="shared" si="23"/>
        <v>0.42511034148829985</v>
      </c>
      <c r="BC69" s="479">
        <f t="shared" si="24"/>
        <v>0.53539849458566535</v>
      </c>
      <c r="BD69" s="479">
        <f t="shared" si="25"/>
        <v>0.57115491551968489</v>
      </c>
    </row>
    <row r="70" spans="1:56" ht="15">
      <c r="A70" s="63" t="str">
        <f>VLOOKUP(CONCATENATE($C70," - ",$B70),[2]ACHIEV!$B$12:$C$100,2,FALSE)</f>
        <v>LO20Fast</v>
      </c>
      <c r="B70" s="63" t="str">
        <f>'SC-New (2)'!$C$7</f>
        <v>New</v>
      </c>
      <c r="C70" s="63" t="str">
        <f>'SC-New (2)'!$C$8</f>
        <v>Lighting</v>
      </c>
      <c r="D70" s="63" t="s">
        <v>795</v>
      </c>
      <c r="E70" s="63" t="str">
        <f>'SC-New (2)'!$A$9</f>
        <v>Lighting</v>
      </c>
      <c r="F70" s="478">
        <f t="shared" si="1"/>
        <v>2.6990998985958756E-3</v>
      </c>
      <c r="G70" s="71">
        <f>'SC-New (2)'!A51</f>
        <v>10.331554133000125</v>
      </c>
      <c r="H70" s="71">
        <f>'SC-New (2)'!B51</f>
        <v>-97.483290128606981</v>
      </c>
      <c r="I70" s="1" t="str">
        <f>'SC-New (2)'!C51</f>
        <v>Single Family</v>
      </c>
      <c r="J70" s="1" t="str">
        <f>'SC-New (2)'!D51</f>
        <v>2017 - LEDGlobe665 to 1439 lumensANY</v>
      </c>
      <c r="K70" s="37">
        <f>'SC-New (2)'!E51</f>
        <v>0</v>
      </c>
      <c r="L70" s="37">
        <f>'SC-New (2)'!F51</f>
        <v>4.7275356945355507E-2</v>
      </c>
      <c r="M70" s="37">
        <f>'SC-New (2)'!G51</f>
        <v>5.7592184224748787E-2</v>
      </c>
      <c r="N70" s="37">
        <f>'SC-New (2)'!H51</f>
        <v>6.5350139125289253E-2</v>
      </c>
      <c r="O70" s="37">
        <f>'SC-New (2)'!I51</f>
        <v>7.180567011210047E-2</v>
      </c>
      <c r="P70" s="37">
        <f>'SC-New (2)'!J51</f>
        <v>7.518718817099633E-2</v>
      </c>
      <c r="Q70" s="37">
        <f>'SC-New (2)'!K51</f>
        <v>7.8731065681388671E-2</v>
      </c>
      <c r="R70" s="37">
        <f>'SC-New (2)'!L51</f>
        <v>8.3121996770400317E-2</v>
      </c>
      <c r="S70" s="37">
        <f>'SC-New (2)'!M51</f>
        <v>8.6245638333669147E-2</v>
      </c>
      <c r="T70" s="37">
        <f>'SC-New (2)'!N51</f>
        <v>9.117649041228941E-2</v>
      </c>
      <c r="U70" s="37">
        <f>'SC-New (2)'!O51</f>
        <v>9.4668452116468724E-2</v>
      </c>
      <c r="V70" s="37">
        <f>'SC-New (2)'!P51</f>
        <v>9.5648148473441733E-2</v>
      </c>
      <c r="W70" s="37">
        <f>'SC-New (2)'!Q51</f>
        <v>9.4778509328112062E-2</v>
      </c>
      <c r="X70" s="37">
        <f>'SC-New (2)'!R51</f>
        <v>9.6174023400242448E-2</v>
      </c>
      <c r="Y70" s="37">
        <f>'SC-New (2)'!S51</f>
        <v>9.8318386197481261E-2</v>
      </c>
      <c r="Z70" s="37">
        <f>'SC-New (2)'!T51</f>
        <v>9.8691755802617326E-2</v>
      </c>
      <c r="AA70" s="37">
        <f>'SC-New (2)'!U51</f>
        <v>9.6023922193856373E-2</v>
      </c>
      <c r="AB70" s="37">
        <f>'SC-New (2)'!V51</f>
        <v>9.6323740125417501E-2</v>
      </c>
      <c r="AC70" s="37">
        <f>'SC-New (2)'!W51</f>
        <v>9.6930753267074815E-2</v>
      </c>
      <c r="AD70" s="37">
        <f>'SC-New (2)'!X51</f>
        <v>9.7872951274725839E-2</v>
      </c>
      <c r="AE70" s="37">
        <f>'SC-New (2)'!Y51</f>
        <v>1.621916371955676</v>
      </c>
      <c r="AF70" s="479">
        <f t="shared" si="2"/>
        <v>0.73921002945803449</v>
      </c>
      <c r="AG70" s="479">
        <f t="shared" si="3"/>
        <v>0.58793412073249252</v>
      </c>
      <c r="AH70" s="479">
        <f t="shared" si="4"/>
        <v>0.59400078642178622</v>
      </c>
      <c r="AI70" s="479">
        <f t="shared" si="5"/>
        <v>0.48445128633513773</v>
      </c>
      <c r="AJ70" s="479">
        <f t="shared" si="6"/>
        <v>0.44113664046505252</v>
      </c>
      <c r="AK70" s="479">
        <f t="shared" si="7"/>
        <v>0.4532774979066459</v>
      </c>
      <c r="AL70" s="479">
        <f t="shared" si="8"/>
        <v>0.37408556799080311</v>
      </c>
      <c r="AM70" s="479">
        <f t="shared" si="9"/>
        <v>0.42670124568152651</v>
      </c>
      <c r="AN70" s="479">
        <f t="shared" si="10"/>
        <v>0.46986252455702143</v>
      </c>
      <c r="AO70" s="479">
        <f t="shared" si="11"/>
        <v>0.68572359048721321</v>
      </c>
      <c r="AP70" s="479">
        <f t="shared" si="12"/>
        <v>0.69221501746668568</v>
      </c>
      <c r="AQ70" s="479">
        <f t="shared" si="13"/>
        <v>0.75991508966784882</v>
      </c>
      <c r="AR70" s="479"/>
      <c r="AS70" s="479">
        <f t="shared" si="14"/>
        <v>0.38563300948377344</v>
      </c>
      <c r="AT70" s="479">
        <f t="shared" si="15"/>
        <v>0.29637725643853452</v>
      </c>
      <c r="AU70" s="479">
        <f t="shared" si="16"/>
        <v>0.27623405486777952</v>
      </c>
      <c r="AV70" s="479">
        <f t="shared" si="17"/>
        <v>0.27097202925012304</v>
      </c>
      <c r="AW70" s="479">
        <f t="shared" si="18"/>
        <v>0.26327148672567968</v>
      </c>
      <c r="AX70" s="479">
        <f t="shared" si="19"/>
        <v>0.24620513668917057</v>
      </c>
      <c r="AY70" s="479">
        <f t="shared" si="20"/>
        <v>0.28087214682367551</v>
      </c>
      <c r="AZ70" s="479">
        <f t="shared" si="21"/>
        <v>0.25409021792280639</v>
      </c>
      <c r="BA70" s="479">
        <f t="shared" si="22"/>
        <v>0.29450642656211723</v>
      </c>
      <c r="BB70" s="479">
        <f t="shared" si="23"/>
        <v>0.29277963858072437</v>
      </c>
      <c r="BC70" s="479">
        <f t="shared" si="24"/>
        <v>0.36873668420453914</v>
      </c>
      <c r="BD70" s="479">
        <f t="shared" si="25"/>
        <v>0.39336264828095202</v>
      </c>
    </row>
    <row r="71" spans="1:56" ht="15">
      <c r="A71" s="63" t="str">
        <f>VLOOKUP(CONCATENATE($C71," - ",$B71),[2]ACHIEV!$B$12:$C$100,2,FALSE)</f>
        <v>LO20Fast</v>
      </c>
      <c r="B71" s="63" t="str">
        <f>'SC-New (2)'!$C$7</f>
        <v>New</v>
      </c>
      <c r="C71" s="63" t="str">
        <f>'SC-New (2)'!$C$8</f>
        <v>Lighting</v>
      </c>
      <c r="D71" s="63" t="s">
        <v>795</v>
      </c>
      <c r="E71" s="63" t="str">
        <f>'SC-New (2)'!$A$9</f>
        <v>Lighting</v>
      </c>
      <c r="F71" s="478">
        <f t="shared" si="1"/>
        <v>2.920231287037374E-3</v>
      </c>
      <c r="G71" s="71">
        <f>'SC-New (2)'!A52</f>
        <v>11.177995908414712</v>
      </c>
      <c r="H71" s="71">
        <f>'SC-New (2)'!B52</f>
        <v>-118.66739310804593</v>
      </c>
      <c r="I71" s="1" t="str">
        <f>'SC-New (2)'!C52</f>
        <v>Single Family</v>
      </c>
      <c r="J71" s="1" t="str">
        <f>'SC-New (2)'!D52</f>
        <v>2017 - LEDGlobe1440 to 2600 lumensANY</v>
      </c>
      <c r="K71" s="37">
        <f>'SC-New (2)'!E52</f>
        <v>0</v>
      </c>
      <c r="L71" s="37">
        <f>'SC-New (2)'!F52</f>
        <v>3.8540830077383576E-3</v>
      </c>
      <c r="M71" s="37">
        <f>'SC-New (2)'!G52</f>
        <v>4.6951535205901401E-3</v>
      </c>
      <c r="N71" s="37">
        <f>'SC-New (2)'!H52</f>
        <v>5.3276141531250565E-3</v>
      </c>
      <c r="O71" s="37">
        <f>'SC-New (2)'!I52</f>
        <v>5.853895790955012E-3</v>
      </c>
      <c r="P71" s="37">
        <f>'SC-New (2)'!J52</f>
        <v>6.1295711561609291E-3</v>
      </c>
      <c r="Q71" s="37">
        <f>'SC-New (2)'!K52</f>
        <v>6.4184827366720347E-3</v>
      </c>
      <c r="R71" s="37">
        <f>'SC-New (2)'!L52</f>
        <v>6.7764496351107014E-3</v>
      </c>
      <c r="S71" s="37">
        <f>'SC-New (2)'!M52</f>
        <v>7.0311018397503202E-3</v>
      </c>
      <c r="T71" s="37">
        <f>'SC-New (2)'!N52</f>
        <v>7.4330853346998753E-3</v>
      </c>
      <c r="U71" s="37">
        <f>'SC-New (2)'!O52</f>
        <v>7.717764523548872E-3</v>
      </c>
      <c r="V71" s="37">
        <f>'SC-New (2)'!P52</f>
        <v>7.7976334304408323E-3</v>
      </c>
      <c r="W71" s="37">
        <f>'SC-New (2)'!Q52</f>
        <v>7.7267368435202238E-3</v>
      </c>
      <c r="X71" s="37">
        <f>'SC-New (2)'!R52</f>
        <v>7.8405049337045944E-3</v>
      </c>
      <c r="Y71" s="37">
        <f>'SC-New (2)'!S52</f>
        <v>8.0153222751964247E-3</v>
      </c>
      <c r="Z71" s="37">
        <f>'SC-New (2)'!T52</f>
        <v>8.0457609126545031E-3</v>
      </c>
      <c r="AA71" s="37">
        <f>'SC-New (2)'!U52</f>
        <v>7.8282680613390981E-3</v>
      </c>
      <c r="AB71" s="37">
        <f>'SC-New (2)'!V52</f>
        <v>7.8527104615684733E-3</v>
      </c>
      <c r="AC71" s="37">
        <f>'SC-New (2)'!W52</f>
        <v>7.9021966883449229E-3</v>
      </c>
      <c r="AD71" s="37">
        <f>'SC-New (2)'!X52</f>
        <v>7.979008574406617E-3</v>
      </c>
      <c r="AE71" s="37">
        <f>'SC-New (2)'!Y52</f>
        <v>0.132225343879527</v>
      </c>
      <c r="AF71" s="479">
        <f t="shared" si="2"/>
        <v>0.79977190056512937</v>
      </c>
      <c r="AG71" s="479">
        <f t="shared" si="3"/>
        <v>0.63610228542226255</v>
      </c>
      <c r="AH71" s="479">
        <f t="shared" si="4"/>
        <v>0.64266597984612883</v>
      </c>
      <c r="AI71" s="479">
        <f t="shared" si="5"/>
        <v>0.52414132731335006</v>
      </c>
      <c r="AJ71" s="479">
        <f t="shared" si="6"/>
        <v>0.47727800664760928</v>
      </c>
      <c r="AK71" s="479">
        <f t="shared" si="7"/>
        <v>0.49041353815233252</v>
      </c>
      <c r="AL71" s="479">
        <f t="shared" si="8"/>
        <v>0.40473358553500982</v>
      </c>
      <c r="AM71" s="479">
        <f t="shared" si="9"/>
        <v>0.46165995134349902</v>
      </c>
      <c r="AN71" s="479">
        <f t="shared" si="10"/>
        <v>0.50835733999011201</v>
      </c>
      <c r="AO71" s="479">
        <f t="shared" si="11"/>
        <v>0.74190343389738511</v>
      </c>
      <c r="AP71" s="479">
        <f t="shared" si="12"/>
        <v>0.74892668938075402</v>
      </c>
      <c r="AQ71" s="479">
        <f t="shared" si="13"/>
        <v>0.82217328135735079</v>
      </c>
      <c r="AR71" s="479"/>
      <c r="AS71" s="479">
        <f t="shared" si="14"/>
        <v>0.41722708381217544</v>
      </c>
      <c r="AT71" s="479">
        <f t="shared" si="15"/>
        <v>0.32065880090927812</v>
      </c>
      <c r="AU71" s="479">
        <f t="shared" si="16"/>
        <v>0.29886531061326499</v>
      </c>
      <c r="AV71" s="479">
        <f t="shared" si="17"/>
        <v>0.29317217867329254</v>
      </c>
      <c r="AW71" s="479">
        <f t="shared" si="18"/>
        <v>0.28484074743625698</v>
      </c>
      <c r="AX71" s="479">
        <f t="shared" si="19"/>
        <v>0.26637618843343092</v>
      </c>
      <c r="AY71" s="479">
        <f t="shared" si="20"/>
        <v>0.30388339136263259</v>
      </c>
      <c r="AZ71" s="479">
        <f t="shared" si="21"/>
        <v>0.27490727723502484</v>
      </c>
      <c r="BA71" s="479">
        <f t="shared" si="22"/>
        <v>0.3186346980071661</v>
      </c>
      <c r="BB71" s="479">
        <f t="shared" si="23"/>
        <v>0.31676643803947591</v>
      </c>
      <c r="BC71" s="479">
        <f t="shared" si="24"/>
        <v>0.3989464793254543</v>
      </c>
      <c r="BD71" s="479">
        <f t="shared" si="25"/>
        <v>0.42558999511633339</v>
      </c>
    </row>
    <row r="72" spans="1:56" ht="15">
      <c r="A72" s="63" t="str">
        <f>VLOOKUP(CONCATENATE($C72," - ",$B72),[2]ACHIEV!$B$12:$C$100,2,FALSE)</f>
        <v>LO20Fast</v>
      </c>
      <c r="B72" s="63" t="str">
        <f>'SC-New (2)'!$C$7</f>
        <v>New</v>
      </c>
      <c r="C72" s="63" t="str">
        <f>'SC-New (2)'!$C$8</f>
        <v>Lighting</v>
      </c>
      <c r="D72" s="63" t="s">
        <v>795</v>
      </c>
      <c r="E72" s="63" t="str">
        <f>'SC-New (2)'!$A$9</f>
        <v>Lighting</v>
      </c>
      <c r="F72" s="478">
        <f t="shared" si="1"/>
        <v>5.5704529633071051E-3</v>
      </c>
      <c r="G72" s="71">
        <f>'SC-New (2)'!A53</f>
        <v>21.322455076849025</v>
      </c>
      <c r="H72" s="71">
        <f>'SC-New (2)'!B53</f>
        <v>-49.256412709384371</v>
      </c>
      <c r="I72" s="1" t="str">
        <f>'SC-New (2)'!C53</f>
        <v>Single Family</v>
      </c>
      <c r="J72" s="1" t="str">
        <f>'SC-New (2)'!D53</f>
        <v>2017 - LEDReflectors and Outdoor250 to 664 lumensANY</v>
      </c>
      <c r="K72" s="37">
        <f>'SC-New (2)'!E53</f>
        <v>0</v>
      </c>
      <c r="L72" s="37">
        <f>'SC-New (2)'!F53</f>
        <v>5.089465563104642E-2</v>
      </c>
      <c r="M72" s="37">
        <f>'SC-New (2)'!G53</f>
        <v>6.2001316807536837E-2</v>
      </c>
      <c r="N72" s="37">
        <f>'SC-New (2)'!H53</f>
        <v>7.035320389155357E-2</v>
      </c>
      <c r="O72" s="37">
        <f>'SC-New (2)'!I53</f>
        <v>7.7302956314767871E-2</v>
      </c>
      <c r="P72" s="37">
        <f>'SC-New (2)'!J53</f>
        <v>8.0943356054458848E-2</v>
      </c>
      <c r="Q72" s="37">
        <f>'SC-New (2)'!K53</f>
        <v>8.4758545132745611E-2</v>
      </c>
      <c r="R72" s="37">
        <f>'SC-New (2)'!L53</f>
        <v>8.9485636372547625E-2</v>
      </c>
      <c r="S72" s="37">
        <f>'SC-New (2)'!M53</f>
        <v>9.2848417151995752E-2</v>
      </c>
      <c r="T72" s="37">
        <f>'SC-New (2)'!N53</f>
        <v>9.8156764560119583E-2</v>
      </c>
      <c r="U72" s="37">
        <f>'SC-New (2)'!O53</f>
        <v>0.10191606327078681</v>
      </c>
      <c r="V72" s="37">
        <f>'SC-New (2)'!P53</f>
        <v>0.10297076305377874</v>
      </c>
      <c r="W72" s="37">
        <f>'SC-New (2)'!Q53</f>
        <v>0.10203454622360249</v>
      </c>
      <c r="X72" s="37">
        <f>'SC-New (2)'!R53</f>
        <v>0.10353689782322024</v>
      </c>
      <c r="Y72" s="37">
        <f>'SC-New (2)'!S53</f>
        <v>0.10584542838047538</v>
      </c>
      <c r="Z72" s="37">
        <f>'SC-New (2)'!T53</f>
        <v>0.10624738235193804</v>
      </c>
      <c r="AA72" s="37">
        <f>'SC-New (2)'!U53</f>
        <v>0.103375305194366</v>
      </c>
      <c r="AB72" s="37">
        <f>'SC-New (2)'!V53</f>
        <v>0.10369807653581675</v>
      </c>
      <c r="AC72" s="37">
        <f>'SC-New (2)'!W53</f>
        <v>0.10435156128568079</v>
      </c>
      <c r="AD72" s="37">
        <f>'SC-New (2)'!X53</f>
        <v>0.10536589192714128</v>
      </c>
      <c r="AE72" s="37">
        <f>'SC-New (2)'!Y53</f>
        <v>1.7460867679635788</v>
      </c>
      <c r="AF72" s="479">
        <f t="shared" si="2"/>
        <v>1.5255955147280642</v>
      </c>
      <c r="AG72" s="479">
        <f t="shared" si="3"/>
        <v>1.2133894587478662</v>
      </c>
      <c r="AH72" s="479">
        <f t="shared" si="4"/>
        <v>1.2259099571124876</v>
      </c>
      <c r="AI72" s="479">
        <f t="shared" si="5"/>
        <v>0.99981964541118984</v>
      </c>
      <c r="AJ72" s="479">
        <f t="shared" si="6"/>
        <v>0.91042606736425147</v>
      </c>
      <c r="AK72" s="479">
        <f t="shared" si="7"/>
        <v>0.93548259652339649</v>
      </c>
      <c r="AL72" s="479">
        <f t="shared" si="8"/>
        <v>0.77204480717028579</v>
      </c>
      <c r="AM72" s="479">
        <f t="shared" si="9"/>
        <v>0.88063402902945986</v>
      </c>
      <c r="AN72" s="479">
        <f t="shared" si="10"/>
        <v>0.96971108539821449</v>
      </c>
      <c r="AO72" s="479">
        <f t="shared" si="11"/>
        <v>1.4152091994172629</v>
      </c>
      <c r="AP72" s="479">
        <f t="shared" si="12"/>
        <v>1.4286063280943841</v>
      </c>
      <c r="AQ72" s="479">
        <f t="shared" si="13"/>
        <v>1.5683270060897629</v>
      </c>
      <c r="AR72" s="479"/>
      <c r="AS72" s="479">
        <f t="shared" si="14"/>
        <v>0.7958766333715297</v>
      </c>
      <c r="AT72" s="479">
        <f t="shared" si="15"/>
        <v>0.61166893720522297</v>
      </c>
      <c r="AU72" s="479">
        <f t="shared" si="16"/>
        <v>0.57009702023442965</v>
      </c>
      <c r="AV72" s="479">
        <f t="shared" si="17"/>
        <v>0.55923715313202227</v>
      </c>
      <c r="AW72" s="479">
        <f t="shared" si="18"/>
        <v>0.5433446291292342</v>
      </c>
      <c r="AX72" s="479">
        <f t="shared" si="19"/>
        <v>0.50812277602807099</v>
      </c>
      <c r="AY72" s="479">
        <f t="shared" si="20"/>
        <v>0.57966920135053146</v>
      </c>
      <c r="AZ72" s="479">
        <f t="shared" si="21"/>
        <v>0.52439615447792887</v>
      </c>
      <c r="BA72" s="479">
        <f t="shared" si="22"/>
        <v>0.60780788343898273</v>
      </c>
      <c r="BB72" s="479">
        <f t="shared" si="23"/>
        <v>0.60424410603565037</v>
      </c>
      <c r="BC72" s="479">
        <f t="shared" si="24"/>
        <v>0.7610056805514156</v>
      </c>
      <c r="BD72" s="479">
        <f t="shared" si="25"/>
        <v>0.81182920680737636</v>
      </c>
    </row>
    <row r="73" spans="1:56" ht="15">
      <c r="A73" s="63" t="str">
        <f>VLOOKUP(CONCATENATE($C73," - ",$B73),[2]ACHIEV!$B$12:$C$100,2,FALSE)</f>
        <v>LO20Fast</v>
      </c>
      <c r="B73" s="63" t="str">
        <f>'SC-New (2)'!$C$7</f>
        <v>New</v>
      </c>
      <c r="C73" s="63" t="str">
        <f>'SC-New (2)'!$C$8</f>
        <v>Lighting</v>
      </c>
      <c r="D73" s="63" t="s">
        <v>795</v>
      </c>
      <c r="E73" s="63" t="str">
        <f>'SC-New (2)'!$A$9</f>
        <v>Lighting</v>
      </c>
      <c r="F73" s="478">
        <f t="shared" si="1"/>
        <v>4.2475887264408763E-3</v>
      </c>
      <c r="G73" s="71">
        <f>'SC-New (2)'!A54</f>
        <v>16.258824982644914</v>
      </c>
      <c r="H73" s="71">
        <f>'SC-New (2)'!B54</f>
        <v>-57.558538168362972</v>
      </c>
      <c r="I73" s="1" t="str">
        <f>'SC-New (2)'!C54</f>
        <v>Single Family</v>
      </c>
      <c r="J73" s="1" t="str">
        <f>'SC-New (2)'!D54</f>
        <v>2017 - LEDReflectors and Outdoor665 to 1439 lumensANY</v>
      </c>
      <c r="K73" s="37">
        <f>'SC-New (2)'!E54</f>
        <v>0</v>
      </c>
      <c r="L73" s="37">
        <f>'SC-New (2)'!F54</f>
        <v>0.39214576071198215</v>
      </c>
      <c r="M73" s="37">
        <f>'SC-New (2)'!G54</f>
        <v>0.47772311735231682</v>
      </c>
      <c r="N73" s="37">
        <f>'SC-New (2)'!H54</f>
        <v>0.54207480759038651</v>
      </c>
      <c r="O73" s="37">
        <f>'SC-New (2)'!I54</f>
        <v>0.59562298307109129</v>
      </c>
      <c r="P73" s="37">
        <f>'SC-New (2)'!J54</f>
        <v>0.62367243752787671</v>
      </c>
      <c r="Q73" s="37">
        <f>'SC-New (2)'!K54</f>
        <v>0.65306865221514487</v>
      </c>
      <c r="R73" s="37">
        <f>'SC-New (2)'!L54</f>
        <v>0.68949111675887398</v>
      </c>
      <c r="S73" s="37">
        <f>'SC-New (2)'!M54</f>
        <v>0.71540150382238121</v>
      </c>
      <c r="T73" s="37">
        <f>'SC-New (2)'!N54</f>
        <v>0.75630257499914288</v>
      </c>
      <c r="U73" s="37">
        <f>'SC-New (2)'!O54</f>
        <v>0.7852681517254132</v>
      </c>
      <c r="V73" s="37">
        <f>'SC-New (2)'!P54</f>
        <v>0.79339466409878368</v>
      </c>
      <c r="W73" s="37">
        <f>'SC-New (2)'!Q54</f>
        <v>0.78618106855503334</v>
      </c>
      <c r="X73" s="37">
        <f>'SC-New (2)'!R54</f>
        <v>0.79775675962876536</v>
      </c>
      <c r="Y73" s="37">
        <f>'SC-New (2)'!S54</f>
        <v>0.8155440982064025</v>
      </c>
      <c r="Z73" s="37">
        <f>'SC-New (2)'!T54</f>
        <v>0.81864117281975857</v>
      </c>
      <c r="AA73" s="37">
        <f>'SC-New (2)'!U54</f>
        <v>0.79651168067928024</v>
      </c>
      <c r="AB73" s="37">
        <f>'SC-New (2)'!V54</f>
        <v>0.79899864933364761</v>
      </c>
      <c r="AC73" s="37">
        <f>'SC-New (2)'!W54</f>
        <v>0.80403378064894426</v>
      </c>
      <c r="AD73" s="37">
        <f>'SC-New (2)'!X54</f>
        <v>0.81184924685216486</v>
      </c>
      <c r="AE73" s="37">
        <f>'SC-New (2)'!Y54</f>
        <v>13.45368222659739</v>
      </c>
      <c r="AF73" s="479">
        <f t="shared" si="2"/>
        <v>1.1632989906121636</v>
      </c>
      <c r="AG73" s="479">
        <f t="shared" si="3"/>
        <v>0.92523524024153736</v>
      </c>
      <c r="AH73" s="479">
        <f t="shared" si="4"/>
        <v>0.93478238623725807</v>
      </c>
      <c r="AI73" s="479">
        <f t="shared" si="5"/>
        <v>0.76238372037188906</v>
      </c>
      <c r="AJ73" s="479">
        <f t="shared" si="6"/>
        <v>0.69421921798230934</v>
      </c>
      <c r="AK73" s="479">
        <f t="shared" si="7"/>
        <v>0.71332535378153095</v>
      </c>
      <c r="AL73" s="479">
        <f t="shared" si="8"/>
        <v>0.58870056723301578</v>
      </c>
      <c r="AM73" s="479">
        <f t="shared" si="9"/>
        <v>0.67150215583276607</v>
      </c>
      <c r="AN73" s="479">
        <f t="shared" si="10"/>
        <v>0.73942530371836135</v>
      </c>
      <c r="AO73" s="479">
        <f t="shared" si="11"/>
        <v>1.0791270800770567</v>
      </c>
      <c r="AP73" s="479">
        <f t="shared" si="12"/>
        <v>1.0893426753096991</v>
      </c>
      <c r="AQ73" s="479">
        <f t="shared" si="13"/>
        <v>1.1958826605879354</v>
      </c>
      <c r="AR73" s="479"/>
      <c r="AS73" s="479">
        <f t="shared" si="14"/>
        <v>0.60687284100854089</v>
      </c>
      <c r="AT73" s="479">
        <f t="shared" si="15"/>
        <v>0.46641055926707059</v>
      </c>
      <c r="AU73" s="479">
        <f t="shared" si="16"/>
        <v>0.4347110893990323</v>
      </c>
      <c r="AV73" s="479">
        <f t="shared" si="17"/>
        <v>0.42643021002015935</v>
      </c>
      <c r="AW73" s="479">
        <f t="shared" si="18"/>
        <v>0.41431182283807694</v>
      </c>
      <c r="AX73" s="479">
        <f t="shared" si="19"/>
        <v>0.38745441157505511</v>
      </c>
      <c r="AY73" s="479">
        <f t="shared" si="20"/>
        <v>0.44201008085700272</v>
      </c>
      <c r="AZ73" s="479">
        <f t="shared" si="21"/>
        <v>0.39986320836412004</v>
      </c>
      <c r="BA73" s="479">
        <f t="shared" si="22"/>
        <v>0.46346642374385677</v>
      </c>
      <c r="BB73" s="479">
        <f t="shared" si="23"/>
        <v>0.46074896776287089</v>
      </c>
      <c r="BC73" s="479">
        <f t="shared" si="24"/>
        <v>0.58028299866454724</v>
      </c>
      <c r="BD73" s="479">
        <f t="shared" si="25"/>
        <v>0.61903701715905535</v>
      </c>
    </row>
    <row r="74" spans="1:56" ht="15">
      <c r="A74" s="63" t="str">
        <f>VLOOKUP(CONCATENATE($C74," - ",$B74),[2]ACHIEV!$B$12:$C$100,2,FALSE)</f>
        <v>LO20Fast</v>
      </c>
      <c r="B74" s="63" t="str">
        <f>'SC-New (2)'!$C$7</f>
        <v>New</v>
      </c>
      <c r="C74" s="63" t="str">
        <f>'SC-New (2)'!$C$8</f>
        <v>Lighting</v>
      </c>
      <c r="D74" s="63" t="s">
        <v>795</v>
      </c>
      <c r="E74" s="63" t="str">
        <f>'SC-New (2)'!$A$9</f>
        <v>Lighting</v>
      </c>
      <c r="F74" s="478">
        <f t="shared" si="1"/>
        <v>2.2739503245659785E-2</v>
      </c>
      <c r="G74" s="71">
        <f>'SC-New (2)'!A55</f>
        <v>87.041761167225999</v>
      </c>
      <c r="H74" s="71">
        <f>'SC-New (2)'!B55</f>
        <v>-31.342168529326845</v>
      </c>
      <c r="I74" s="1" t="str">
        <f>'SC-New (2)'!C55</f>
        <v>Single Family</v>
      </c>
      <c r="J74" s="1" t="str">
        <f>'SC-New (2)'!D55</f>
        <v>2017 - LEDReflectors and Outdoor1440 to 2600 lumensANY</v>
      </c>
      <c r="K74" s="37">
        <f>'SC-New (2)'!E55</f>
        <v>0</v>
      </c>
      <c r="L74" s="37">
        <f>'SC-New (2)'!F55</f>
        <v>0.17251943520505164</v>
      </c>
      <c r="M74" s="37">
        <f>'SC-New (2)'!G55</f>
        <v>0.21016808199171241</v>
      </c>
      <c r="N74" s="37">
        <f>'SC-New (2)'!H55</f>
        <v>0.2384787724712053</v>
      </c>
      <c r="O74" s="37">
        <f>'SC-New (2)'!I55</f>
        <v>0.26203659692255071</v>
      </c>
      <c r="P74" s="37">
        <f>'SC-New (2)'!J55</f>
        <v>0.27437659017380656</v>
      </c>
      <c r="Q74" s="37">
        <f>'SC-New (2)'!K55</f>
        <v>0.28730907310006909</v>
      </c>
      <c r="R74" s="37">
        <f>'SC-New (2)'!L55</f>
        <v>0.30333266341110976</v>
      </c>
      <c r="S74" s="37">
        <f>'SC-New (2)'!M55</f>
        <v>0.31473160173961467</v>
      </c>
      <c r="T74" s="37">
        <f>'SC-New (2)'!N55</f>
        <v>0.33272549688178121</v>
      </c>
      <c r="U74" s="37">
        <f>'SC-New (2)'!O55</f>
        <v>0.34546852622916452</v>
      </c>
      <c r="V74" s="37">
        <f>'SC-New (2)'!P55</f>
        <v>0.34904367982076595</v>
      </c>
      <c r="W74" s="37">
        <f>'SC-New (2)'!Q55</f>
        <v>0.3458701521336478</v>
      </c>
      <c r="X74" s="37">
        <f>'SC-New (2)'!R55</f>
        <v>0.35096272710506304</v>
      </c>
      <c r="Y74" s="37">
        <f>'SC-New (2)'!S55</f>
        <v>0.35878803573429185</v>
      </c>
      <c r="Z74" s="37">
        <f>'SC-New (2)'!T55</f>
        <v>0.3601505534932854</v>
      </c>
      <c r="AA74" s="37">
        <f>'SC-New (2)'!U55</f>
        <v>0.35041497078924599</v>
      </c>
      <c r="AB74" s="37">
        <f>'SC-New (2)'!V55</f>
        <v>0.35150908035413109</v>
      </c>
      <c r="AC74" s="37">
        <f>'SC-New (2)'!W55</f>
        <v>0.35372422099245165</v>
      </c>
      <c r="AD74" s="37">
        <f>'SC-New (2)'!X55</f>
        <v>0.35716253386059482</v>
      </c>
      <c r="AE74" s="37">
        <f>'SC-New (2)'!Y55</f>
        <v>5.918772792409543</v>
      </c>
      <c r="AF74" s="479">
        <f t="shared" si="2"/>
        <v>6.2277312791681956</v>
      </c>
      <c r="AG74" s="479">
        <f t="shared" si="3"/>
        <v>4.9532549179026795</v>
      </c>
      <c r="AH74" s="479">
        <f t="shared" si="4"/>
        <v>5.0043656471512685</v>
      </c>
      <c r="AI74" s="479">
        <f t="shared" si="5"/>
        <v>4.0814278877609365</v>
      </c>
      <c r="AJ74" s="479">
        <f t="shared" si="6"/>
        <v>3.7165086304708308</v>
      </c>
      <c r="AK74" s="479">
        <f t="shared" si="7"/>
        <v>3.8187934948961253</v>
      </c>
      <c r="AL74" s="479">
        <f t="shared" si="8"/>
        <v>3.1516136145633622</v>
      </c>
      <c r="AM74" s="479">
        <f t="shared" si="9"/>
        <v>3.594892640376083</v>
      </c>
      <c r="AN74" s="479">
        <f t="shared" si="10"/>
        <v>3.9585198042267882</v>
      </c>
      <c r="AO74" s="479">
        <f t="shared" si="11"/>
        <v>5.777116222938341</v>
      </c>
      <c r="AP74" s="479">
        <f t="shared" si="12"/>
        <v>5.831805500999323</v>
      </c>
      <c r="AQ74" s="479">
        <f t="shared" si="13"/>
        <v>6.4021682402038298</v>
      </c>
      <c r="AR74" s="479"/>
      <c r="AS74" s="479">
        <f t="shared" si="14"/>
        <v>3.2488990405103846</v>
      </c>
      <c r="AT74" s="479">
        <f t="shared" si="15"/>
        <v>2.4969329917094965</v>
      </c>
      <c r="AU74" s="479">
        <f t="shared" si="16"/>
        <v>2.3272296036524454</v>
      </c>
      <c r="AV74" s="479">
        <f t="shared" si="17"/>
        <v>2.2828978437669774</v>
      </c>
      <c r="AW74" s="479">
        <f t="shared" si="18"/>
        <v>2.2180219524303819</v>
      </c>
      <c r="AX74" s="479">
        <f t="shared" si="19"/>
        <v>2.0742405672920801</v>
      </c>
      <c r="AY74" s="479">
        <f t="shared" si="20"/>
        <v>2.3663048180006183</v>
      </c>
      <c r="AZ74" s="479">
        <f t="shared" si="21"/>
        <v>2.1406711689892717</v>
      </c>
      <c r="BA74" s="479">
        <f t="shared" si="22"/>
        <v>2.4811715365410532</v>
      </c>
      <c r="BB74" s="479">
        <f t="shared" si="23"/>
        <v>2.4666236122764214</v>
      </c>
      <c r="BC74" s="479">
        <f t="shared" si="24"/>
        <v>3.1065500879107617</v>
      </c>
      <c r="BD74" s="479">
        <f t="shared" si="25"/>
        <v>3.3140200634883259</v>
      </c>
    </row>
    <row r="75" spans="1:56" ht="15">
      <c r="A75" s="63" t="str">
        <f>VLOOKUP(CONCATENATE($C75," - ",$B75),[2]ACHIEV!$B$12:$C$100,2,FALSE)</f>
        <v>LO20Fast</v>
      </c>
      <c r="B75" s="63" t="str">
        <f>'SC-New (2)'!$C$7</f>
        <v>New</v>
      </c>
      <c r="C75" s="63" t="str">
        <f>'SC-New (2)'!$C$8</f>
        <v>Lighting</v>
      </c>
      <c r="D75" s="63" t="s">
        <v>795</v>
      </c>
      <c r="E75" s="63" t="str">
        <f>'SC-New (2)'!$A$9</f>
        <v>Lighting</v>
      </c>
      <c r="F75" s="478">
        <f t="shared" si="1"/>
        <v>1.3238383828380332E-2</v>
      </c>
      <c r="G75" s="71">
        <f>'SC-New (2)'!A56</f>
        <v>50.673589083344737</v>
      </c>
      <c r="H75" s="71">
        <f>'SC-New (2)'!B56</f>
        <v>-6.4266835469852737</v>
      </c>
      <c r="I75" s="1" t="str">
        <f>'SC-New (2)'!C56</f>
        <v>Single Family</v>
      </c>
      <c r="J75" s="1" t="str">
        <f>'SC-New (2)'!D56</f>
        <v>2017 - LEDThree-Way250 to 664 lumensANY</v>
      </c>
      <c r="K75" s="37">
        <f>'SC-New (2)'!E56</f>
        <v>0</v>
      </c>
      <c r="L75" s="37">
        <f>'SC-New (2)'!F56</f>
        <v>1.575986569272024E-3</v>
      </c>
      <c r="M75" s="37">
        <f>'SC-New (2)'!G56</f>
        <v>1.9199116558370319E-3</v>
      </c>
      <c r="N75" s="37">
        <f>'SC-New (2)'!H56</f>
        <v>2.1785333462539256E-3</v>
      </c>
      <c r="O75" s="37">
        <f>'SC-New (2)'!I56</f>
        <v>2.3937370123942683E-3</v>
      </c>
      <c r="P75" s="37">
        <f>'SC-New (2)'!J56</f>
        <v>2.506464390650357E-3</v>
      </c>
      <c r="Q75" s="37">
        <f>'SC-New (2)'!K56</f>
        <v>2.6246042360243268E-3</v>
      </c>
      <c r="R75" s="37">
        <f>'SC-New (2)'!L56</f>
        <v>2.7709817330970623E-3</v>
      </c>
      <c r="S75" s="37">
        <f>'SC-New (2)'!M56</f>
        <v>2.8751124571997216E-3</v>
      </c>
      <c r="T75" s="37">
        <f>'SC-New (2)'!N56</f>
        <v>3.0394889347788302E-3</v>
      </c>
      <c r="U75" s="37">
        <f>'SC-New (2)'!O56</f>
        <v>3.1558980980678553E-3</v>
      </c>
      <c r="V75" s="37">
        <f>'SC-New (2)'!P56</f>
        <v>3.1885575722700034E-3</v>
      </c>
      <c r="W75" s="37">
        <f>'SC-New (2)'!Q56</f>
        <v>3.1595670008241457E-3</v>
      </c>
      <c r="X75" s="37">
        <f>'SC-New (2)'!R56</f>
        <v>3.2060883086896738E-3</v>
      </c>
      <c r="Y75" s="37">
        <f>'SC-New (2)'!S56</f>
        <v>3.2775734795367434E-3</v>
      </c>
      <c r="Z75" s="37">
        <f>'SC-New (2)'!T56</f>
        <v>3.2900202492935327E-3</v>
      </c>
      <c r="AA75" s="37">
        <f>'SC-New (2)'!U56</f>
        <v>3.2010844863902587E-3</v>
      </c>
      <c r="AB75" s="37">
        <f>'SC-New (2)'!V56</f>
        <v>3.2110793137992491E-3</v>
      </c>
      <c r="AC75" s="37">
        <f>'SC-New (2)'!W56</f>
        <v>3.2313148999573681E-3</v>
      </c>
      <c r="AD75" s="37">
        <f>'SC-New (2)'!X56</f>
        <v>3.2627243170743904E-3</v>
      </c>
      <c r="AE75" s="37">
        <f>'SC-New (2)'!Y56</f>
        <v>5.4068728061410776E-2</v>
      </c>
      <c r="AF75" s="479">
        <f t="shared" si="2"/>
        <v>3.6256331619458151</v>
      </c>
      <c r="AG75" s="479">
        <f t="shared" si="3"/>
        <v>2.8836641282181006</v>
      </c>
      <c r="AH75" s="479">
        <f t="shared" si="4"/>
        <v>2.9134195474210416</v>
      </c>
      <c r="AI75" s="479">
        <f t="shared" si="5"/>
        <v>2.3761077083488051</v>
      </c>
      <c r="AJ75" s="479">
        <f t="shared" si="6"/>
        <v>2.1636606226678121</v>
      </c>
      <c r="AK75" s="479">
        <f t="shared" si="7"/>
        <v>2.2232083744576121</v>
      </c>
      <c r="AL75" s="479">
        <f t="shared" si="8"/>
        <v>1.83479253076042</v>
      </c>
      <c r="AM75" s="479">
        <f t="shared" si="9"/>
        <v>2.0928587612924954</v>
      </c>
      <c r="AN75" s="479">
        <f t="shared" si="10"/>
        <v>2.3045536217068179</v>
      </c>
      <c r="AO75" s="479">
        <f t="shared" si="11"/>
        <v>3.3632960735418895</v>
      </c>
      <c r="AP75" s="479">
        <f t="shared" si="12"/>
        <v>3.3951348365283454</v>
      </c>
      <c r="AQ75" s="479">
        <f t="shared" si="13"/>
        <v>3.7271861034986045</v>
      </c>
      <c r="AR75" s="479"/>
      <c r="AS75" s="479">
        <f t="shared" si="14"/>
        <v>1.8914297314802717</v>
      </c>
      <c r="AT75" s="479">
        <f t="shared" si="15"/>
        <v>1.4536534497210483</v>
      </c>
      <c r="AU75" s="479">
        <f t="shared" si="16"/>
        <v>1.3548562788327785</v>
      </c>
      <c r="AV75" s="479">
        <f t="shared" si="17"/>
        <v>1.3290474101512062</v>
      </c>
      <c r="AW75" s="479">
        <f t="shared" si="18"/>
        <v>1.291278249521628</v>
      </c>
      <c r="AX75" s="479">
        <f t="shared" si="19"/>
        <v>1.2075722361019934</v>
      </c>
      <c r="AY75" s="479">
        <f t="shared" si="20"/>
        <v>1.377604914989379</v>
      </c>
      <c r="AZ75" s="479">
        <f t="shared" si="21"/>
        <v>1.2462465111605538</v>
      </c>
      <c r="BA75" s="479">
        <f t="shared" si="22"/>
        <v>1.4444775151828353</v>
      </c>
      <c r="BB75" s="479">
        <f t="shared" si="23"/>
        <v>1.4360080687204035</v>
      </c>
      <c r="BC75" s="479">
        <f t="shared" si="24"/>
        <v>1.8085576453259091</v>
      </c>
      <c r="BD75" s="479">
        <f t="shared" si="25"/>
        <v>1.9293416017689646</v>
      </c>
    </row>
    <row r="76" spans="1:56" ht="15">
      <c r="A76" s="63" t="str">
        <f>VLOOKUP(CONCATENATE($C76," - ",$B76),[2]ACHIEV!$B$12:$C$100,2,FALSE)</f>
        <v>LO20Fast</v>
      </c>
      <c r="B76" s="63" t="str">
        <f>'SC-New (2)'!$C$7</f>
        <v>New</v>
      </c>
      <c r="C76" s="63" t="str">
        <f>'SC-New (2)'!$C$8</f>
        <v>Lighting</v>
      </c>
      <c r="D76" s="63" t="s">
        <v>795</v>
      </c>
      <c r="E76" s="63" t="str">
        <f>'SC-New (2)'!$A$9</f>
        <v>Lighting</v>
      </c>
      <c r="F76" s="478">
        <f t="shared" si="1"/>
        <v>1.4259875898113245E-2</v>
      </c>
      <c r="G76" s="71">
        <f>'SC-New (2)'!A57</f>
        <v>54.583633546821666</v>
      </c>
      <c r="H76" s="71">
        <f>'SC-New (2)'!B57</f>
        <v>-12.334283459818346</v>
      </c>
      <c r="I76" s="1" t="str">
        <f>'SC-New (2)'!C57</f>
        <v>Single Family</v>
      </c>
      <c r="J76" s="1" t="str">
        <f>'SC-New (2)'!D57</f>
        <v>2017 - LEDThree-Way665 to 1439 lumensANY</v>
      </c>
      <c r="K76" s="37">
        <f>'SC-New (2)'!E57</f>
        <v>0</v>
      </c>
      <c r="L76" s="37">
        <f>'SC-New (2)'!F57</f>
        <v>2.0954090883602155E-2</v>
      </c>
      <c r="M76" s="37">
        <f>'SC-New (2)'!G57</f>
        <v>2.5526869396786302E-2</v>
      </c>
      <c r="N76" s="37">
        <f>'SC-New (2)'!H57</f>
        <v>2.8965466216789422E-2</v>
      </c>
      <c r="O76" s="37">
        <f>'SC-New (2)'!I57</f>
        <v>3.1826783227169836E-2</v>
      </c>
      <c r="P76" s="37">
        <f>'SC-New (2)'!J57</f>
        <v>3.3325590244376445E-2</v>
      </c>
      <c r="Q76" s="37">
        <f>'SC-New (2)'!K57</f>
        <v>3.4896360646363027E-2</v>
      </c>
      <c r="R76" s="37">
        <f>'SC-New (2)'!L57</f>
        <v>3.6842574806292765E-2</v>
      </c>
      <c r="S76" s="37">
        <f>'SC-New (2)'!M57</f>
        <v>3.8227081945608248E-2</v>
      </c>
      <c r="T76" s="37">
        <f>'SC-New (2)'!N57</f>
        <v>4.0412607963073006E-2</v>
      </c>
      <c r="U76" s="37">
        <f>'SC-New (2)'!O57</f>
        <v>4.1960367464836425E-2</v>
      </c>
      <c r="V76" s="37">
        <f>'SC-New (2)'!P57</f>
        <v>4.2394603139166182E-2</v>
      </c>
      <c r="W76" s="37">
        <f>'SC-New (2)'!Q57</f>
        <v>4.2009148668494728E-2</v>
      </c>
      <c r="X76" s="37">
        <f>'SC-New (2)'!R57</f>
        <v>4.2627689290632514E-2</v>
      </c>
      <c r="Y76" s="37">
        <f>'SC-New (2)'!S57</f>
        <v>4.3578145846522608E-2</v>
      </c>
      <c r="Z76" s="37">
        <f>'SC-New (2)'!T57</f>
        <v>4.3743636308038084E-2</v>
      </c>
      <c r="AA76" s="37">
        <f>'SC-New (2)'!U57</f>
        <v>4.2561159188617886E-2</v>
      </c>
      <c r="AB76" s="37">
        <f>'SC-New (2)'!V57</f>
        <v>4.2694048977133435E-2</v>
      </c>
      <c r="AC76" s="37">
        <f>'SC-New (2)'!W57</f>
        <v>4.2963098421911414E-2</v>
      </c>
      <c r="AD76" s="37">
        <f>'SC-New (2)'!X57</f>
        <v>4.33807135169278E-2</v>
      </c>
      <c r="AE76" s="37">
        <f>'SC-New (2)'!Y57</f>
        <v>0.71889003615234248</v>
      </c>
      <c r="AF76" s="479">
        <f t="shared" si="2"/>
        <v>3.9053920487329368</v>
      </c>
      <c r="AG76" s="479">
        <f t="shared" si="3"/>
        <v>3.1061716545849691</v>
      </c>
      <c r="AH76" s="479">
        <f t="shared" si="4"/>
        <v>3.1382230432311156</v>
      </c>
      <c r="AI76" s="479">
        <f t="shared" si="5"/>
        <v>2.5594514769216872</v>
      </c>
      <c r="AJ76" s="479">
        <f t="shared" si="6"/>
        <v>2.3306116792545248</v>
      </c>
      <c r="AK76" s="479">
        <f t="shared" si="7"/>
        <v>2.3947542182186701</v>
      </c>
      <c r="AL76" s="479">
        <f t="shared" si="8"/>
        <v>1.9763676689399765</v>
      </c>
      <c r="AM76" s="479">
        <f t="shared" si="9"/>
        <v>2.2543466479896805</v>
      </c>
      <c r="AN76" s="479">
        <f t="shared" si="10"/>
        <v>2.4823761776445838</v>
      </c>
      <c r="AO76" s="479">
        <f t="shared" si="11"/>
        <v>3.6228126664904727</v>
      </c>
      <c r="AP76" s="479">
        <f t="shared" si="12"/>
        <v>3.6571081526179396</v>
      </c>
      <c r="AQ76" s="479">
        <f t="shared" si="13"/>
        <v>4.0147809562011307</v>
      </c>
      <c r="AR76" s="479"/>
      <c r="AS76" s="479">
        <f t="shared" si="14"/>
        <v>2.0373750746740664</v>
      </c>
      <c r="AT76" s="479">
        <f t="shared" si="15"/>
        <v>1.5658193674251897</v>
      </c>
      <c r="AU76" s="479">
        <f t="shared" si="16"/>
        <v>1.4593988697107205</v>
      </c>
      <c r="AV76" s="479">
        <f t="shared" si="17"/>
        <v>1.4315985529015838</v>
      </c>
      <c r="AW76" s="479">
        <f t="shared" si="18"/>
        <v>1.3909150714180603</v>
      </c>
      <c r="AX76" s="479">
        <f t="shared" si="19"/>
        <v>1.3007501858275035</v>
      </c>
      <c r="AY76" s="479">
        <f t="shared" si="20"/>
        <v>1.4839028222059658</v>
      </c>
      <c r="AZ76" s="479">
        <f t="shared" si="21"/>
        <v>1.3424086216255566</v>
      </c>
      <c r="BA76" s="479">
        <f t="shared" si="22"/>
        <v>1.5559354050427407</v>
      </c>
      <c r="BB76" s="479">
        <f t="shared" si="23"/>
        <v>1.5468124443365345</v>
      </c>
      <c r="BC76" s="479">
        <f t="shared" si="24"/>
        <v>1.9481084633339767</v>
      </c>
      <c r="BD76" s="479">
        <f t="shared" si="25"/>
        <v>2.0782122774920686</v>
      </c>
    </row>
    <row r="77" spans="1:56" ht="15">
      <c r="A77" s="63" t="str">
        <f>VLOOKUP(CONCATENATE($C77," - ",$B77),[2]ACHIEV!$B$12:$C$100,2,FALSE)</f>
        <v>LO20Fast</v>
      </c>
      <c r="B77" s="63" t="str">
        <f>'SC-New (2)'!$C$7</f>
        <v>New</v>
      </c>
      <c r="C77" s="63" t="str">
        <f>'SC-New (2)'!$C$8</f>
        <v>Lighting</v>
      </c>
      <c r="D77" s="63" t="s">
        <v>795</v>
      </c>
      <c r="E77" s="63" t="str">
        <f>'SC-New (2)'!$A$9</f>
        <v>Lighting</v>
      </c>
      <c r="F77" s="478">
        <f t="shared" si="1"/>
        <v>1.2760440721528607E-2</v>
      </c>
      <c r="G77" s="71">
        <f>'SC-New (2)'!A58</f>
        <v>48.844129164687544</v>
      </c>
      <c r="H77" s="71">
        <f>'SC-New (2)'!B58</f>
        <v>-29.993229849727555</v>
      </c>
      <c r="I77" s="1" t="str">
        <f>'SC-New (2)'!C58</f>
        <v>Single Family</v>
      </c>
      <c r="J77" s="1" t="str">
        <f>'SC-New (2)'!D58</f>
        <v>2017 - LEDThree-Way1440 to 2600 lumensANY</v>
      </c>
      <c r="K77" s="37">
        <f>'SC-New (2)'!E58</f>
        <v>0</v>
      </c>
      <c r="L77" s="37">
        <f>'SC-New (2)'!F58</f>
        <v>7.2507153600276875E-2</v>
      </c>
      <c r="M77" s="37">
        <f>'SC-New (2)'!G58</f>
        <v>8.8330276439500297E-2</v>
      </c>
      <c r="N77" s="37">
        <f>'SC-New (2)'!H58</f>
        <v>0.10022880590481345</v>
      </c>
      <c r="O77" s="37">
        <f>'SC-New (2)'!I58</f>
        <v>0.11012978195398639</v>
      </c>
      <c r="P77" s="37">
        <f>'SC-New (2)'!J58</f>
        <v>0.11531608334102562</v>
      </c>
      <c r="Q77" s="37">
        <f>'SC-New (2)'!K58</f>
        <v>0.1207513986424753</v>
      </c>
      <c r="R77" s="37">
        <f>'SC-New (2)'!L58</f>
        <v>0.12748585683571959</v>
      </c>
      <c r="S77" s="37">
        <f>'SC-New (2)'!M58</f>
        <v>0.13227664792127253</v>
      </c>
      <c r="T77" s="37">
        <f>'SC-New (2)'!N58</f>
        <v>0.13983919365642192</v>
      </c>
      <c r="U77" s="37">
        <f>'SC-New (2)'!O58</f>
        <v>0.14519488465509325</v>
      </c>
      <c r="V77" s="37">
        <f>'SC-New (2)'!P58</f>
        <v>0.14669746440967404</v>
      </c>
      <c r="W77" s="37">
        <f>'SC-New (2)'!Q58</f>
        <v>0.14536368158577881</v>
      </c>
      <c r="X77" s="37">
        <f>'SC-New (2)'!R58</f>
        <v>0.14750400922616586</v>
      </c>
      <c r="Y77" s="37">
        <f>'SC-New (2)'!S58</f>
        <v>0.15079286102465844</v>
      </c>
      <c r="Z77" s="37">
        <f>'SC-New (2)'!T58</f>
        <v>0.15136550540131682</v>
      </c>
      <c r="AA77" s="37">
        <f>'SC-New (2)'!U58</f>
        <v>0.14727379602566898</v>
      </c>
      <c r="AB77" s="37">
        <f>'SC-New (2)'!V58</f>
        <v>0.14773363274019541</v>
      </c>
      <c r="AC77" s="37">
        <f>'SC-New (2)'!W58</f>
        <v>0.14866462084781371</v>
      </c>
      <c r="AD77" s="37">
        <f>'SC-New (2)'!X58</f>
        <v>0.15010968863950885</v>
      </c>
      <c r="AE77" s="37">
        <f>'SC-New (2)'!Y58</f>
        <v>2.4875653428513664</v>
      </c>
      <c r="AF77" s="479">
        <f t="shared" si="2"/>
        <v>3.4947375480862015</v>
      </c>
      <c r="AG77" s="479">
        <f t="shared" si="3"/>
        <v>2.7795556954649423</v>
      </c>
      <c r="AH77" s="479">
        <f t="shared" si="4"/>
        <v>2.808236859858241</v>
      </c>
      <c r="AI77" s="479">
        <f t="shared" si="5"/>
        <v>2.2903234982016438</v>
      </c>
      <c r="AJ77" s="479">
        <f t="shared" si="6"/>
        <v>2.0855463533146543</v>
      </c>
      <c r="AK77" s="479">
        <f t="shared" si="7"/>
        <v>2.1429442628075841</v>
      </c>
      <c r="AL77" s="479">
        <f t="shared" si="8"/>
        <v>1.7685513298745517</v>
      </c>
      <c r="AM77" s="479">
        <f t="shared" si="9"/>
        <v>2.0173006394294912</v>
      </c>
      <c r="AN77" s="479">
        <f t="shared" si="10"/>
        <v>2.2213527165099398</v>
      </c>
      <c r="AO77" s="479">
        <f t="shared" si="11"/>
        <v>3.2418715707106038</v>
      </c>
      <c r="AP77" s="479">
        <f t="shared" si="12"/>
        <v>3.2725608642831689</v>
      </c>
      <c r="AQ77" s="479">
        <f t="shared" si="13"/>
        <v>3.5926241411613451</v>
      </c>
      <c r="AR77" s="479"/>
      <c r="AS77" s="479">
        <f t="shared" si="14"/>
        <v>1.8231437674249444</v>
      </c>
      <c r="AT77" s="479">
        <f t="shared" si="15"/>
        <v>1.4011724478818377</v>
      </c>
      <c r="AU77" s="479">
        <f t="shared" si="16"/>
        <v>1.3059421343543034</v>
      </c>
      <c r="AV77" s="479">
        <f t="shared" si="17"/>
        <v>1.2810650388439813</v>
      </c>
      <c r="AW77" s="479">
        <f t="shared" si="18"/>
        <v>1.2446594517599732</v>
      </c>
      <c r="AX77" s="479">
        <f t="shared" si="19"/>
        <v>1.1639754622244163</v>
      </c>
      <c r="AY77" s="479">
        <f t="shared" si="20"/>
        <v>1.3278694803910316</v>
      </c>
      <c r="AZ77" s="479">
        <f t="shared" si="21"/>
        <v>1.2012534865460023</v>
      </c>
      <c r="BA77" s="479">
        <f t="shared" si="22"/>
        <v>1.3923277905386595</v>
      </c>
      <c r="BB77" s="479">
        <f t="shared" si="23"/>
        <v>1.3841641150531119</v>
      </c>
      <c r="BC77" s="479">
        <f t="shared" si="24"/>
        <v>1.7432635980212496</v>
      </c>
      <c r="BD77" s="479">
        <f t="shared" si="25"/>
        <v>1.8596869119456556</v>
      </c>
    </row>
    <row r="78" spans="1:56" ht="15">
      <c r="A78" s="63" t="str">
        <f>VLOOKUP(CONCATENATE($C78," - ",$B78),[2]ACHIEV!$B$12:$C$100,2,FALSE)</f>
        <v>LO20Fast</v>
      </c>
      <c r="B78" s="63" t="str">
        <f>'SC-New (2)'!$C$7</f>
        <v>New</v>
      </c>
      <c r="C78" s="63" t="str">
        <f>'SC-New (2)'!$C$8</f>
        <v>Lighting</v>
      </c>
      <c r="D78" s="63" t="s">
        <v>795</v>
      </c>
      <c r="E78" s="63" t="str">
        <f>'SC-New (2)'!$A$9</f>
        <v>Lighting</v>
      </c>
      <c r="F78" s="478">
        <f t="shared" si="1"/>
        <v>5.2591883382486233E-3</v>
      </c>
      <c r="G78" s="71">
        <f>'SC-New (2)'!A59</f>
        <v>20.131003317263307</v>
      </c>
      <c r="H78" s="71">
        <f>'SC-New (2)'!B59</f>
        <v>-21.262756278752239</v>
      </c>
      <c r="I78" s="1" t="str">
        <f>'SC-New (2)'!C59</f>
        <v>Multifamily - Low Rise</v>
      </c>
      <c r="J78" s="1" t="str">
        <f>'SC-New (2)'!D59</f>
        <v>2017 - LEDDecorative and Mini-Base250 to 664 lumensANY</v>
      </c>
      <c r="K78" s="37">
        <f>'SC-New (2)'!E59</f>
        <v>0</v>
      </c>
      <c r="L78" s="37">
        <f>'SC-New (2)'!F59</f>
        <v>3.1546555616792156E-2</v>
      </c>
      <c r="M78" s="37">
        <f>'SC-New (2)'!G59</f>
        <v>4.0183354974211112E-2</v>
      </c>
      <c r="N78" s="37">
        <f>'SC-New (2)'!H59</f>
        <v>4.5630080501879854E-2</v>
      </c>
      <c r="O78" s="37">
        <f>'SC-New (2)'!I59</f>
        <v>4.8564094512586038E-2</v>
      </c>
      <c r="P78" s="37">
        <f>'SC-New (2)'!J59</f>
        <v>5.1453510972995491E-2</v>
      </c>
      <c r="Q78" s="37">
        <f>'SC-New (2)'!K59</f>
        <v>5.4919007854693565E-2</v>
      </c>
      <c r="R78" s="37">
        <f>'SC-New (2)'!L59</f>
        <v>5.9343860842082971E-2</v>
      </c>
      <c r="S78" s="37">
        <f>'SC-New (2)'!M59</f>
        <v>6.3729109398747957E-2</v>
      </c>
      <c r="T78" s="37">
        <f>'SC-New (2)'!N59</f>
        <v>6.7995422699450789E-2</v>
      </c>
      <c r="U78" s="37">
        <f>'SC-New (2)'!O59</f>
        <v>7.0402663921679903E-2</v>
      </c>
      <c r="V78" s="37">
        <f>'SC-New (2)'!P59</f>
        <v>7.2076125467811378E-2</v>
      </c>
      <c r="W78" s="37">
        <f>'SC-New (2)'!Q59</f>
        <v>7.3481696291785664E-2</v>
      </c>
      <c r="X78" s="37">
        <f>'SC-New (2)'!R59</f>
        <v>7.3675561154934968E-2</v>
      </c>
      <c r="Y78" s="37">
        <f>'SC-New (2)'!S59</f>
        <v>7.3552183321613715E-2</v>
      </c>
      <c r="Z78" s="37">
        <f>'SC-New (2)'!T59</f>
        <v>7.2630684672509799E-2</v>
      </c>
      <c r="AA78" s="37">
        <f>'SC-New (2)'!U59</f>
        <v>7.183904802777169E-2</v>
      </c>
      <c r="AB78" s="37">
        <f>'SC-New (2)'!V59</f>
        <v>7.1271711539553084E-2</v>
      </c>
      <c r="AC78" s="37">
        <f>'SC-New (2)'!W59</f>
        <v>7.0161773615043319E-2</v>
      </c>
      <c r="AD78" s="37">
        <f>'SC-New (2)'!X59</f>
        <v>7.009986175081373E-2</v>
      </c>
      <c r="AE78" s="37">
        <f>'SC-New (2)'!Y59</f>
        <v>1.1825563071369574</v>
      </c>
      <c r="AF78" s="479">
        <f t="shared" si="2"/>
        <v>1.4403486023116614</v>
      </c>
      <c r="AG78" s="479">
        <f t="shared" si="3"/>
        <v>1.1455879321189004</v>
      </c>
      <c r="AH78" s="479">
        <f t="shared" si="4"/>
        <v>1.1574088126508824</v>
      </c>
      <c r="AI78" s="479">
        <f t="shared" si="5"/>
        <v>0.94395192888885926</v>
      </c>
      <c r="AJ78" s="479">
        <f t="shared" si="6"/>
        <v>0.85955346681125078</v>
      </c>
      <c r="AK78" s="479">
        <f t="shared" si="7"/>
        <v>0.88320989238719305</v>
      </c>
      <c r="AL78" s="479">
        <f t="shared" si="8"/>
        <v>0.72890464621476858</v>
      </c>
      <c r="AM78" s="479">
        <f t="shared" si="9"/>
        <v>0.83142614186746877</v>
      </c>
      <c r="AN78" s="479">
        <f t="shared" si="10"/>
        <v>0.91552576880013092</v>
      </c>
      <c r="AO78" s="479">
        <f t="shared" si="11"/>
        <v>1.3361304308256319</v>
      </c>
      <c r="AP78" s="479">
        <f t="shared" si="12"/>
        <v>1.3487789575018005</v>
      </c>
      <c r="AQ78" s="479">
        <f t="shared" si="13"/>
        <v>1.4806923521872546</v>
      </c>
      <c r="AR78" s="479"/>
      <c r="AS78" s="479">
        <f t="shared" si="14"/>
        <v>0.75140480253281761</v>
      </c>
      <c r="AT78" s="479">
        <f t="shared" si="15"/>
        <v>0.57749022612854406</v>
      </c>
      <c r="AU78" s="479">
        <f t="shared" si="16"/>
        <v>0.53824125618452068</v>
      </c>
      <c r="AV78" s="479">
        <f t="shared" si="17"/>
        <v>0.52798821450261002</v>
      </c>
      <c r="AW78" s="479">
        <f t="shared" si="18"/>
        <v>0.51298372968757655</v>
      </c>
      <c r="AX78" s="479">
        <f t="shared" si="19"/>
        <v>0.47972999605023692</v>
      </c>
      <c r="AY78" s="479">
        <f t="shared" si="20"/>
        <v>0.54727856493284177</v>
      </c>
      <c r="AZ78" s="479">
        <f t="shared" si="21"/>
        <v>0.4950940540058737</v>
      </c>
      <c r="BA78" s="479">
        <f t="shared" si="22"/>
        <v>0.57384491953058547</v>
      </c>
      <c r="BB78" s="479">
        <f t="shared" si="23"/>
        <v>0.57048027814806623</v>
      </c>
      <c r="BC78" s="479">
        <f t="shared" si="24"/>
        <v>0.71848236164278922</v>
      </c>
      <c r="BD78" s="479">
        <f t="shared" si="25"/>
        <v>0.76646598135103916</v>
      </c>
    </row>
    <row r="79" spans="1:56" ht="15">
      <c r="A79" s="63" t="str">
        <f>VLOOKUP(CONCATENATE($C79," - ",$B79),[2]ACHIEV!$B$12:$C$100,2,FALSE)</f>
        <v>LO20Fast</v>
      </c>
      <c r="B79" s="63" t="str">
        <f>'SC-New (2)'!$C$7</f>
        <v>New</v>
      </c>
      <c r="C79" s="63" t="str">
        <f>'SC-New (2)'!$C$8</f>
        <v>Lighting</v>
      </c>
      <c r="D79" s="63" t="s">
        <v>795</v>
      </c>
      <c r="E79" s="63" t="str">
        <f>'SC-New (2)'!$A$9</f>
        <v>Lighting</v>
      </c>
      <c r="F79" s="478">
        <f t="shared" si="1"/>
        <v>3.96210803600704E-3</v>
      </c>
      <c r="G79" s="71">
        <f>'SC-New (2)'!A60</f>
        <v>15.166068390464758</v>
      </c>
      <c r="H79" s="71">
        <f>'SC-New (2)'!B60</f>
        <v>-19.792953526125213</v>
      </c>
      <c r="I79" s="1" t="str">
        <f>'SC-New (2)'!C60</f>
        <v>Multifamily - Low Rise</v>
      </c>
      <c r="J79" s="1" t="str">
        <f>'SC-New (2)'!D60</f>
        <v>2017 - LEDDecorative and Mini-Base665 to 1439 lumensANY</v>
      </c>
      <c r="K79" s="37">
        <f>'SC-New (2)'!E60</f>
        <v>0</v>
      </c>
      <c r="L79" s="37">
        <f>'SC-New (2)'!F60</f>
        <v>6.5184082542774314E-3</v>
      </c>
      <c r="M79" s="37">
        <f>'SC-New (2)'!G60</f>
        <v>8.3030146279751763E-3</v>
      </c>
      <c r="N79" s="37">
        <f>'SC-New (2)'!H60</f>
        <v>9.4284617629847699E-3</v>
      </c>
      <c r="O79" s="37">
        <f>'SC-New (2)'!I60</f>
        <v>1.0034711820134358E-2</v>
      </c>
      <c r="P79" s="37">
        <f>'SC-New (2)'!J60</f>
        <v>1.0631746765386908E-2</v>
      </c>
      <c r="Q79" s="37">
        <f>'SC-New (2)'!K60</f>
        <v>1.1347816175728779E-2</v>
      </c>
      <c r="R79" s="37">
        <f>'SC-New (2)'!L60</f>
        <v>1.2262115618981155E-2</v>
      </c>
      <c r="S79" s="37">
        <f>'SC-New (2)'!M60</f>
        <v>1.3168231669685837E-2</v>
      </c>
      <c r="T79" s="37">
        <f>'SC-New (2)'!N60</f>
        <v>1.4049772341588287E-2</v>
      </c>
      <c r="U79" s="37">
        <f>'SC-New (2)'!O60</f>
        <v>1.4547176281454948E-2</v>
      </c>
      <c r="V79" s="37">
        <f>'SC-New (2)'!P60</f>
        <v>1.4892960641815127E-2</v>
      </c>
      <c r="W79" s="37">
        <f>'SC-New (2)'!Q60</f>
        <v>1.5183391222327968E-2</v>
      </c>
      <c r="X79" s="37">
        <f>'SC-New (2)'!R60</f>
        <v>1.5223449171586112E-2</v>
      </c>
      <c r="Y79" s="37">
        <f>'SC-New (2)'!S60</f>
        <v>1.5197955830985465E-2</v>
      </c>
      <c r="Z79" s="37">
        <f>'SC-New (2)'!T60</f>
        <v>1.5007548216487384E-2</v>
      </c>
      <c r="AA79" s="37">
        <f>'SC-New (2)'!U60</f>
        <v>1.4843973755232965E-2</v>
      </c>
      <c r="AB79" s="37">
        <f>'SC-New (2)'!V60</f>
        <v>1.4726746033364387E-2</v>
      </c>
      <c r="AC79" s="37">
        <f>'SC-New (2)'!W60</f>
        <v>1.4497401549080691E-2</v>
      </c>
      <c r="AD79" s="37">
        <f>'SC-New (2)'!X60</f>
        <v>1.4484608811523728E-2</v>
      </c>
      <c r="AE79" s="37">
        <f>'SC-New (2)'!Y60</f>
        <v>0.24434949055060148</v>
      </c>
      <c r="AF79" s="479">
        <f t="shared" si="2"/>
        <v>1.0851135964016425</v>
      </c>
      <c r="AG79" s="479">
        <f t="shared" si="3"/>
        <v>0.86305012482449117</v>
      </c>
      <c r="AH79" s="479">
        <f t="shared" si="4"/>
        <v>0.87195560657113691</v>
      </c>
      <c r="AI79" s="479">
        <f t="shared" si="5"/>
        <v>0.71114386527187501</v>
      </c>
      <c r="AJ79" s="479">
        <f t="shared" si="6"/>
        <v>0.64756070313402958</v>
      </c>
      <c r="AK79" s="479">
        <f t="shared" si="7"/>
        <v>0.66538271441207719</v>
      </c>
      <c r="AL79" s="479">
        <f t="shared" si="8"/>
        <v>0.54913396716500618</v>
      </c>
      <c r="AM79" s="479">
        <f t="shared" si="9"/>
        <v>0.62637045608000386</v>
      </c>
      <c r="AN79" s="479">
        <f t="shared" si="10"/>
        <v>0.68972848516440399</v>
      </c>
      <c r="AO79" s="479">
        <f t="shared" si="11"/>
        <v>1.0065988849699035</v>
      </c>
      <c r="AP79" s="479">
        <f t="shared" si="12"/>
        <v>1.0161278894405794</v>
      </c>
      <c r="AQ79" s="479">
        <f t="shared" si="13"/>
        <v>1.1155073159842306</v>
      </c>
      <c r="AR79" s="479"/>
      <c r="AS79" s="479">
        <f t="shared" si="14"/>
        <v>0.56608488134140256</v>
      </c>
      <c r="AT79" s="479">
        <f t="shared" si="15"/>
        <v>0.435063077893382</v>
      </c>
      <c r="AU79" s="479">
        <f t="shared" si="16"/>
        <v>0.40549413127680195</v>
      </c>
      <c r="AV79" s="479">
        <f t="shared" si="17"/>
        <v>0.39776981029252217</v>
      </c>
      <c r="AW79" s="479">
        <f t="shared" si="18"/>
        <v>0.38646590063227465</v>
      </c>
      <c r="AX79" s="479">
        <f t="shared" si="19"/>
        <v>0.36141357757445147</v>
      </c>
      <c r="AY79" s="479">
        <f t="shared" si="20"/>
        <v>0.4123025570856263</v>
      </c>
      <c r="AZ79" s="479">
        <f t="shared" si="21"/>
        <v>0.37298837839475796</v>
      </c>
      <c r="BA79" s="479">
        <f t="shared" si="22"/>
        <v>0.43231681789344234</v>
      </c>
      <c r="BB79" s="479">
        <f t="shared" si="23"/>
        <v>0.42978200229024216</v>
      </c>
      <c r="BC79" s="479">
        <f t="shared" si="24"/>
        <v>0.54128214387967721</v>
      </c>
      <c r="BD79" s="479">
        <f t="shared" si="25"/>
        <v>0.57743150249079578</v>
      </c>
    </row>
    <row r="80" spans="1:56" ht="15">
      <c r="A80" s="63" t="str">
        <f>VLOOKUP(CONCATENATE($C80," - ",$B80),[2]ACHIEV!$B$12:$C$100,2,FALSE)</f>
        <v>LO20Fast</v>
      </c>
      <c r="B80" s="63" t="str">
        <f>'SC-New (2)'!$C$7</f>
        <v>New</v>
      </c>
      <c r="C80" s="63" t="str">
        <f>'SC-New (2)'!$C$8</f>
        <v>Lighting</v>
      </c>
      <c r="D80" s="63" t="s">
        <v>795</v>
      </c>
      <c r="E80" s="63" t="str">
        <f>'SC-New (2)'!$A$9</f>
        <v>Lighting</v>
      </c>
      <c r="F80" s="478">
        <f t="shared" si="1"/>
        <v>1.962157373850039E-3</v>
      </c>
      <c r="G80" s="71">
        <f>'SC-New (2)'!A61</f>
        <v>7.5107020440195642</v>
      </c>
      <c r="H80" s="71">
        <f>'SC-New (2)'!B61</f>
        <v>253.66864707291808</v>
      </c>
      <c r="I80" s="1" t="str">
        <f>'SC-New (2)'!C61</f>
        <v>Multifamily - Low Rise</v>
      </c>
      <c r="J80" s="1" t="str">
        <f>'SC-New (2)'!D61</f>
        <v>2017 - LEDDecorative and Mini-Base1440 to 2600 lumensANY</v>
      </c>
      <c r="K80" s="37">
        <f>'SC-New (2)'!E61</f>
        <v>0</v>
      </c>
      <c r="L80" s="37">
        <f>'SC-New (2)'!F61</f>
        <v>6.3421098803523822E-5</v>
      </c>
      <c r="M80" s="37">
        <f>'SC-New (2)'!G61</f>
        <v>8.0784493782261516E-5</v>
      </c>
      <c r="N80" s="37">
        <f>'SC-New (2)'!H61</f>
        <v>9.1734574102982127E-5</v>
      </c>
      <c r="O80" s="37">
        <f>'SC-New (2)'!I61</f>
        <v>9.7633106884953137E-5</v>
      </c>
      <c r="P80" s="37">
        <f>'SC-New (2)'!J61</f>
        <v>1.0344198088838357E-4</v>
      </c>
      <c r="Q80" s="37">
        <f>'SC-New (2)'!K61</f>
        <v>1.1040900520657842E-4</v>
      </c>
      <c r="R80" s="37">
        <f>'SC-New (2)'!L61</f>
        <v>1.1930471610171373E-4</v>
      </c>
      <c r="S80" s="37">
        <f>'SC-New (2)'!M61</f>
        <v>1.2812080637060569E-4</v>
      </c>
      <c r="T80" s="37">
        <f>'SC-New (2)'!N61</f>
        <v>1.3669778956513983E-4</v>
      </c>
      <c r="U80" s="37">
        <f>'SC-New (2)'!O61</f>
        <v>1.4153729994635059E-4</v>
      </c>
      <c r="V80" s="37">
        <f>'SC-New (2)'!P61</f>
        <v>1.4490162191386859E-4</v>
      </c>
      <c r="W80" s="37">
        <f>'SC-New (2)'!Q61</f>
        <v>1.4772737719395291E-4</v>
      </c>
      <c r="X80" s="37">
        <f>'SC-New (2)'!R61</f>
        <v>1.4811712252113461E-4</v>
      </c>
      <c r="Y80" s="37">
        <f>'SC-New (2)'!S61</f>
        <v>1.4786908410285905E-4</v>
      </c>
      <c r="Z80" s="37">
        <f>'SC-New (2)'!T61</f>
        <v>1.4601650604070682E-4</v>
      </c>
      <c r="AA80" s="37">
        <f>'SC-New (2)'!U61</f>
        <v>1.4442500215444104E-4</v>
      </c>
      <c r="AB80" s="37">
        <f>'SC-New (2)'!V61</f>
        <v>1.4328443061594306E-4</v>
      </c>
      <c r="AC80" s="37">
        <f>'SC-New (2)'!W61</f>
        <v>1.4105301481159317E-4</v>
      </c>
      <c r="AD80" s="37">
        <f>'SC-New (2)'!X61</f>
        <v>1.4092854738934551E-4</v>
      </c>
      <c r="AE80" s="37">
        <f>'SC-New (2)'!Y61</f>
        <v>2.3774075783963376E-3</v>
      </c>
      <c r="AF80" s="479">
        <f t="shared" si="2"/>
        <v>0.53738152147667351</v>
      </c>
      <c r="AG80" s="479">
        <f t="shared" si="3"/>
        <v>0.42740888209933781</v>
      </c>
      <c r="AH80" s="479">
        <f t="shared" si="4"/>
        <v>0.43181914969377672</v>
      </c>
      <c r="AI80" s="479">
        <f t="shared" si="5"/>
        <v>0.35218024506915513</v>
      </c>
      <c r="AJ80" s="479">
        <f t="shared" si="6"/>
        <v>0.32069191377993372</v>
      </c>
      <c r="AK80" s="479">
        <f t="shared" si="7"/>
        <v>0.32951792017053727</v>
      </c>
      <c r="AL80" s="479">
        <f t="shared" si="8"/>
        <v>0.27194797645907187</v>
      </c>
      <c r="AM80" s="479">
        <f t="shared" si="9"/>
        <v>0.31019785376619841</v>
      </c>
      <c r="AN80" s="479">
        <f t="shared" si="10"/>
        <v>0.34157469226499099</v>
      </c>
      <c r="AO80" s="479">
        <f t="shared" si="11"/>
        <v>0.49849862919018445</v>
      </c>
      <c r="AP80" s="479">
        <f t="shared" si="12"/>
        <v>0.50321768435416969</v>
      </c>
      <c r="AQ80" s="479">
        <f t="shared" si="13"/>
        <v>0.5524334232561634</v>
      </c>
      <c r="AR80" s="479"/>
      <c r="AS80" s="479">
        <f t="shared" si="14"/>
        <v>0.28034258885793889</v>
      </c>
      <c r="AT80" s="479">
        <f t="shared" si="15"/>
        <v>0.21545657478807742</v>
      </c>
      <c r="AU80" s="479">
        <f t="shared" si="16"/>
        <v>0.20081312586810013</v>
      </c>
      <c r="AV80" s="479">
        <f t="shared" si="17"/>
        <v>0.19698780529643709</v>
      </c>
      <c r="AW80" s="479">
        <f t="shared" si="18"/>
        <v>0.19138976266569091</v>
      </c>
      <c r="AX80" s="479">
        <f t="shared" si="19"/>
        <v>0.17898308420734163</v>
      </c>
      <c r="AY80" s="479">
        <f t="shared" si="20"/>
        <v>0.20418486706841296</v>
      </c>
      <c r="AZ80" s="479">
        <f t="shared" si="21"/>
        <v>0.18471528044581126</v>
      </c>
      <c r="BA80" s="479">
        <f t="shared" si="22"/>
        <v>0.21409654263841862</v>
      </c>
      <c r="BB80" s="479">
        <f t="shared" si="23"/>
        <v>0.21284122423670696</v>
      </c>
      <c r="BC80" s="479">
        <f t="shared" si="24"/>
        <v>0.26805951283883145</v>
      </c>
      <c r="BD80" s="479">
        <f t="shared" si="25"/>
        <v>0.28596178352760315</v>
      </c>
    </row>
    <row r="81" spans="1:56" ht="15">
      <c r="A81" s="63" t="str">
        <f>VLOOKUP(CONCATENATE($C81," - ",$B81),[2]ACHIEV!$B$12:$C$100,2,FALSE)</f>
        <v>LO20Fast</v>
      </c>
      <c r="B81" s="63" t="str">
        <f>'SC-New (2)'!$C$7</f>
        <v>New</v>
      </c>
      <c r="C81" s="63" t="str">
        <f>'SC-New (2)'!$C$8</f>
        <v>Lighting</v>
      </c>
      <c r="D81" s="63" t="s">
        <v>795</v>
      </c>
      <c r="E81" s="63" t="str">
        <f>'SC-New (2)'!$A$9</f>
        <v>Lighting</v>
      </c>
      <c r="F81" s="478">
        <f t="shared" si="1"/>
        <v>5.0185805390402609E-4</v>
      </c>
      <c r="G81" s="71">
        <f>'SC-New (2)'!A62</f>
        <v>1.9210010172979759</v>
      </c>
      <c r="H81" s="71">
        <f>'SC-New (2)'!B62</f>
        <v>19.879331870717266</v>
      </c>
      <c r="I81" s="1" t="str">
        <f>'SC-New (2)'!C62</f>
        <v>Multifamily - Low Rise</v>
      </c>
      <c r="J81" s="1" t="str">
        <f>'SC-New (2)'!D62</f>
        <v>2017 - LEDGeneral Purpose and Dimmable250 to 664 lumensANY</v>
      </c>
      <c r="K81" s="37">
        <f>'SC-New (2)'!E62</f>
        <v>0</v>
      </c>
      <c r="L81" s="37">
        <f>'SC-New (2)'!F62</f>
        <v>2.5137738611723864E-3</v>
      </c>
      <c r="M81" s="37">
        <f>'SC-New (2)'!G62</f>
        <v>3.2019935429849242E-3</v>
      </c>
      <c r="N81" s="37">
        <f>'SC-New (2)'!H62</f>
        <v>3.6360135490595626E-3</v>
      </c>
      <c r="O81" s="37">
        <f>'SC-New (2)'!I62</f>
        <v>3.8698092070711407E-3</v>
      </c>
      <c r="P81" s="37">
        <f>'SC-New (2)'!J62</f>
        <v>4.1000511282637117E-3</v>
      </c>
      <c r="Q81" s="37">
        <f>'SC-New (2)'!K62</f>
        <v>4.3761977727027621E-3</v>
      </c>
      <c r="R81" s="37">
        <f>'SC-New (2)'!L62</f>
        <v>4.728790300214997E-3</v>
      </c>
      <c r="S81" s="37">
        <f>'SC-New (2)'!M62</f>
        <v>5.0782269655167576E-3</v>
      </c>
      <c r="T81" s="37">
        <f>'SC-New (2)'!N62</f>
        <v>5.4181863255544725E-3</v>
      </c>
      <c r="U81" s="37">
        <f>'SC-New (2)'!O62</f>
        <v>5.6100063180596184E-3</v>
      </c>
      <c r="V81" s="37">
        <f>'SC-New (2)'!P62</f>
        <v>5.7433553893003223E-3</v>
      </c>
      <c r="W81" s="37">
        <f>'SC-New (2)'!Q62</f>
        <v>5.8553577023342162E-3</v>
      </c>
      <c r="X81" s="37">
        <f>'SC-New (2)'!R62</f>
        <v>5.8708057414642014E-3</v>
      </c>
      <c r="Y81" s="37">
        <f>'SC-New (2)'!S62</f>
        <v>5.8609744313136269E-3</v>
      </c>
      <c r="Z81" s="37">
        <f>'SC-New (2)'!T62</f>
        <v>5.7875452035601512E-3</v>
      </c>
      <c r="AA81" s="37">
        <f>'SC-New (2)'!U62</f>
        <v>5.724463974367904E-3</v>
      </c>
      <c r="AB81" s="37">
        <f>'SC-New (2)'!V62</f>
        <v>5.6792560077075392E-3</v>
      </c>
      <c r="AC81" s="37">
        <f>'SC-New (2)'!W62</f>
        <v>5.5908110764748111E-3</v>
      </c>
      <c r="AD81" s="37">
        <f>'SC-New (2)'!X62</f>
        <v>5.5858776559173573E-3</v>
      </c>
      <c r="AE81" s="37">
        <f>'SC-New (2)'!Y62</f>
        <v>9.4231496153040453E-2</v>
      </c>
      <c r="AF81" s="479">
        <f t="shared" si="2"/>
        <v>0.13744526721783706</v>
      </c>
      <c r="AG81" s="479">
        <f t="shared" si="3"/>
        <v>0.10931772988768557</v>
      </c>
      <c r="AH81" s="479">
        <f t="shared" si="4"/>
        <v>0.11044573742756919</v>
      </c>
      <c r="AI81" s="479">
        <f t="shared" si="5"/>
        <v>9.0076614021560725E-2</v>
      </c>
      <c r="AJ81" s="479">
        <f t="shared" si="6"/>
        <v>8.2022890669856893E-2</v>
      </c>
      <c r="AK81" s="479">
        <f t="shared" si="7"/>
        <v>8.4280305110698436E-2</v>
      </c>
      <c r="AL81" s="479">
        <f t="shared" si="8"/>
        <v>6.955572679733403E-2</v>
      </c>
      <c r="AM81" s="479">
        <f t="shared" si="9"/>
        <v>7.9338840651120859E-2</v>
      </c>
      <c r="AN81" s="479">
        <f t="shared" si="10"/>
        <v>8.7364047658735955E-2</v>
      </c>
      <c r="AO81" s="479">
        <f t="shared" si="11"/>
        <v>0.12750024807048468</v>
      </c>
      <c r="AP81" s="479">
        <f t="shared" si="12"/>
        <v>0.12870723374473589</v>
      </c>
      <c r="AQ81" s="479">
        <f t="shared" si="13"/>
        <v>0.14129506960131633</v>
      </c>
      <c r="AR81" s="479"/>
      <c r="AS81" s="479">
        <f t="shared" si="14"/>
        <v>7.1702804242762208E-2</v>
      </c>
      <c r="AT81" s="479">
        <f t="shared" si="15"/>
        <v>5.5107005566942716E-2</v>
      </c>
      <c r="AU81" s="479">
        <f t="shared" si="16"/>
        <v>5.1361672559833739E-2</v>
      </c>
      <c r="AV81" s="479">
        <f t="shared" si="17"/>
        <v>5.0383276044223477E-2</v>
      </c>
      <c r="AW81" s="479">
        <f t="shared" si="18"/>
        <v>4.8951473061557747E-2</v>
      </c>
      <c r="AX81" s="479">
        <f t="shared" si="19"/>
        <v>4.5778235486682146E-2</v>
      </c>
      <c r="AY81" s="479">
        <f t="shared" si="20"/>
        <v>5.2224057758701252E-2</v>
      </c>
      <c r="AZ81" s="479">
        <f t="shared" si="21"/>
        <v>4.7244350736749853E-2</v>
      </c>
      <c r="BA81" s="479">
        <f t="shared" si="22"/>
        <v>5.4759152180170065E-2</v>
      </c>
      <c r="BB81" s="479">
        <f t="shared" si="23"/>
        <v>5.4438081271939699E-2</v>
      </c>
      <c r="BC81" s="479">
        <f t="shared" si="24"/>
        <v>6.8561180278722517E-2</v>
      </c>
      <c r="BD81" s="479">
        <f t="shared" si="25"/>
        <v>7.3140017250754669E-2</v>
      </c>
    </row>
    <row r="82" spans="1:56" ht="15">
      <c r="A82" s="63" t="str">
        <f>VLOOKUP(CONCATENATE($C82," - ",$B82),[2]ACHIEV!$B$12:$C$100,2,FALSE)</f>
        <v>LO20Fast</v>
      </c>
      <c r="B82" s="63" t="str">
        <f>'SC-New (2)'!$C$7</f>
        <v>New</v>
      </c>
      <c r="C82" s="63" t="str">
        <f>'SC-New (2)'!$C$8</f>
        <v>Lighting</v>
      </c>
      <c r="D82" s="63" t="s">
        <v>795</v>
      </c>
      <c r="E82" s="63" t="str">
        <f>'SC-New (2)'!$A$9</f>
        <v>Lighting</v>
      </c>
      <c r="F82" s="478">
        <f t="shared" si="1"/>
        <v>1.9587879633994761E-3</v>
      </c>
      <c r="G82" s="71">
        <f>'SC-New (2)'!A63</f>
        <v>7.4978046901704554</v>
      </c>
      <c r="H82" s="71">
        <f>'SC-New (2)'!B63</f>
        <v>38.047469279788793</v>
      </c>
      <c r="I82" s="1" t="str">
        <f>'SC-New (2)'!C63</f>
        <v>Multifamily - Low Rise</v>
      </c>
      <c r="J82" s="1" t="str">
        <f>'SC-New (2)'!D63</f>
        <v>2017 - LEDGeneral Purpose and Dimmable665 to 1439 lumensANY</v>
      </c>
      <c r="K82" s="37">
        <f>'SC-New (2)'!E63</f>
        <v>0</v>
      </c>
      <c r="L82" s="37">
        <f>'SC-New (2)'!F63</f>
        <v>7.5709612325668002E-2</v>
      </c>
      <c r="M82" s="37">
        <f>'SC-New (2)'!G63</f>
        <v>9.6437350054876816E-2</v>
      </c>
      <c r="N82" s="37">
        <f>'SC-New (2)'!H63</f>
        <v>0.10950912508963265</v>
      </c>
      <c r="O82" s="37">
        <f>'SC-New (2)'!I63</f>
        <v>0.11655056143555191</v>
      </c>
      <c r="P82" s="37">
        <f>'SC-New (2)'!J63</f>
        <v>0.12348496665944772</v>
      </c>
      <c r="Q82" s="37">
        <f>'SC-New (2)'!K63</f>
        <v>0.13180192615944186</v>
      </c>
      <c r="R82" s="37">
        <f>'SC-New (2)'!L63</f>
        <v>0.14242127580707828</v>
      </c>
      <c r="S82" s="37">
        <f>'SC-New (2)'!M63</f>
        <v>0.1529455774839332</v>
      </c>
      <c r="T82" s="37">
        <f>'SC-New (2)'!N63</f>
        <v>0.16318444254355063</v>
      </c>
      <c r="U82" s="37">
        <f>'SC-New (2)'!O63</f>
        <v>0.16896165961672999</v>
      </c>
      <c r="V82" s="37">
        <f>'SC-New (2)'!P63</f>
        <v>0.17297785480578848</v>
      </c>
      <c r="W82" s="37">
        <f>'SC-New (2)'!Q63</f>
        <v>0.17635113027433819</v>
      </c>
      <c r="X82" s="37">
        <f>'SC-New (2)'!R63</f>
        <v>0.17681639291064288</v>
      </c>
      <c r="Y82" s="37">
        <f>'SC-New (2)'!S63</f>
        <v>0.17652029440645753</v>
      </c>
      <c r="Z82" s="37">
        <f>'SC-New (2)'!T63</f>
        <v>0.1743087596091325</v>
      </c>
      <c r="AA82" s="37">
        <f>'SC-New (2)'!U63</f>
        <v>0.17240888489051151</v>
      </c>
      <c r="AB82" s="37">
        <f>'SC-New (2)'!V63</f>
        <v>0.17104731546584911</v>
      </c>
      <c r="AC82" s="37">
        <f>'SC-New (2)'!W63</f>
        <v>0.16838353907799325</v>
      </c>
      <c r="AD82" s="37">
        <f>'SC-New (2)'!X63</f>
        <v>0.16823495476672581</v>
      </c>
      <c r="AE82" s="37">
        <f>'SC-New (2)'!Y63</f>
        <v>2.83805562338335</v>
      </c>
      <c r="AF82" s="479">
        <f t="shared" si="2"/>
        <v>0.53645873162376279</v>
      </c>
      <c r="AG82" s="479">
        <f t="shared" si="3"/>
        <v>0.42667493691573455</v>
      </c>
      <c r="AH82" s="479">
        <f t="shared" si="4"/>
        <v>0.43107763121257736</v>
      </c>
      <c r="AI82" s="479">
        <f t="shared" si="5"/>
        <v>0.35157548226366747</v>
      </c>
      <c r="AJ82" s="479">
        <f t="shared" si="6"/>
        <v>0.32014122263757089</v>
      </c>
      <c r="AK82" s="479">
        <f t="shared" si="7"/>
        <v>0.32895207303785196</v>
      </c>
      <c r="AL82" s="479">
        <f t="shared" si="8"/>
        <v>0.27148098825205935</v>
      </c>
      <c r="AM82" s="479">
        <f t="shared" si="9"/>
        <v>0.30966518299057599</v>
      </c>
      <c r="AN82" s="479">
        <f t="shared" si="10"/>
        <v>0.34098814128131166</v>
      </c>
      <c r="AO82" s="479">
        <f t="shared" si="11"/>
        <v>0.49764260891720863</v>
      </c>
      <c r="AP82" s="479">
        <f t="shared" si="12"/>
        <v>0.50235356053455782</v>
      </c>
      <c r="AQ82" s="479">
        <f t="shared" si="13"/>
        <v>0.55148478632501485</v>
      </c>
      <c r="AR82" s="479"/>
      <c r="AS82" s="479">
        <f t="shared" si="14"/>
        <v>0.27986118544900518</v>
      </c>
      <c r="AT82" s="479">
        <f t="shared" si="15"/>
        <v>0.21508659343774925</v>
      </c>
      <c r="AU82" s="479">
        <f t="shared" si="16"/>
        <v>0.20046829020204826</v>
      </c>
      <c r="AV82" s="479">
        <f t="shared" si="17"/>
        <v>0.19664953845879962</v>
      </c>
      <c r="AW82" s="479">
        <f t="shared" si="18"/>
        <v>0.19106110876919372</v>
      </c>
      <c r="AX82" s="479">
        <f t="shared" si="19"/>
        <v>0.17867573501994241</v>
      </c>
      <c r="AY82" s="479">
        <f t="shared" si="20"/>
        <v>0.20383424145901183</v>
      </c>
      <c r="AZ82" s="479">
        <f t="shared" si="21"/>
        <v>0.18439808794911994</v>
      </c>
      <c r="BA82" s="479">
        <f t="shared" si="22"/>
        <v>0.21372889673100612</v>
      </c>
      <c r="BB82" s="479">
        <f t="shared" si="23"/>
        <v>0.21247573395809255</v>
      </c>
      <c r="BC82" s="479">
        <f t="shared" si="24"/>
        <v>0.26759920188927711</v>
      </c>
      <c r="BD82" s="479">
        <f t="shared" si="25"/>
        <v>0.28547073085531477</v>
      </c>
    </row>
    <row r="83" spans="1:56" ht="15">
      <c r="A83" s="63" t="str">
        <f>VLOOKUP(CONCATENATE($C83," - ",$B83),[2]ACHIEV!$B$12:$C$100,2,FALSE)</f>
        <v>LO20Fast</v>
      </c>
      <c r="B83" s="63" t="str">
        <f>'SC-New (2)'!$C$7</f>
        <v>New</v>
      </c>
      <c r="C83" s="63" t="str">
        <f>'SC-New (2)'!$C$8</f>
        <v>Lighting</v>
      </c>
      <c r="D83" s="63" t="s">
        <v>795</v>
      </c>
      <c r="E83" s="63" t="str">
        <f>'SC-New (2)'!$A$9</f>
        <v>Lighting</v>
      </c>
      <c r="F83" s="478">
        <f t="shared" si="1"/>
        <v>3.659906529973458E-3</v>
      </c>
      <c r="G83" s="71">
        <f>'SC-New (2)'!A64</f>
        <v>14.009308234872018</v>
      </c>
      <c r="H83" s="71">
        <f>'SC-New (2)'!B64</f>
        <v>64.372768585347757</v>
      </c>
      <c r="I83" s="1" t="str">
        <f>'SC-New (2)'!C64</f>
        <v>Multifamily - Low Rise</v>
      </c>
      <c r="J83" s="1" t="str">
        <f>'SC-New (2)'!D64</f>
        <v>2017 - LEDGeneral Purpose and Dimmable1440 to 2600 lumensANY</v>
      </c>
      <c r="K83" s="37">
        <f>'SC-New (2)'!E64</f>
        <v>0</v>
      </c>
      <c r="L83" s="37">
        <f>'SC-New (2)'!F64</f>
        <v>1.4103741294533026E-2</v>
      </c>
      <c r="M83" s="37">
        <f>'SC-New (2)'!G64</f>
        <v>1.796505614708023E-2</v>
      </c>
      <c r="N83" s="37">
        <f>'SC-New (2)'!H64</f>
        <v>2.0400162175063775E-2</v>
      </c>
      <c r="O83" s="37">
        <f>'SC-New (2)'!I64</f>
        <v>2.1711892528900201E-2</v>
      </c>
      <c r="P83" s="37">
        <f>'SC-New (2)'!J64</f>
        <v>2.3003684341128615E-2</v>
      </c>
      <c r="Q83" s="37">
        <f>'SC-New (2)'!K64</f>
        <v>2.455302849363139E-2</v>
      </c>
      <c r="R83" s="37">
        <f>'SC-New (2)'!L64</f>
        <v>2.6531278752029257E-2</v>
      </c>
      <c r="S83" s="37">
        <f>'SC-New (2)'!M64</f>
        <v>2.8491822778030799E-2</v>
      </c>
      <c r="T83" s="37">
        <f>'SC-New (2)'!N64</f>
        <v>3.0399193579631379E-2</v>
      </c>
      <c r="U83" s="37">
        <f>'SC-New (2)'!O64</f>
        <v>3.1475415904638003E-2</v>
      </c>
      <c r="V83" s="37">
        <f>'SC-New (2)'!P64</f>
        <v>3.2223582170384762E-2</v>
      </c>
      <c r="W83" s="37">
        <f>'SC-New (2)'!Q64</f>
        <v>3.2851980640039712E-2</v>
      </c>
      <c r="X83" s="37">
        <f>'SC-New (2)'!R64</f>
        <v>3.2938653172824947E-2</v>
      </c>
      <c r="Y83" s="37">
        <f>'SC-New (2)'!S64</f>
        <v>3.2883493774005616E-2</v>
      </c>
      <c r="Z83" s="37">
        <f>'SC-New (2)'!T64</f>
        <v>3.2471512868448203E-2</v>
      </c>
      <c r="AA83" s="37">
        <f>'SC-New (2)'!U64</f>
        <v>3.2117590285828272E-2</v>
      </c>
      <c r="AB83" s="37">
        <f>'SC-New (2)'!V64</f>
        <v>3.1863947157431551E-2</v>
      </c>
      <c r="AC83" s="37">
        <f>'SC-New (2)'!W64</f>
        <v>3.1367719374898483E-2</v>
      </c>
      <c r="AD83" s="37">
        <f>'SC-New (2)'!X64</f>
        <v>3.1340040000745459E-2</v>
      </c>
      <c r="AE83" s="37">
        <f>'SC-New (2)'!Y64</f>
        <v>0.52869379543927375</v>
      </c>
      <c r="AF83" s="479">
        <f t="shared" si="2"/>
        <v>1.0023488257113993</v>
      </c>
      <c r="AG83" s="479">
        <f t="shared" si="3"/>
        <v>0.79722278111397538</v>
      </c>
      <c r="AH83" s="479">
        <f t="shared" si="4"/>
        <v>0.80544901586095996</v>
      </c>
      <c r="AI83" s="479">
        <f t="shared" si="5"/>
        <v>0.65690285388635883</v>
      </c>
      <c r="AJ83" s="479">
        <f t="shared" si="6"/>
        <v>0.59816936449388325</v>
      </c>
      <c r="AK83" s="479">
        <f t="shared" si="7"/>
        <v>0.61463203912592634</v>
      </c>
      <c r="AL83" s="479">
        <f t="shared" si="8"/>
        <v>0.50724992200941221</v>
      </c>
      <c r="AM83" s="479">
        <f t="shared" si="9"/>
        <v>0.57859535922699556</v>
      </c>
      <c r="AN83" s="479">
        <f t="shared" si="10"/>
        <v>0.63712088711894432</v>
      </c>
      <c r="AO83" s="479">
        <f t="shared" si="11"/>
        <v>0.92982265972689038</v>
      </c>
      <c r="AP83" s="479">
        <f t="shared" si="12"/>
        <v>0.93862485930585982</v>
      </c>
      <c r="AQ83" s="479">
        <f t="shared" si="13"/>
        <v>1.0304243278833694</v>
      </c>
      <c r="AR83" s="479"/>
      <c r="AS83" s="479">
        <f t="shared" si="14"/>
        <v>0.52290794064984647</v>
      </c>
      <c r="AT83" s="479">
        <f t="shared" si="15"/>
        <v>0.40187955130497377</v>
      </c>
      <c r="AU83" s="479">
        <f t="shared" si="16"/>
        <v>0.37456591426555569</v>
      </c>
      <c r="AV83" s="479">
        <f t="shared" si="17"/>
        <v>0.36743074971348882</v>
      </c>
      <c r="AW83" s="479">
        <f t="shared" si="18"/>
        <v>0.35698902212711459</v>
      </c>
      <c r="AX83" s="479">
        <f t="shared" si="19"/>
        <v>0.33384751262836426</v>
      </c>
      <c r="AY83" s="479">
        <f t="shared" si="20"/>
        <v>0.38085504163162015</v>
      </c>
      <c r="AZ83" s="479">
        <f t="shared" si="21"/>
        <v>0.34453946971797317</v>
      </c>
      <c r="BA83" s="479">
        <f t="shared" si="22"/>
        <v>0.39934275654434592</v>
      </c>
      <c r="BB83" s="479">
        <f t="shared" si="23"/>
        <v>0.39700127870120755</v>
      </c>
      <c r="BC83" s="479">
        <f t="shared" si="24"/>
        <v>0.49999698012771288</v>
      </c>
      <c r="BD83" s="479">
        <f t="shared" si="25"/>
        <v>0.53338912199583788</v>
      </c>
    </row>
    <row r="84" spans="1:56" ht="15">
      <c r="A84" s="63" t="str">
        <f>VLOOKUP(CONCATENATE($C84," - ",$B84),[2]ACHIEV!$B$12:$C$100,2,FALSE)</f>
        <v>LO20Fast</v>
      </c>
      <c r="B84" s="63" t="str">
        <f>'SC-New (2)'!$C$7</f>
        <v>New</v>
      </c>
      <c r="C84" s="63" t="str">
        <f>'SC-New (2)'!$C$8</f>
        <v>Lighting</v>
      </c>
      <c r="D84" s="63" t="s">
        <v>795</v>
      </c>
      <c r="E84" s="63" t="str">
        <f>'SC-New (2)'!$A$9</f>
        <v>Lighting</v>
      </c>
      <c r="F84" s="478">
        <f t="shared" si="1"/>
        <v>3.9190405629480479E-3</v>
      </c>
      <c r="G84" s="71">
        <f>'SC-New (2)'!A65</f>
        <v>15.001215681785107</v>
      </c>
      <c r="H84" s="71">
        <f>'SC-New (2)'!B65</f>
        <v>-40.723166254238713</v>
      </c>
      <c r="I84" s="1" t="str">
        <f>'SC-New (2)'!C65</f>
        <v>Multifamily - Low Rise</v>
      </c>
      <c r="J84" s="1" t="str">
        <f>'SC-New (2)'!D65</f>
        <v>2017 - LEDGlobe250 to 664 lumensANY</v>
      </c>
      <c r="K84" s="37">
        <f>'SC-New (2)'!E65</f>
        <v>0</v>
      </c>
      <c r="L84" s="37">
        <f>'SC-New (2)'!F65</f>
        <v>1.2907602773339267E-2</v>
      </c>
      <c r="M84" s="37">
        <f>'SC-New (2)'!G65</f>
        <v>1.6441439452461688E-2</v>
      </c>
      <c r="N84" s="37">
        <f>'SC-New (2)'!H65</f>
        <v>1.8670024099881392E-2</v>
      </c>
      <c r="O84" s="37">
        <f>'SC-New (2)'!I65</f>
        <v>1.9870506581761243E-2</v>
      </c>
      <c r="P84" s="37">
        <f>'SC-New (2)'!J65</f>
        <v>2.1052741510060705E-2</v>
      </c>
      <c r="Q84" s="37">
        <f>'SC-New (2)'!K65</f>
        <v>2.2470685760601777E-2</v>
      </c>
      <c r="R84" s="37">
        <f>'SC-New (2)'!L65</f>
        <v>2.4281160583445642E-2</v>
      </c>
      <c r="S84" s="37">
        <f>'SC-New (2)'!M65</f>
        <v>2.6075430839741433E-2</v>
      </c>
      <c r="T84" s="37">
        <f>'SC-New (2)'!N65</f>
        <v>2.7821037493634695E-2</v>
      </c>
      <c r="U84" s="37">
        <f>'SC-New (2)'!O65</f>
        <v>2.8805985386316884E-2</v>
      </c>
      <c r="V84" s="37">
        <f>'SC-New (2)'!P65</f>
        <v>2.9490699659288903E-2</v>
      </c>
      <c r="W84" s="37">
        <f>'SC-New (2)'!Q65</f>
        <v>3.0065803644840919E-2</v>
      </c>
      <c r="X84" s="37">
        <f>'SC-New (2)'!R65</f>
        <v>3.0145125478756342E-2</v>
      </c>
      <c r="Y84" s="37">
        <f>'SC-New (2)'!S65</f>
        <v>3.0094644149419127E-2</v>
      </c>
      <c r="Z84" s="37">
        <f>'SC-New (2)'!T65</f>
        <v>2.9717603350946958E-2</v>
      </c>
      <c r="AA84" s="37">
        <f>'SC-New (2)'!U65</f>
        <v>2.9393696948130058E-2</v>
      </c>
      <c r="AB84" s="37">
        <f>'SC-New (2)'!V65</f>
        <v>2.9161565297445211E-2</v>
      </c>
      <c r="AC84" s="37">
        <f>'SC-New (2)'!W65</f>
        <v>2.8707422600959806E-2</v>
      </c>
      <c r="AD84" s="37">
        <f>'SC-New (2)'!X65</f>
        <v>2.8682090714964397E-2</v>
      </c>
      <c r="AE84" s="37">
        <f>'SC-New (2)'!Y65</f>
        <v>0.48385526632599657</v>
      </c>
      <c r="AF84" s="479">
        <f t="shared" si="2"/>
        <v>1.0733185872412989</v>
      </c>
      <c r="AG84" s="479">
        <f t="shared" si="3"/>
        <v>0.85366890965780484</v>
      </c>
      <c r="AH84" s="479">
        <f t="shared" si="4"/>
        <v>0.86247759025927351</v>
      </c>
      <c r="AI84" s="479">
        <f t="shared" si="5"/>
        <v>0.70341384655953076</v>
      </c>
      <c r="AJ84" s="479">
        <f t="shared" si="6"/>
        <v>0.64052182310278416</v>
      </c>
      <c r="AK84" s="479">
        <f t="shared" si="7"/>
        <v>0.65815011200284546</v>
      </c>
      <c r="AL84" s="479">
        <f t="shared" si="8"/>
        <v>0.54316496982275031</v>
      </c>
      <c r="AM84" s="479">
        <f t="shared" si="9"/>
        <v>0.61956191060445931</v>
      </c>
      <c r="AN84" s="479">
        <f t="shared" si="10"/>
        <v>0.68223124816761238</v>
      </c>
      <c r="AO84" s="479">
        <f t="shared" si="11"/>
        <v>0.99565731801471724</v>
      </c>
      <c r="AP84" s="479">
        <f t="shared" si="12"/>
        <v>1.0050827437491268</v>
      </c>
      <c r="AQ84" s="479">
        <f t="shared" si="13"/>
        <v>1.1033819320114413</v>
      </c>
      <c r="AR84" s="479"/>
      <c r="AS84" s="479">
        <f t="shared" si="14"/>
        <v>0.55993163030566262</v>
      </c>
      <c r="AT84" s="479">
        <f t="shared" si="15"/>
        <v>0.43033401265440924</v>
      </c>
      <c r="AU84" s="479">
        <f t="shared" si="16"/>
        <v>0.40108647570162925</v>
      </c>
      <c r="AV84" s="479">
        <f t="shared" si="17"/>
        <v>0.39344611683621805</v>
      </c>
      <c r="AW84" s="479">
        <f t="shared" si="18"/>
        <v>0.38226507884436772</v>
      </c>
      <c r="AX84" s="479">
        <f t="shared" si="19"/>
        <v>0.35748507048330508</v>
      </c>
      <c r="AY84" s="479">
        <f t="shared" si="20"/>
        <v>0.40782089502389868</v>
      </c>
      <c r="AZ84" s="479">
        <f t="shared" si="21"/>
        <v>0.36893405509214999</v>
      </c>
      <c r="BA84" s="479">
        <f t="shared" si="22"/>
        <v>0.42761760405616928</v>
      </c>
      <c r="BB84" s="479">
        <f t="shared" si="23"/>
        <v>0.42511034148829985</v>
      </c>
      <c r="BC84" s="479">
        <f t="shared" si="24"/>
        <v>0.53539849458566535</v>
      </c>
      <c r="BD84" s="479">
        <f t="shared" si="25"/>
        <v>0.57115491551968489</v>
      </c>
    </row>
    <row r="85" spans="1:56" ht="15">
      <c r="A85" s="63" t="str">
        <f>VLOOKUP(CONCATENATE($C85," - ",$B85),[2]ACHIEV!$B$12:$C$100,2,FALSE)</f>
        <v>LO20Fast</v>
      </c>
      <c r="B85" s="63" t="str">
        <f>'SC-New (2)'!$C$7</f>
        <v>New</v>
      </c>
      <c r="C85" s="63" t="str">
        <f>'SC-New (2)'!$C$8</f>
        <v>Lighting</v>
      </c>
      <c r="D85" s="63" t="s">
        <v>795</v>
      </c>
      <c r="E85" s="63" t="str">
        <f>'SC-New (2)'!$A$9</f>
        <v>Lighting</v>
      </c>
      <c r="F85" s="478">
        <f t="shared" si="1"/>
        <v>2.6990998985958756E-3</v>
      </c>
      <c r="G85" s="71">
        <f>'SC-New (2)'!A66</f>
        <v>10.331554133000125</v>
      </c>
      <c r="H85" s="71">
        <f>'SC-New (2)'!B66</f>
        <v>-97.483290128606981</v>
      </c>
      <c r="I85" s="1" t="str">
        <f>'SC-New (2)'!C66</f>
        <v>Multifamily - Low Rise</v>
      </c>
      <c r="J85" s="1" t="str">
        <f>'SC-New (2)'!D66</f>
        <v>2017 - LEDGlobe665 to 1439 lumensANY</v>
      </c>
      <c r="K85" s="37">
        <f>'SC-New (2)'!E66</f>
        <v>0</v>
      </c>
      <c r="L85" s="37">
        <f>'SC-New (2)'!F66</f>
        <v>5.4206829949481113E-3</v>
      </c>
      <c r="M85" s="37">
        <f>'SC-New (2)'!G66</f>
        <v>6.9047547261458873E-3</v>
      </c>
      <c r="N85" s="37">
        <f>'SC-New (2)'!H66</f>
        <v>7.8406721937970183E-3</v>
      </c>
      <c r="O85" s="37">
        <f>'SC-New (2)'!I66</f>
        <v>8.3448273874089859E-3</v>
      </c>
      <c r="P85" s="37">
        <f>'SC-New (2)'!J66</f>
        <v>8.8413193297472974E-3</v>
      </c>
      <c r="Q85" s="37">
        <f>'SC-New (2)'!K66</f>
        <v>9.4367998710735614E-3</v>
      </c>
      <c r="R85" s="37">
        <f>'SC-New (2)'!L66</f>
        <v>1.0197127738091777E-2</v>
      </c>
      <c r="S85" s="37">
        <f>'SC-New (2)'!M66</f>
        <v>1.0950650327641342E-2</v>
      </c>
      <c r="T85" s="37">
        <f>'SC-New (2)'!N66</f>
        <v>1.1683736127598873E-2</v>
      </c>
      <c r="U85" s="37">
        <f>'SC-New (2)'!O66</f>
        <v>1.2097375312699941E-2</v>
      </c>
      <c r="V85" s="37">
        <f>'SC-New (2)'!P66</f>
        <v>1.2384928244183399E-2</v>
      </c>
      <c r="W85" s="37">
        <f>'SC-New (2)'!Q66</f>
        <v>1.262644918727035E-2</v>
      </c>
      <c r="X85" s="37">
        <f>'SC-New (2)'!R66</f>
        <v>1.265976122233867E-2</v>
      </c>
      <c r="Y85" s="37">
        <f>'SC-New (2)'!S66</f>
        <v>1.2638561059279284E-2</v>
      </c>
      <c r="Z85" s="37">
        <f>'SC-New (2)'!T66</f>
        <v>1.2480218826366655E-2</v>
      </c>
      <c r="AA85" s="37">
        <f>'SC-New (2)'!U66</f>
        <v>1.2344190939505202E-2</v>
      </c>
      <c r="AB85" s="37">
        <f>'SC-New (2)'!V66</f>
        <v>1.22467048211645E-2</v>
      </c>
      <c r="AC85" s="37">
        <f>'SC-New (2)'!W66</f>
        <v>1.2055982838520043E-2</v>
      </c>
      <c r="AD85" s="37">
        <f>'SC-New (2)'!X66</f>
        <v>1.2045344447638594E-2</v>
      </c>
      <c r="AE85" s="37">
        <f>'SC-New (2)'!Y66</f>
        <v>0.20320008759541952</v>
      </c>
      <c r="AF85" s="479">
        <f t="shared" si="2"/>
        <v>0.73921002945803449</v>
      </c>
      <c r="AG85" s="479">
        <f t="shared" si="3"/>
        <v>0.58793412073249252</v>
      </c>
      <c r="AH85" s="479">
        <f t="shared" si="4"/>
        <v>0.59400078642178622</v>
      </c>
      <c r="AI85" s="479">
        <f t="shared" si="5"/>
        <v>0.48445128633513773</v>
      </c>
      <c r="AJ85" s="479">
        <f t="shared" si="6"/>
        <v>0.44113664046505252</v>
      </c>
      <c r="AK85" s="479">
        <f t="shared" si="7"/>
        <v>0.4532774979066459</v>
      </c>
      <c r="AL85" s="479">
        <f t="shared" si="8"/>
        <v>0.37408556799080311</v>
      </c>
      <c r="AM85" s="479">
        <f t="shared" si="9"/>
        <v>0.42670124568152651</v>
      </c>
      <c r="AN85" s="479">
        <f t="shared" si="10"/>
        <v>0.46986252455702143</v>
      </c>
      <c r="AO85" s="479">
        <f t="shared" si="11"/>
        <v>0.68572359048721321</v>
      </c>
      <c r="AP85" s="479">
        <f t="shared" si="12"/>
        <v>0.69221501746668568</v>
      </c>
      <c r="AQ85" s="479">
        <f t="shared" si="13"/>
        <v>0.75991508966784882</v>
      </c>
      <c r="AR85" s="479"/>
      <c r="AS85" s="479">
        <f t="shared" si="14"/>
        <v>0.38563300948377344</v>
      </c>
      <c r="AT85" s="479">
        <f t="shared" si="15"/>
        <v>0.29637725643853452</v>
      </c>
      <c r="AU85" s="479">
        <f t="shared" si="16"/>
        <v>0.27623405486777952</v>
      </c>
      <c r="AV85" s="479">
        <f t="shared" si="17"/>
        <v>0.27097202925012304</v>
      </c>
      <c r="AW85" s="479">
        <f t="shared" si="18"/>
        <v>0.26327148672567968</v>
      </c>
      <c r="AX85" s="479">
        <f t="shared" si="19"/>
        <v>0.24620513668917057</v>
      </c>
      <c r="AY85" s="479">
        <f t="shared" si="20"/>
        <v>0.28087214682367551</v>
      </c>
      <c r="AZ85" s="479">
        <f t="shared" si="21"/>
        <v>0.25409021792280639</v>
      </c>
      <c r="BA85" s="479">
        <f t="shared" si="22"/>
        <v>0.29450642656211723</v>
      </c>
      <c r="BB85" s="479">
        <f t="shared" si="23"/>
        <v>0.29277963858072437</v>
      </c>
      <c r="BC85" s="479">
        <f t="shared" si="24"/>
        <v>0.36873668420453914</v>
      </c>
      <c r="BD85" s="479">
        <f t="shared" si="25"/>
        <v>0.39336264828095202</v>
      </c>
    </row>
    <row r="86" spans="1:56" ht="15">
      <c r="A86" s="63" t="str">
        <f>VLOOKUP(CONCATENATE($C86," - ",$B86),[2]ACHIEV!$B$12:$C$100,2,FALSE)</f>
        <v>LO20Fast</v>
      </c>
      <c r="B86" s="63" t="str">
        <f>'SC-New (2)'!$C$7</f>
        <v>New</v>
      </c>
      <c r="C86" s="63" t="str">
        <f>'SC-New (2)'!$C$8</f>
        <v>Lighting</v>
      </c>
      <c r="D86" s="63" t="s">
        <v>795</v>
      </c>
      <c r="E86" s="63" t="str">
        <f>'SC-New (2)'!$A$9</f>
        <v>Lighting</v>
      </c>
      <c r="F86" s="478">
        <f t="shared" si="1"/>
        <v>2.920231287037374E-3</v>
      </c>
      <c r="G86" s="71">
        <f>'SC-New (2)'!A67</f>
        <v>11.177995908414712</v>
      </c>
      <c r="H86" s="71">
        <f>'SC-New (2)'!B67</f>
        <v>-118.66739310804593</v>
      </c>
      <c r="I86" s="1" t="str">
        <f>'SC-New (2)'!C67</f>
        <v>Multifamily - Low Rise</v>
      </c>
      <c r="J86" s="1" t="str">
        <f>'SC-New (2)'!D67</f>
        <v>2017 - LEDGlobe1440 to 2600 lumensANY</v>
      </c>
      <c r="K86" s="37">
        <f>'SC-New (2)'!E67</f>
        <v>0</v>
      </c>
      <c r="L86" s="37">
        <f>'SC-New (2)'!F67</f>
        <v>4.4191654111282733E-4</v>
      </c>
      <c r="M86" s="37">
        <f>'SC-New (2)'!G67</f>
        <v>5.6290421864819756E-4</v>
      </c>
      <c r="N86" s="37">
        <f>'SC-New (2)'!H67</f>
        <v>6.3920408906248361E-4</v>
      </c>
      <c r="O86" s="37">
        <f>'SC-New (2)'!I67</f>
        <v>6.8030490966990609E-4</v>
      </c>
      <c r="P86" s="37">
        <f>'SC-New (2)'!J67</f>
        <v>7.2078099027691014E-4</v>
      </c>
      <c r="Q86" s="37">
        <f>'SC-New (2)'!K67</f>
        <v>7.6932703168315826E-4</v>
      </c>
      <c r="R86" s="37">
        <f>'SC-New (2)'!L67</f>
        <v>8.3131211020878422E-4</v>
      </c>
      <c r="S86" s="37">
        <f>'SC-New (2)'!M67</f>
        <v>8.927423943140278E-4</v>
      </c>
      <c r="T86" s="37">
        <f>'SC-New (2)'!N67</f>
        <v>9.5250658664146771E-4</v>
      </c>
      <c r="U86" s="37">
        <f>'SC-New (2)'!O67</f>
        <v>9.8622816713583535E-4</v>
      </c>
      <c r="V86" s="37">
        <f>'SC-New (2)'!P67</f>
        <v>1.0096706737325967E-3</v>
      </c>
      <c r="W86" s="37">
        <f>'SC-New (2)'!Q67</f>
        <v>1.0293604618782537E-3</v>
      </c>
      <c r="X86" s="37">
        <f>'SC-New (2)'!R67</f>
        <v>1.0320761970224305E-3</v>
      </c>
      <c r="Y86" s="37">
        <f>'SC-New (2)'!S67</f>
        <v>1.0303478718761408E-3</v>
      </c>
      <c r="Z86" s="37">
        <f>'SC-New (2)'!T67</f>
        <v>1.0174391568773034E-3</v>
      </c>
      <c r="AA86" s="37">
        <f>'SC-New (2)'!U67</f>
        <v>1.0063495998394313E-3</v>
      </c>
      <c r="AB86" s="37">
        <f>'SC-New (2)'!V67</f>
        <v>9.9840212748884567E-4</v>
      </c>
      <c r="AC86" s="37">
        <f>'SC-New (2)'!W67</f>
        <v>9.828536811098622E-4</v>
      </c>
      <c r="AD86" s="37">
        <f>'SC-New (2)'!X67</f>
        <v>9.8198639539960803E-4</v>
      </c>
      <c r="AE86" s="37">
        <f>'SC-New (2)'!Y67</f>
        <v>1.6565713203978073E-2</v>
      </c>
      <c r="AF86" s="479">
        <f t="shared" si="2"/>
        <v>0.79977190056512937</v>
      </c>
      <c r="AG86" s="479">
        <f t="shared" si="3"/>
        <v>0.63610228542226255</v>
      </c>
      <c r="AH86" s="479">
        <f t="shared" si="4"/>
        <v>0.64266597984612883</v>
      </c>
      <c r="AI86" s="479">
        <f t="shared" si="5"/>
        <v>0.52414132731335006</v>
      </c>
      <c r="AJ86" s="479">
        <f t="shared" si="6"/>
        <v>0.47727800664760928</v>
      </c>
      <c r="AK86" s="479">
        <f t="shared" si="7"/>
        <v>0.49041353815233252</v>
      </c>
      <c r="AL86" s="479">
        <f t="shared" si="8"/>
        <v>0.40473358553500982</v>
      </c>
      <c r="AM86" s="479">
        <f t="shared" si="9"/>
        <v>0.46165995134349902</v>
      </c>
      <c r="AN86" s="479">
        <f t="shared" si="10"/>
        <v>0.50835733999011201</v>
      </c>
      <c r="AO86" s="479">
        <f t="shared" si="11"/>
        <v>0.74190343389738511</v>
      </c>
      <c r="AP86" s="479">
        <f t="shared" si="12"/>
        <v>0.74892668938075402</v>
      </c>
      <c r="AQ86" s="479">
        <f t="shared" si="13"/>
        <v>0.82217328135735079</v>
      </c>
      <c r="AR86" s="479"/>
      <c r="AS86" s="479">
        <f t="shared" si="14"/>
        <v>0.41722708381217544</v>
      </c>
      <c r="AT86" s="479">
        <f t="shared" si="15"/>
        <v>0.32065880090927812</v>
      </c>
      <c r="AU86" s="479">
        <f t="shared" si="16"/>
        <v>0.29886531061326499</v>
      </c>
      <c r="AV86" s="479">
        <f t="shared" si="17"/>
        <v>0.29317217867329254</v>
      </c>
      <c r="AW86" s="479">
        <f t="shared" si="18"/>
        <v>0.28484074743625698</v>
      </c>
      <c r="AX86" s="479">
        <f t="shared" si="19"/>
        <v>0.26637618843343092</v>
      </c>
      <c r="AY86" s="479">
        <f t="shared" si="20"/>
        <v>0.30388339136263259</v>
      </c>
      <c r="AZ86" s="479">
        <f t="shared" si="21"/>
        <v>0.27490727723502484</v>
      </c>
      <c r="BA86" s="479">
        <f t="shared" si="22"/>
        <v>0.3186346980071661</v>
      </c>
      <c r="BB86" s="479">
        <f t="shared" si="23"/>
        <v>0.31676643803947591</v>
      </c>
      <c r="BC86" s="479">
        <f t="shared" si="24"/>
        <v>0.3989464793254543</v>
      </c>
      <c r="BD86" s="479">
        <f t="shared" si="25"/>
        <v>0.42558999511633339</v>
      </c>
    </row>
    <row r="87" spans="1:56" ht="15">
      <c r="A87" s="63" t="str">
        <f>VLOOKUP(CONCATENATE($C87," - ",$B87),[2]ACHIEV!$B$12:$C$100,2,FALSE)</f>
        <v>LO20Fast</v>
      </c>
      <c r="B87" s="63" t="str">
        <f>'SC-New (2)'!$C$7</f>
        <v>New</v>
      </c>
      <c r="C87" s="63" t="str">
        <f>'SC-New (2)'!$C$8</f>
        <v>Lighting</v>
      </c>
      <c r="D87" s="63" t="s">
        <v>795</v>
      </c>
      <c r="E87" s="63" t="str">
        <f>'SC-New (2)'!$A$9</f>
        <v>Lighting</v>
      </c>
      <c r="F87" s="478">
        <f t="shared" si="1"/>
        <v>5.5704529633071051E-3</v>
      </c>
      <c r="G87" s="71">
        <f>'SC-New (2)'!A68</f>
        <v>21.322455076849025</v>
      </c>
      <c r="H87" s="71">
        <f>'SC-New (2)'!B68</f>
        <v>-49.256412709384371</v>
      </c>
      <c r="I87" s="1" t="str">
        <f>'SC-New (2)'!C68</f>
        <v>Multifamily - Low Rise</v>
      </c>
      <c r="J87" s="1" t="str">
        <f>'SC-New (2)'!D68</f>
        <v>2017 - LEDReflectors and Outdoor250 to 664 lumensANY</v>
      </c>
      <c r="K87" s="37">
        <f>'SC-New (2)'!E68</f>
        <v>0</v>
      </c>
      <c r="L87" s="37">
        <f>'SC-New (2)'!F68</f>
        <v>5.8356787159077658E-3</v>
      </c>
      <c r="M87" s="37">
        <f>'SC-New (2)'!G68</f>
        <v>7.4333677566988596E-3</v>
      </c>
      <c r="N87" s="37">
        <f>'SC-New (2)'!H68</f>
        <v>8.4409370336531002E-3</v>
      </c>
      <c r="O87" s="37">
        <f>'SC-New (2)'!I68</f>
        <v>8.9836892542898041E-3</v>
      </c>
      <c r="P87" s="37">
        <f>'SC-New (2)'!J68</f>
        <v>9.5181915417734356E-3</v>
      </c>
      <c r="Q87" s="37">
        <f>'SC-New (2)'!K68</f>
        <v>1.0159260780464117E-2</v>
      </c>
      <c r="R87" s="37">
        <f>'SC-New (2)'!L68</f>
        <v>1.0977797698192916E-2</v>
      </c>
      <c r="S87" s="37">
        <f>'SC-New (2)'!M68</f>
        <v>1.178900834118537E-2</v>
      </c>
      <c r="T87" s="37">
        <f>'SC-New (2)'!N68</f>
        <v>1.2578217598346021E-2</v>
      </c>
      <c r="U87" s="37">
        <f>'SC-New (2)'!O68</f>
        <v>1.3023524101384359E-2</v>
      </c>
      <c r="V87" s="37">
        <f>'SC-New (2)'!P68</f>
        <v>1.3333091460980705E-2</v>
      </c>
      <c r="W87" s="37">
        <f>'SC-New (2)'!Q68</f>
        <v>1.3593102723091414E-2</v>
      </c>
      <c r="X87" s="37">
        <f>'SC-New (2)'!R68</f>
        <v>1.3628965055239028E-2</v>
      </c>
      <c r="Y87" s="37">
        <f>'SC-New (2)'!S68</f>
        <v>1.3606141853724617E-2</v>
      </c>
      <c r="Z87" s="37">
        <f>'SC-New (2)'!T68</f>
        <v>1.3435677283245457E-2</v>
      </c>
      <c r="AA87" s="37">
        <f>'SC-New (2)'!U68</f>
        <v>1.3289235396703278E-2</v>
      </c>
      <c r="AB87" s="37">
        <f>'SC-New (2)'!V68</f>
        <v>1.3184285952799713E-2</v>
      </c>
      <c r="AC87" s="37">
        <f>'SC-New (2)'!W68</f>
        <v>1.2978962709250655E-2</v>
      </c>
      <c r="AD87" s="37">
        <f>'SC-New (2)'!X68</f>
        <v>1.2967509866260897E-2</v>
      </c>
      <c r="AE87" s="37">
        <f>'SC-New (2)'!Y68</f>
        <v>0.21875664512319148</v>
      </c>
      <c r="AF87" s="479">
        <f t="shared" si="2"/>
        <v>1.5255955147280642</v>
      </c>
      <c r="AG87" s="479">
        <f t="shared" si="3"/>
        <v>1.2133894587478662</v>
      </c>
      <c r="AH87" s="479">
        <f t="shared" si="4"/>
        <v>1.2259099571124876</v>
      </c>
      <c r="AI87" s="479">
        <f t="shared" si="5"/>
        <v>0.99981964541118984</v>
      </c>
      <c r="AJ87" s="479">
        <f t="shared" si="6"/>
        <v>0.91042606736425147</v>
      </c>
      <c r="AK87" s="479">
        <f t="shared" si="7"/>
        <v>0.93548259652339649</v>
      </c>
      <c r="AL87" s="479">
        <f t="shared" si="8"/>
        <v>0.77204480717028579</v>
      </c>
      <c r="AM87" s="479">
        <f t="shared" si="9"/>
        <v>0.88063402902945986</v>
      </c>
      <c r="AN87" s="479">
        <f t="shared" si="10"/>
        <v>0.96971108539821449</v>
      </c>
      <c r="AO87" s="479">
        <f t="shared" si="11"/>
        <v>1.4152091994172629</v>
      </c>
      <c r="AP87" s="479">
        <f t="shared" si="12"/>
        <v>1.4286063280943841</v>
      </c>
      <c r="AQ87" s="479">
        <f t="shared" si="13"/>
        <v>1.5683270060897629</v>
      </c>
      <c r="AR87" s="479"/>
      <c r="AS87" s="479">
        <f t="shared" si="14"/>
        <v>0.7958766333715297</v>
      </c>
      <c r="AT87" s="479">
        <f t="shared" si="15"/>
        <v>0.61166893720522297</v>
      </c>
      <c r="AU87" s="479">
        <f t="shared" si="16"/>
        <v>0.57009702023442965</v>
      </c>
      <c r="AV87" s="479">
        <f t="shared" si="17"/>
        <v>0.55923715313202227</v>
      </c>
      <c r="AW87" s="479">
        <f t="shared" si="18"/>
        <v>0.5433446291292342</v>
      </c>
      <c r="AX87" s="479">
        <f t="shared" si="19"/>
        <v>0.50812277602807099</v>
      </c>
      <c r="AY87" s="479">
        <f t="shared" si="20"/>
        <v>0.57966920135053146</v>
      </c>
      <c r="AZ87" s="479">
        <f t="shared" si="21"/>
        <v>0.52439615447792887</v>
      </c>
      <c r="BA87" s="479">
        <f t="shared" si="22"/>
        <v>0.60780788343898273</v>
      </c>
      <c r="BB87" s="479">
        <f t="shared" si="23"/>
        <v>0.60424410603565037</v>
      </c>
      <c r="BC87" s="479">
        <f t="shared" si="24"/>
        <v>0.7610056805514156</v>
      </c>
      <c r="BD87" s="479">
        <f t="shared" si="25"/>
        <v>0.81182920680737636</v>
      </c>
    </row>
    <row r="88" spans="1:56" ht="15">
      <c r="A88" s="63" t="str">
        <f>VLOOKUP(CONCATENATE($C88," - ",$B88),[2]ACHIEV!$B$12:$C$100,2,FALSE)</f>
        <v>LO20Fast</v>
      </c>
      <c r="B88" s="63" t="str">
        <f>'SC-New (2)'!$C$7</f>
        <v>New</v>
      </c>
      <c r="C88" s="63" t="str">
        <f>'SC-New (2)'!$C$8</f>
        <v>Lighting</v>
      </c>
      <c r="D88" s="63" t="s">
        <v>795</v>
      </c>
      <c r="E88" s="63" t="str">
        <f>'SC-New (2)'!$A$9</f>
        <v>Lighting</v>
      </c>
      <c r="F88" s="478">
        <f t="shared" si="1"/>
        <v>4.2475887264408763E-3</v>
      </c>
      <c r="G88" s="71">
        <f>'SC-New (2)'!A69</f>
        <v>16.258824982644914</v>
      </c>
      <c r="H88" s="71">
        <f>'SC-New (2)'!B69</f>
        <v>-57.558538168362972</v>
      </c>
      <c r="I88" s="1" t="str">
        <f>'SC-New (2)'!C69</f>
        <v>Multifamily - Low Rise</v>
      </c>
      <c r="J88" s="1" t="str">
        <f>'SC-New (2)'!D69</f>
        <v>2017 - LEDReflectors and Outdoor665 to 1439 lumensANY</v>
      </c>
      <c r="K88" s="37">
        <f>'SC-New (2)'!E69</f>
        <v>0</v>
      </c>
      <c r="L88" s="37">
        <f>'SC-New (2)'!F69</f>
        <v>4.4964184175055058E-2</v>
      </c>
      <c r="M88" s="37">
        <f>'SC-New (2)'!G69</f>
        <v>5.7274454801977848E-2</v>
      </c>
      <c r="N88" s="37">
        <f>'SC-New (2)'!H69</f>
        <v>6.5037824367646282E-2</v>
      </c>
      <c r="O88" s="37">
        <f>'SC-New (2)'!I69</f>
        <v>6.9219756238501989E-2</v>
      </c>
      <c r="P88" s="37">
        <f>'SC-New (2)'!J69</f>
        <v>7.3338121979043575E-2</v>
      </c>
      <c r="Q88" s="37">
        <f>'SC-New (2)'!K69</f>
        <v>7.8277591185748577E-2</v>
      </c>
      <c r="R88" s="37">
        <f>'SC-New (2)'!L69</f>
        <v>8.4584457364400845E-2</v>
      </c>
      <c r="S88" s="37">
        <f>'SC-New (2)'!M69</f>
        <v>9.0834874245105293E-2</v>
      </c>
      <c r="T88" s="37">
        <f>'SC-New (2)'!N69</f>
        <v>9.6915769393581569E-2</v>
      </c>
      <c r="U88" s="37">
        <f>'SC-New (2)'!O69</f>
        <v>0.10034687734035466</v>
      </c>
      <c r="V88" s="37">
        <f>'SC-New (2)'!P69</f>
        <v>0.10273210868174634</v>
      </c>
      <c r="W88" s="37">
        <f>'SC-New (2)'!Q69</f>
        <v>0.10473550791708544</v>
      </c>
      <c r="X88" s="37">
        <f>'SC-New (2)'!R69</f>
        <v>0.10501182890494873</v>
      </c>
      <c r="Y88" s="37">
        <f>'SC-New (2)'!S69</f>
        <v>0.10483597504350141</v>
      </c>
      <c r="Z88" s="37">
        <f>'SC-New (2)'!T69</f>
        <v>0.10352253735861773</v>
      </c>
      <c r="AA88" s="37">
        <f>'SC-New (2)'!U69</f>
        <v>0.10239419560473131</v>
      </c>
      <c r="AB88" s="37">
        <f>'SC-New (2)'!V69</f>
        <v>0.10158555510985869</v>
      </c>
      <c r="AC88" s="37">
        <f>'SC-New (2)'!W69</f>
        <v>0.10000352967840491</v>
      </c>
      <c r="AD88" s="37">
        <f>'SC-New (2)'!X69</f>
        <v>9.9915284974302951E-2</v>
      </c>
      <c r="AE88" s="37">
        <f>'SC-New (2)'!Y69</f>
        <v>1.6855304343646136</v>
      </c>
      <c r="AF88" s="479">
        <f t="shared" si="2"/>
        <v>1.1632989906121636</v>
      </c>
      <c r="AG88" s="479">
        <f t="shared" si="3"/>
        <v>0.92523524024153736</v>
      </c>
      <c r="AH88" s="479">
        <f t="shared" si="4"/>
        <v>0.93478238623725807</v>
      </c>
      <c r="AI88" s="479">
        <f t="shared" si="5"/>
        <v>0.76238372037188906</v>
      </c>
      <c r="AJ88" s="479">
        <f t="shared" si="6"/>
        <v>0.69421921798230934</v>
      </c>
      <c r="AK88" s="479">
        <f t="shared" si="7"/>
        <v>0.71332535378153095</v>
      </c>
      <c r="AL88" s="479">
        <f t="shared" si="8"/>
        <v>0.58870056723301578</v>
      </c>
      <c r="AM88" s="479">
        <f t="shared" si="9"/>
        <v>0.67150215583276607</v>
      </c>
      <c r="AN88" s="479">
        <f t="shared" si="10"/>
        <v>0.73942530371836135</v>
      </c>
      <c r="AO88" s="479">
        <f t="shared" si="11"/>
        <v>1.0791270800770567</v>
      </c>
      <c r="AP88" s="479">
        <f t="shared" si="12"/>
        <v>1.0893426753096991</v>
      </c>
      <c r="AQ88" s="479">
        <f t="shared" si="13"/>
        <v>1.1958826605879354</v>
      </c>
      <c r="AR88" s="479"/>
      <c r="AS88" s="479">
        <f t="shared" si="14"/>
        <v>0.60687284100854089</v>
      </c>
      <c r="AT88" s="479">
        <f t="shared" si="15"/>
        <v>0.46641055926707059</v>
      </c>
      <c r="AU88" s="479">
        <f t="shared" si="16"/>
        <v>0.4347110893990323</v>
      </c>
      <c r="AV88" s="479">
        <f t="shared" si="17"/>
        <v>0.42643021002015935</v>
      </c>
      <c r="AW88" s="479">
        <f t="shared" si="18"/>
        <v>0.41431182283807694</v>
      </c>
      <c r="AX88" s="479">
        <f t="shared" si="19"/>
        <v>0.38745441157505511</v>
      </c>
      <c r="AY88" s="479">
        <f t="shared" si="20"/>
        <v>0.44201008085700272</v>
      </c>
      <c r="AZ88" s="479">
        <f t="shared" si="21"/>
        <v>0.39986320836412004</v>
      </c>
      <c r="BA88" s="479">
        <f t="shared" si="22"/>
        <v>0.46346642374385677</v>
      </c>
      <c r="BB88" s="479">
        <f t="shared" si="23"/>
        <v>0.46074896776287089</v>
      </c>
      <c r="BC88" s="479">
        <f t="shared" si="24"/>
        <v>0.58028299866454724</v>
      </c>
      <c r="BD88" s="479">
        <f t="shared" si="25"/>
        <v>0.61903701715905535</v>
      </c>
    </row>
    <row r="89" spans="1:56" ht="15">
      <c r="A89" s="63" t="str">
        <f>VLOOKUP(CONCATENATE($C89," - ",$B89),[2]ACHIEV!$B$12:$C$100,2,FALSE)</f>
        <v>LO20Fast</v>
      </c>
      <c r="B89" s="63" t="str">
        <f>'SC-New (2)'!$C$7</f>
        <v>New</v>
      </c>
      <c r="C89" s="63" t="str">
        <f>'SC-New (2)'!$C$8</f>
        <v>Lighting</v>
      </c>
      <c r="D89" s="63" t="s">
        <v>795</v>
      </c>
      <c r="E89" s="63" t="str">
        <f>'SC-New (2)'!$A$9</f>
        <v>Lighting</v>
      </c>
      <c r="F89" s="478">
        <f t="shared" si="1"/>
        <v>2.2739503245659785E-2</v>
      </c>
      <c r="G89" s="71">
        <f>'SC-New (2)'!A70</f>
        <v>87.041761167225999</v>
      </c>
      <c r="H89" s="71">
        <f>'SC-New (2)'!B70</f>
        <v>-31.342168529326845</v>
      </c>
      <c r="I89" s="1" t="str">
        <f>'SC-New (2)'!C70</f>
        <v>Multifamily - Low Rise</v>
      </c>
      <c r="J89" s="1" t="str">
        <f>'SC-New (2)'!D70</f>
        <v>2017 - LEDReflectors and Outdoor1440 to 2600 lumensANY</v>
      </c>
      <c r="K89" s="37">
        <f>'SC-New (2)'!E70</f>
        <v>0</v>
      </c>
      <c r="L89" s="37">
        <f>'SC-New (2)'!F70</f>
        <v>1.9781408944093665E-2</v>
      </c>
      <c r="M89" s="37">
        <f>'SC-New (2)'!G70</f>
        <v>2.5197152651030969E-2</v>
      </c>
      <c r="N89" s="37">
        <f>'SC-New (2)'!H70</f>
        <v>2.8612546279985437E-2</v>
      </c>
      <c r="O89" s="37">
        <f>'SC-New (2)'!I70</f>
        <v>3.0452332901970424E-2</v>
      </c>
      <c r="P89" s="37">
        <f>'SC-New (2)'!J70</f>
        <v>3.226415443036354E-2</v>
      </c>
      <c r="Q89" s="37">
        <f>'SC-New (2)'!K70</f>
        <v>3.443720976623231E-2</v>
      </c>
      <c r="R89" s="37">
        <f>'SC-New (2)'!L70</f>
        <v>3.7211833643536127E-2</v>
      </c>
      <c r="S89" s="37">
        <f>'SC-New (2)'!M70</f>
        <v>3.9961623385231786E-2</v>
      </c>
      <c r="T89" s="37">
        <f>'SC-New (2)'!N70</f>
        <v>4.2636834242163066E-2</v>
      </c>
      <c r="U89" s="37">
        <f>'SC-New (2)'!O70</f>
        <v>4.4146305628593813E-2</v>
      </c>
      <c r="V89" s="37">
        <f>'SC-New (2)'!P70</f>
        <v>4.5195657183748093E-2</v>
      </c>
      <c r="W89" s="37">
        <f>'SC-New (2)'!Q70</f>
        <v>4.6077026662136485E-2</v>
      </c>
      <c r="X89" s="37">
        <f>'SC-New (2)'!R70</f>
        <v>4.6198590492572709E-2</v>
      </c>
      <c r="Y89" s="37">
        <f>'SC-New (2)'!S70</f>
        <v>4.6121225869784399E-2</v>
      </c>
      <c r="Z89" s="37">
        <f>'SC-New (2)'!T70</f>
        <v>4.5543396016003095E-2</v>
      </c>
      <c r="AA89" s="37">
        <f>'SC-New (2)'!U70</f>
        <v>4.5046996713495442E-2</v>
      </c>
      <c r="AB89" s="37">
        <f>'SC-New (2)'!V70</f>
        <v>4.4691245828400887E-2</v>
      </c>
      <c r="AC89" s="37">
        <f>'SC-New (2)'!W70</f>
        <v>4.3995254283270065E-2</v>
      </c>
      <c r="AD89" s="37">
        <f>'SC-New (2)'!X70</f>
        <v>4.3956432171604588E-2</v>
      </c>
      <c r="AE89" s="37">
        <f>'SC-New (2)'!Y70</f>
        <v>0.74152722709421692</v>
      </c>
      <c r="AF89" s="479">
        <f t="shared" si="2"/>
        <v>6.2277312791681956</v>
      </c>
      <c r="AG89" s="479">
        <f t="shared" si="3"/>
        <v>4.9532549179026795</v>
      </c>
      <c r="AH89" s="479">
        <f t="shared" si="4"/>
        <v>5.0043656471512685</v>
      </c>
      <c r="AI89" s="479">
        <f t="shared" si="5"/>
        <v>4.0814278877609365</v>
      </c>
      <c r="AJ89" s="479">
        <f t="shared" si="6"/>
        <v>3.7165086304708308</v>
      </c>
      <c r="AK89" s="479">
        <f t="shared" si="7"/>
        <v>3.8187934948961253</v>
      </c>
      <c r="AL89" s="479">
        <f t="shared" si="8"/>
        <v>3.1516136145633622</v>
      </c>
      <c r="AM89" s="479">
        <f t="shared" si="9"/>
        <v>3.594892640376083</v>
      </c>
      <c r="AN89" s="479">
        <f t="shared" si="10"/>
        <v>3.9585198042267882</v>
      </c>
      <c r="AO89" s="479">
        <f t="shared" si="11"/>
        <v>5.777116222938341</v>
      </c>
      <c r="AP89" s="479">
        <f t="shared" si="12"/>
        <v>5.831805500999323</v>
      </c>
      <c r="AQ89" s="479">
        <f t="shared" si="13"/>
        <v>6.4021682402038298</v>
      </c>
      <c r="AR89" s="479"/>
      <c r="AS89" s="479">
        <f t="shared" si="14"/>
        <v>3.2488990405103846</v>
      </c>
      <c r="AT89" s="479">
        <f t="shared" si="15"/>
        <v>2.4969329917094965</v>
      </c>
      <c r="AU89" s="479">
        <f t="shared" si="16"/>
        <v>2.3272296036524454</v>
      </c>
      <c r="AV89" s="479">
        <f t="shared" si="17"/>
        <v>2.2828978437669774</v>
      </c>
      <c r="AW89" s="479">
        <f t="shared" si="18"/>
        <v>2.2180219524303819</v>
      </c>
      <c r="AX89" s="479">
        <f t="shared" si="19"/>
        <v>2.0742405672920801</v>
      </c>
      <c r="AY89" s="479">
        <f t="shared" si="20"/>
        <v>2.3663048180006183</v>
      </c>
      <c r="AZ89" s="479">
        <f t="shared" si="21"/>
        <v>2.1406711689892717</v>
      </c>
      <c r="BA89" s="479">
        <f t="shared" si="22"/>
        <v>2.4811715365410532</v>
      </c>
      <c r="BB89" s="479">
        <f t="shared" si="23"/>
        <v>2.4666236122764214</v>
      </c>
      <c r="BC89" s="479">
        <f t="shared" si="24"/>
        <v>3.1065500879107617</v>
      </c>
      <c r="BD89" s="479">
        <f t="shared" si="25"/>
        <v>3.3140200634883259</v>
      </c>
    </row>
    <row r="90" spans="1:56" ht="15">
      <c r="A90" s="63" t="str">
        <f>VLOOKUP(CONCATENATE($C90," - ",$B90),[2]ACHIEV!$B$12:$C$100,2,FALSE)</f>
        <v>LO20Fast</v>
      </c>
      <c r="B90" s="63" t="str">
        <f>'SC-New (2)'!$C$7</f>
        <v>New</v>
      </c>
      <c r="C90" s="63" t="str">
        <f>'SC-New (2)'!$C$8</f>
        <v>Lighting</v>
      </c>
      <c r="D90" s="63" t="s">
        <v>795</v>
      </c>
      <c r="E90" s="63" t="str">
        <f>'SC-New (2)'!$A$9</f>
        <v>Lighting</v>
      </c>
      <c r="F90" s="478">
        <f t="shared" si="1"/>
        <v>1.3238383828380332E-2</v>
      </c>
      <c r="G90" s="71">
        <f>'SC-New (2)'!A71</f>
        <v>50.673589083344737</v>
      </c>
      <c r="H90" s="71">
        <f>'SC-New (2)'!B71</f>
        <v>-6.4266835469852737</v>
      </c>
      <c r="I90" s="1" t="str">
        <f>'SC-New (2)'!C71</f>
        <v>Multifamily - Low Rise</v>
      </c>
      <c r="J90" s="1" t="str">
        <f>'SC-New (2)'!D71</f>
        <v>2017 - LEDThree-Way250 to 664 lumensANY</v>
      </c>
      <c r="K90" s="37">
        <f>'SC-New (2)'!E71</f>
        <v>0</v>
      </c>
      <c r="L90" s="37">
        <f>'SC-New (2)'!F71</f>
        <v>1.8070563922328587E-4</v>
      </c>
      <c r="M90" s="37">
        <f>'SC-New (2)'!G71</f>
        <v>2.3017913381598524E-4</v>
      </c>
      <c r="N90" s="37">
        <f>'SC-New (2)'!H71</f>
        <v>2.6137918082293177E-4</v>
      </c>
      <c r="O90" s="37">
        <f>'SC-New (2)'!I71</f>
        <v>2.7818586120145517E-4</v>
      </c>
      <c r="P90" s="37">
        <f>'SC-New (2)'!J71</f>
        <v>2.9473707696025717E-4</v>
      </c>
      <c r="Q90" s="37">
        <f>'SC-New (2)'!K71</f>
        <v>3.1458820862866071E-4</v>
      </c>
      <c r="R90" s="37">
        <f>'SC-New (2)'!L71</f>
        <v>3.3993474399271944E-4</v>
      </c>
      <c r="S90" s="37">
        <f>'SC-New (2)'!M71</f>
        <v>3.6505441642894966E-4</v>
      </c>
      <c r="T90" s="37">
        <f>'SC-New (2)'!N71</f>
        <v>3.8949280144616959E-4</v>
      </c>
      <c r="U90" s="37">
        <f>'SC-New (2)'!O71</f>
        <v>4.032820109279174E-4</v>
      </c>
      <c r="V90" s="37">
        <f>'SC-New (2)'!P71</f>
        <v>4.1286796833267156E-4</v>
      </c>
      <c r="W90" s="37">
        <f>'SC-New (2)'!Q71</f>
        <v>4.2091938850371158E-4</v>
      </c>
      <c r="X90" s="37">
        <f>'SC-New (2)'!R71</f>
        <v>4.2202988926467837E-4</v>
      </c>
      <c r="Y90" s="37">
        <f>'SC-New (2)'!S71</f>
        <v>4.2132315378118769E-4</v>
      </c>
      <c r="Z90" s="37">
        <f>'SC-New (2)'!T71</f>
        <v>4.1604460595959664E-4</v>
      </c>
      <c r="AA90" s="37">
        <f>'SC-New (2)'!U71</f>
        <v>4.1150993638559624E-4</v>
      </c>
      <c r="AB90" s="37">
        <f>'SC-New (2)'!V71</f>
        <v>4.0826010765615924E-4</v>
      </c>
      <c r="AC90" s="37">
        <f>'SC-New (2)'!W71</f>
        <v>4.0190213803871093E-4</v>
      </c>
      <c r="AD90" s="37">
        <f>'SC-New (2)'!X71</f>
        <v>4.0154749320404139E-4</v>
      </c>
      <c r="AE90" s="37">
        <f>'SC-New (2)'!Y71</f>
        <v>6.773943754574685E-3</v>
      </c>
      <c r="AF90" s="479">
        <f t="shared" si="2"/>
        <v>3.6256331619458151</v>
      </c>
      <c r="AG90" s="479">
        <f t="shared" si="3"/>
        <v>2.8836641282181006</v>
      </c>
      <c r="AH90" s="479">
        <f t="shared" si="4"/>
        <v>2.9134195474210416</v>
      </c>
      <c r="AI90" s="479">
        <f t="shared" si="5"/>
        <v>2.3761077083488051</v>
      </c>
      <c r="AJ90" s="479">
        <f t="shared" si="6"/>
        <v>2.1636606226678121</v>
      </c>
      <c r="AK90" s="479">
        <f t="shared" si="7"/>
        <v>2.2232083744576121</v>
      </c>
      <c r="AL90" s="479">
        <f t="shared" si="8"/>
        <v>1.83479253076042</v>
      </c>
      <c r="AM90" s="479">
        <f t="shared" si="9"/>
        <v>2.0928587612924954</v>
      </c>
      <c r="AN90" s="479">
        <f t="shared" si="10"/>
        <v>2.3045536217068179</v>
      </c>
      <c r="AO90" s="479">
        <f t="shared" si="11"/>
        <v>3.3632960735418895</v>
      </c>
      <c r="AP90" s="479">
        <f t="shared" si="12"/>
        <v>3.3951348365283454</v>
      </c>
      <c r="AQ90" s="479">
        <f t="shared" si="13"/>
        <v>3.7271861034986045</v>
      </c>
      <c r="AR90" s="479"/>
      <c r="AS90" s="479">
        <f t="shared" si="14"/>
        <v>1.8914297314802717</v>
      </c>
      <c r="AT90" s="479">
        <f t="shared" si="15"/>
        <v>1.4536534497210483</v>
      </c>
      <c r="AU90" s="479">
        <f t="shared" si="16"/>
        <v>1.3548562788327785</v>
      </c>
      <c r="AV90" s="479">
        <f t="shared" si="17"/>
        <v>1.3290474101512062</v>
      </c>
      <c r="AW90" s="479">
        <f t="shared" si="18"/>
        <v>1.291278249521628</v>
      </c>
      <c r="AX90" s="479">
        <f t="shared" si="19"/>
        <v>1.2075722361019934</v>
      </c>
      <c r="AY90" s="479">
        <f t="shared" si="20"/>
        <v>1.377604914989379</v>
      </c>
      <c r="AZ90" s="479">
        <f t="shared" si="21"/>
        <v>1.2462465111605538</v>
      </c>
      <c r="BA90" s="479">
        <f t="shared" si="22"/>
        <v>1.4444775151828353</v>
      </c>
      <c r="BB90" s="479">
        <f t="shared" si="23"/>
        <v>1.4360080687204035</v>
      </c>
      <c r="BC90" s="479">
        <f t="shared" si="24"/>
        <v>1.8085576453259091</v>
      </c>
      <c r="BD90" s="479">
        <f t="shared" si="25"/>
        <v>1.9293416017689646</v>
      </c>
    </row>
    <row r="91" spans="1:56" ht="15">
      <c r="A91" s="63" t="str">
        <f>VLOOKUP(CONCATENATE($C91," - ",$B91),[2]ACHIEV!$B$12:$C$100,2,FALSE)</f>
        <v>LO20Fast</v>
      </c>
      <c r="B91" s="63" t="str">
        <f>'SC-New (2)'!$C$7</f>
        <v>New</v>
      </c>
      <c r="C91" s="63" t="str">
        <f>'SC-New (2)'!$C$8</f>
        <v>Lighting</v>
      </c>
      <c r="D91" s="63" t="s">
        <v>795</v>
      </c>
      <c r="E91" s="63" t="str">
        <f>'SC-New (2)'!$A$9</f>
        <v>Lighting</v>
      </c>
      <c r="F91" s="478">
        <f t="shared" si="1"/>
        <v>1.4259875898113245E-2</v>
      </c>
      <c r="G91" s="71">
        <f>'SC-New (2)'!A72</f>
        <v>54.583633546821666</v>
      </c>
      <c r="H91" s="71">
        <f>'SC-New (2)'!B72</f>
        <v>-12.334283459818346</v>
      </c>
      <c r="I91" s="1" t="str">
        <f>'SC-New (2)'!C72</f>
        <v>Multifamily - Low Rise</v>
      </c>
      <c r="J91" s="1" t="str">
        <f>'SC-New (2)'!D72</f>
        <v>2017 - LEDThree-Way665 to 1439 lumensANY</v>
      </c>
      <c r="K91" s="37">
        <f>'SC-New (2)'!E72</f>
        <v>0</v>
      </c>
      <c r="L91" s="37">
        <f>'SC-New (2)'!F72</f>
        <v>2.4026362034374545E-3</v>
      </c>
      <c r="M91" s="37">
        <f>'SC-New (2)'!G72</f>
        <v>3.0604286759352865E-3</v>
      </c>
      <c r="N91" s="37">
        <f>'SC-New (2)'!H72</f>
        <v>3.4752600160641587E-3</v>
      </c>
      <c r="O91" s="37">
        <f>'SC-New (2)'!I72</f>
        <v>3.6987192224874122E-3</v>
      </c>
      <c r="P91" s="37">
        <f>'SC-New (2)'!J72</f>
        <v>3.9187818080488141E-3</v>
      </c>
      <c r="Q91" s="37">
        <f>'SC-New (2)'!K72</f>
        <v>4.1827196011952504E-3</v>
      </c>
      <c r="R91" s="37">
        <f>'SC-New (2)'!L72</f>
        <v>4.5197234919379563E-3</v>
      </c>
      <c r="S91" s="37">
        <f>'SC-New (2)'!M72</f>
        <v>4.8537110458028478E-3</v>
      </c>
      <c r="T91" s="37">
        <f>'SC-New (2)'!N72</f>
        <v>5.1786403000767785E-3</v>
      </c>
      <c r="U91" s="37">
        <f>'SC-New (2)'!O72</f>
        <v>5.3619796472052506E-3</v>
      </c>
      <c r="V91" s="37">
        <f>'SC-New (2)'!P72</f>
        <v>5.4894331589178148E-3</v>
      </c>
      <c r="W91" s="37">
        <f>'SC-New (2)'!Q72</f>
        <v>5.5964836841541875E-3</v>
      </c>
      <c r="X91" s="37">
        <f>'SC-New (2)'!R72</f>
        <v>5.6112487426421892E-3</v>
      </c>
      <c r="Y91" s="37">
        <f>'SC-New (2)'!S72</f>
        <v>5.6018520892439491E-3</v>
      </c>
      <c r="Z91" s="37">
        <f>'SC-New (2)'!T72</f>
        <v>5.5316692761771162E-3</v>
      </c>
      <c r="AA91" s="37">
        <f>'SC-New (2)'!U72</f>
        <v>5.4713769613608807E-3</v>
      </c>
      <c r="AB91" s="37">
        <f>'SC-New (2)'!V72</f>
        <v>5.428167705723492E-3</v>
      </c>
      <c r="AC91" s="37">
        <f>'SC-New (2)'!W72</f>
        <v>5.3436330556212823E-3</v>
      </c>
      <c r="AD91" s="37">
        <f>'SC-New (2)'!X72</f>
        <v>5.3389177488782184E-3</v>
      </c>
      <c r="AE91" s="37">
        <f>'SC-New (2)'!Y72</f>
        <v>9.0065382434910343E-2</v>
      </c>
      <c r="AF91" s="479">
        <f t="shared" si="2"/>
        <v>3.9053920487329368</v>
      </c>
      <c r="AG91" s="479">
        <f t="shared" si="3"/>
        <v>3.1061716545849691</v>
      </c>
      <c r="AH91" s="479">
        <f t="shared" si="4"/>
        <v>3.1382230432311156</v>
      </c>
      <c r="AI91" s="479">
        <f t="shared" si="5"/>
        <v>2.5594514769216872</v>
      </c>
      <c r="AJ91" s="479">
        <f t="shared" si="6"/>
        <v>2.3306116792545248</v>
      </c>
      <c r="AK91" s="479">
        <f t="shared" si="7"/>
        <v>2.3947542182186701</v>
      </c>
      <c r="AL91" s="479">
        <f t="shared" si="8"/>
        <v>1.9763676689399765</v>
      </c>
      <c r="AM91" s="479">
        <f t="shared" si="9"/>
        <v>2.2543466479896805</v>
      </c>
      <c r="AN91" s="479">
        <f t="shared" si="10"/>
        <v>2.4823761776445838</v>
      </c>
      <c r="AO91" s="479">
        <f t="shared" si="11"/>
        <v>3.6228126664904727</v>
      </c>
      <c r="AP91" s="479">
        <f t="shared" si="12"/>
        <v>3.6571081526179396</v>
      </c>
      <c r="AQ91" s="479">
        <f t="shared" si="13"/>
        <v>4.0147809562011307</v>
      </c>
      <c r="AR91" s="479"/>
      <c r="AS91" s="479">
        <f t="shared" si="14"/>
        <v>2.0373750746740664</v>
      </c>
      <c r="AT91" s="479">
        <f t="shared" si="15"/>
        <v>1.5658193674251897</v>
      </c>
      <c r="AU91" s="479">
        <f t="shared" si="16"/>
        <v>1.4593988697107205</v>
      </c>
      <c r="AV91" s="479">
        <f t="shared" si="17"/>
        <v>1.4315985529015838</v>
      </c>
      <c r="AW91" s="479">
        <f t="shared" si="18"/>
        <v>1.3909150714180603</v>
      </c>
      <c r="AX91" s="479">
        <f t="shared" si="19"/>
        <v>1.3007501858275035</v>
      </c>
      <c r="AY91" s="479">
        <f t="shared" si="20"/>
        <v>1.4839028222059658</v>
      </c>
      <c r="AZ91" s="479">
        <f t="shared" si="21"/>
        <v>1.3424086216255566</v>
      </c>
      <c r="BA91" s="479">
        <f t="shared" si="22"/>
        <v>1.5559354050427407</v>
      </c>
      <c r="BB91" s="479">
        <f t="shared" si="23"/>
        <v>1.5468124443365345</v>
      </c>
      <c r="BC91" s="479">
        <f t="shared" si="24"/>
        <v>1.9481084633339767</v>
      </c>
      <c r="BD91" s="479">
        <f t="shared" si="25"/>
        <v>2.0782122774920686</v>
      </c>
    </row>
    <row r="92" spans="1:56" ht="15">
      <c r="A92" s="63" t="str">
        <f>VLOOKUP(CONCATENATE($C92," - ",$B92),[2]ACHIEV!$B$12:$C$100,2,FALSE)</f>
        <v>LO20Fast</v>
      </c>
      <c r="B92" s="63" t="str">
        <f>'SC-New (2)'!$C$7</f>
        <v>New</v>
      </c>
      <c r="C92" s="63" t="str">
        <f>'SC-New (2)'!$C$8</f>
        <v>Lighting</v>
      </c>
      <c r="D92" s="63" t="s">
        <v>795</v>
      </c>
      <c r="E92" s="63" t="str">
        <f>'SC-New (2)'!$A$9</f>
        <v>Lighting</v>
      </c>
      <c r="F92" s="478">
        <f t="shared" si="1"/>
        <v>1.2760440721528607E-2</v>
      </c>
      <c r="G92" s="71">
        <f>'SC-New (2)'!A73</f>
        <v>48.844129164687544</v>
      </c>
      <c r="H92" s="71">
        <f>'SC-New (2)'!B73</f>
        <v>-29.993229849727555</v>
      </c>
      <c r="I92" s="1" t="str">
        <f>'SC-New (2)'!C73</f>
        <v>Multifamily - High Rise</v>
      </c>
      <c r="J92" s="1" t="str">
        <f>'SC-New (2)'!D73</f>
        <v>2017 - LEDThree-Way1440 to 2600 lumensANY</v>
      </c>
      <c r="K92" s="37">
        <f>'SC-New (2)'!E73</f>
        <v>0</v>
      </c>
      <c r="L92" s="37">
        <f>'SC-New (2)'!F73</f>
        <v>1.892652337877457E-3</v>
      </c>
      <c r="M92" s="37">
        <f>'SC-New (2)'!G73</f>
        <v>2.4471068283239846E-3</v>
      </c>
      <c r="N92" s="37">
        <f>'SC-New (2)'!H73</f>
        <v>2.7147262639598199E-3</v>
      </c>
      <c r="O92" s="37">
        <f>'SC-New (2)'!I73</f>
        <v>2.8333200025263748E-3</v>
      </c>
      <c r="P92" s="37">
        <f>'SC-New (2)'!J73</f>
        <v>3.0468518813754663E-3</v>
      </c>
      <c r="Q92" s="37">
        <f>'SC-New (2)'!K73</f>
        <v>3.2616096843352724E-3</v>
      </c>
      <c r="R92" s="37">
        <f>'SC-New (2)'!L73</f>
        <v>3.5682095854981579E-3</v>
      </c>
      <c r="S92" s="37">
        <f>'SC-New (2)'!M73</f>
        <v>3.8049450871910045E-3</v>
      </c>
      <c r="T92" s="37">
        <f>'SC-New (2)'!N73</f>
        <v>4.0592404874605602E-3</v>
      </c>
      <c r="U92" s="37">
        <f>'SC-New (2)'!O73</f>
        <v>4.1523552982612386E-3</v>
      </c>
      <c r="V92" s="37">
        <f>'SC-New (2)'!P73</f>
        <v>4.2428320166178826E-3</v>
      </c>
      <c r="W92" s="37">
        <f>'SC-New (2)'!Q73</f>
        <v>4.2882582424008586E-3</v>
      </c>
      <c r="X92" s="37">
        <f>'SC-New (2)'!R73</f>
        <v>4.3332565382103389E-3</v>
      </c>
      <c r="Y92" s="37">
        <f>'SC-New (2)'!S73</f>
        <v>4.3466082375694928E-3</v>
      </c>
      <c r="Z92" s="37">
        <f>'SC-New (2)'!T73</f>
        <v>4.2891119648114711E-3</v>
      </c>
      <c r="AA92" s="37">
        <f>'SC-New (2)'!U73</f>
        <v>4.247452970806964E-3</v>
      </c>
      <c r="AB92" s="37">
        <f>'SC-New (2)'!V73</f>
        <v>4.1697172891357413E-3</v>
      </c>
      <c r="AC92" s="37">
        <f>'SC-New (2)'!W73</f>
        <v>4.1693906855944851E-3</v>
      </c>
      <c r="AD92" s="37">
        <f>'SC-New (2)'!X73</f>
        <v>4.1624808287026591E-3</v>
      </c>
      <c r="AE92" s="37">
        <f>'SC-New (2)'!Y73</f>
        <v>7.0030126230659226E-2</v>
      </c>
      <c r="AF92" s="479">
        <f t="shared" si="2"/>
        <v>3.4947375480862015</v>
      </c>
      <c r="AG92" s="479">
        <f t="shared" si="3"/>
        <v>2.7795556954649423</v>
      </c>
      <c r="AH92" s="479">
        <f t="shared" si="4"/>
        <v>2.808236859858241</v>
      </c>
      <c r="AI92" s="479">
        <f t="shared" si="5"/>
        <v>2.2903234982016438</v>
      </c>
      <c r="AJ92" s="479">
        <f t="shared" si="6"/>
        <v>2.0855463533146543</v>
      </c>
      <c r="AK92" s="479">
        <f t="shared" si="7"/>
        <v>2.1429442628075841</v>
      </c>
      <c r="AL92" s="479">
        <f t="shared" si="8"/>
        <v>1.7685513298745517</v>
      </c>
      <c r="AM92" s="479">
        <f t="shared" si="9"/>
        <v>2.0173006394294912</v>
      </c>
      <c r="AN92" s="479">
        <f t="shared" si="10"/>
        <v>2.2213527165099398</v>
      </c>
      <c r="AO92" s="479">
        <f t="shared" si="11"/>
        <v>3.2418715707106038</v>
      </c>
      <c r="AP92" s="479">
        <f t="shared" si="12"/>
        <v>3.2725608642831689</v>
      </c>
      <c r="AQ92" s="479">
        <f t="shared" si="13"/>
        <v>3.5926241411613451</v>
      </c>
      <c r="AR92" s="479"/>
      <c r="AS92" s="479">
        <f t="shared" si="14"/>
        <v>1.8231437674249444</v>
      </c>
      <c r="AT92" s="479">
        <f t="shared" si="15"/>
        <v>1.4011724478818377</v>
      </c>
      <c r="AU92" s="479">
        <f t="shared" si="16"/>
        <v>1.3059421343543034</v>
      </c>
      <c r="AV92" s="479">
        <f t="shared" si="17"/>
        <v>1.2810650388439813</v>
      </c>
      <c r="AW92" s="479">
        <f t="shared" si="18"/>
        <v>1.2446594517599732</v>
      </c>
      <c r="AX92" s="479">
        <f t="shared" si="19"/>
        <v>1.1639754622244163</v>
      </c>
      <c r="AY92" s="479">
        <f t="shared" si="20"/>
        <v>1.3278694803910316</v>
      </c>
      <c r="AZ92" s="479">
        <f t="shared" si="21"/>
        <v>1.2012534865460023</v>
      </c>
      <c r="BA92" s="479">
        <f t="shared" si="22"/>
        <v>1.3923277905386595</v>
      </c>
      <c r="BB92" s="479">
        <f t="shared" si="23"/>
        <v>1.3841641150531119</v>
      </c>
      <c r="BC92" s="479">
        <f t="shared" si="24"/>
        <v>1.7432635980212496</v>
      </c>
      <c r="BD92" s="479">
        <f t="shared" si="25"/>
        <v>1.8596869119456556</v>
      </c>
    </row>
    <row r="93" spans="1:56" ht="15">
      <c r="A93" s="63" t="str">
        <f>VLOOKUP(CONCATENATE($C93," - ",$B93),[2]ACHIEV!$B$12:$C$100,2,FALSE)</f>
        <v>LO20Fast</v>
      </c>
      <c r="B93" s="63" t="str">
        <f>'SC-New (2)'!$C$7</f>
        <v>New</v>
      </c>
      <c r="C93" s="63" t="str">
        <f>'SC-New (2)'!$C$8</f>
        <v>Lighting</v>
      </c>
      <c r="D93" s="63" t="s">
        <v>795</v>
      </c>
      <c r="E93" s="63" t="str">
        <f>'SC-New (2)'!$A$9</f>
        <v>Lighting</v>
      </c>
      <c r="F93" s="478">
        <f t="shared" si="1"/>
        <v>5.2591883382486233E-3</v>
      </c>
      <c r="G93" s="71">
        <f>'SC-New (2)'!A74</f>
        <v>20.131003317263307</v>
      </c>
      <c r="H93" s="71">
        <f>'SC-New (2)'!B74</f>
        <v>-21.262756278752239</v>
      </c>
      <c r="I93" s="1" t="str">
        <f>'SC-New (2)'!C74</f>
        <v>Multifamily - High Rise</v>
      </c>
      <c r="J93" s="1" t="str">
        <f>'SC-New (2)'!D74</f>
        <v>2017 - LEDDecorative and Mini-Base250 to 664 lumensANY</v>
      </c>
      <c r="K93" s="37">
        <f>'SC-New (2)'!E74</f>
        <v>0</v>
      </c>
      <c r="L93" s="37">
        <f>'SC-New (2)'!F74</f>
        <v>7.1816253242439456E-3</v>
      </c>
      <c r="M93" s="37">
        <f>'SC-New (2)'!G74</f>
        <v>9.2854900066489006E-3</v>
      </c>
      <c r="N93" s="37">
        <f>'SC-New (2)'!H74</f>
        <v>1.0300965737589311E-2</v>
      </c>
      <c r="O93" s="37">
        <f>'SC-New (2)'!I74</f>
        <v>1.0750966923301783E-2</v>
      </c>
      <c r="P93" s="37">
        <f>'SC-New (2)'!J74</f>
        <v>1.1561208676626538E-2</v>
      </c>
      <c r="Q93" s="37">
        <f>'SC-New (2)'!K74</f>
        <v>1.2376102170507608E-2</v>
      </c>
      <c r="R93" s="37">
        <f>'SC-New (2)'!L74</f>
        <v>1.3539488372260542E-2</v>
      </c>
      <c r="S93" s="37">
        <f>'SC-New (2)'!M74</f>
        <v>1.4437775733378113E-2</v>
      </c>
      <c r="T93" s="37">
        <f>'SC-New (2)'!N74</f>
        <v>1.5402693721677366E-2</v>
      </c>
      <c r="U93" s="37">
        <f>'SC-New (2)'!O74</f>
        <v>1.5756015707931996E-2</v>
      </c>
      <c r="V93" s="37">
        <f>'SC-New (2)'!P74</f>
        <v>1.6099327513698317E-2</v>
      </c>
      <c r="W93" s="37">
        <f>'SC-New (2)'!Q74</f>
        <v>1.6271696272048147E-2</v>
      </c>
      <c r="X93" s="37">
        <f>'SC-New (2)'!R74</f>
        <v>1.6442441260055611E-2</v>
      </c>
      <c r="Y93" s="37">
        <f>'SC-New (2)'!S74</f>
        <v>1.6493103973075022E-2</v>
      </c>
      <c r="Z93" s="37">
        <f>'SC-New (2)'!T74</f>
        <v>1.6274935701900757E-2</v>
      </c>
      <c r="AA93" s="37">
        <f>'SC-New (2)'!U74</f>
        <v>1.611686161701055E-2</v>
      </c>
      <c r="AB93" s="37">
        <f>'SC-New (2)'!V74</f>
        <v>1.5821895378935625E-2</v>
      </c>
      <c r="AC93" s="37">
        <f>'SC-New (2)'!W74</f>
        <v>1.5820656089386285E-2</v>
      </c>
      <c r="AD93" s="37">
        <f>'SC-New (2)'!X74</f>
        <v>1.5794436797946371E-2</v>
      </c>
      <c r="AE93" s="37">
        <f>'SC-New (2)'!Y74</f>
        <v>0.2657276869782228</v>
      </c>
      <c r="AF93" s="479">
        <f t="shared" si="2"/>
        <v>1.4403486023116614</v>
      </c>
      <c r="AG93" s="479">
        <f t="shared" si="3"/>
        <v>1.1455879321189004</v>
      </c>
      <c r="AH93" s="479">
        <f t="shared" si="4"/>
        <v>1.1574088126508824</v>
      </c>
      <c r="AI93" s="479">
        <f t="shared" si="5"/>
        <v>0.94395192888885926</v>
      </c>
      <c r="AJ93" s="479">
        <f t="shared" si="6"/>
        <v>0.85955346681125078</v>
      </c>
      <c r="AK93" s="479">
        <f t="shared" si="7"/>
        <v>0.88320989238719305</v>
      </c>
      <c r="AL93" s="479">
        <f t="shared" si="8"/>
        <v>0.72890464621476858</v>
      </c>
      <c r="AM93" s="479">
        <f t="shared" si="9"/>
        <v>0.83142614186746877</v>
      </c>
      <c r="AN93" s="479">
        <f t="shared" si="10"/>
        <v>0.91552576880013092</v>
      </c>
      <c r="AO93" s="479">
        <f t="shared" si="11"/>
        <v>1.3361304308256319</v>
      </c>
      <c r="AP93" s="479">
        <f t="shared" si="12"/>
        <v>1.3487789575018005</v>
      </c>
      <c r="AQ93" s="479">
        <f t="shared" si="13"/>
        <v>1.4806923521872546</v>
      </c>
      <c r="AR93" s="479"/>
      <c r="AS93" s="479">
        <f t="shared" si="14"/>
        <v>0.75140480253281761</v>
      </c>
      <c r="AT93" s="479">
        <f t="shared" si="15"/>
        <v>0.57749022612854406</v>
      </c>
      <c r="AU93" s="479">
        <f t="shared" si="16"/>
        <v>0.53824125618452068</v>
      </c>
      <c r="AV93" s="479">
        <f t="shared" si="17"/>
        <v>0.52798821450261002</v>
      </c>
      <c r="AW93" s="479">
        <f t="shared" si="18"/>
        <v>0.51298372968757655</v>
      </c>
      <c r="AX93" s="479">
        <f t="shared" si="19"/>
        <v>0.47972999605023692</v>
      </c>
      <c r="AY93" s="479">
        <f t="shared" si="20"/>
        <v>0.54727856493284177</v>
      </c>
      <c r="AZ93" s="479">
        <f t="shared" si="21"/>
        <v>0.4950940540058737</v>
      </c>
      <c r="BA93" s="479">
        <f t="shared" si="22"/>
        <v>0.57384491953058547</v>
      </c>
      <c r="BB93" s="479">
        <f t="shared" si="23"/>
        <v>0.57048027814806623</v>
      </c>
      <c r="BC93" s="479">
        <f t="shared" si="24"/>
        <v>0.71848236164278922</v>
      </c>
      <c r="BD93" s="479">
        <f t="shared" si="25"/>
        <v>0.76646598135103916</v>
      </c>
    </row>
    <row r="94" spans="1:56" ht="15">
      <c r="A94" s="63" t="str">
        <f>VLOOKUP(CONCATENATE($C94," - ",$B94),[2]ACHIEV!$B$12:$C$100,2,FALSE)</f>
        <v>LO20Fast</v>
      </c>
      <c r="B94" s="63" t="str">
        <f>'SC-New (2)'!$C$7</f>
        <v>New</v>
      </c>
      <c r="C94" s="63" t="str">
        <f>'SC-New (2)'!$C$8</f>
        <v>Lighting</v>
      </c>
      <c r="D94" s="63" t="s">
        <v>795</v>
      </c>
      <c r="E94" s="63" t="str">
        <f>'SC-New (2)'!$A$9</f>
        <v>Lighting</v>
      </c>
      <c r="F94" s="478">
        <f t="shared" si="1"/>
        <v>3.96210803600704E-3</v>
      </c>
      <c r="G94" s="71">
        <f>'SC-New (2)'!A75</f>
        <v>15.166068390464758</v>
      </c>
      <c r="H94" s="71">
        <f>'SC-New (2)'!B75</f>
        <v>-19.792953526125213</v>
      </c>
      <c r="I94" s="1" t="str">
        <f>'SC-New (2)'!C75</f>
        <v>Multifamily - High Rise</v>
      </c>
      <c r="J94" s="1" t="str">
        <f>'SC-New (2)'!D75</f>
        <v>2017 - LEDDecorative and Mini-Base665 to 1439 lumensANY</v>
      </c>
      <c r="K94" s="37">
        <f>'SC-New (2)'!E75</f>
        <v>0</v>
      </c>
      <c r="L94" s="37">
        <f>'SC-New (2)'!F75</f>
        <v>1.4839263709589023E-3</v>
      </c>
      <c r="M94" s="37">
        <f>'SC-New (2)'!G75</f>
        <v>1.9186441600658498E-3</v>
      </c>
      <c r="N94" s="37">
        <f>'SC-New (2)'!H75</f>
        <v>2.1284700905727272E-3</v>
      </c>
      <c r="O94" s="37">
        <f>'SC-New (2)'!I75</f>
        <v>2.2214530291545047E-3</v>
      </c>
      <c r="P94" s="37">
        <f>'SC-New (2)'!J75</f>
        <v>2.3888718306550069E-3</v>
      </c>
      <c r="Q94" s="37">
        <f>'SC-New (2)'!K75</f>
        <v>2.5572518129705372E-3</v>
      </c>
      <c r="R94" s="37">
        <f>'SC-New (2)'!L75</f>
        <v>2.7976402189993132E-3</v>
      </c>
      <c r="S94" s="37">
        <f>'SC-New (2)'!M75</f>
        <v>2.9832517266564292E-3</v>
      </c>
      <c r="T94" s="37">
        <f>'SC-New (2)'!N75</f>
        <v>3.1826310014030708E-3</v>
      </c>
      <c r="U94" s="37">
        <f>'SC-New (2)'!O75</f>
        <v>3.2556372902542677E-3</v>
      </c>
      <c r="V94" s="37">
        <f>'SC-New (2)'!P75</f>
        <v>3.3265751934498525E-3</v>
      </c>
      <c r="W94" s="37">
        <f>'SC-New (2)'!Q75</f>
        <v>3.3621914410952524E-3</v>
      </c>
      <c r="X94" s="37">
        <f>'SC-New (2)'!R75</f>
        <v>3.397472171984679E-3</v>
      </c>
      <c r="Y94" s="37">
        <f>'SC-New (2)'!S75</f>
        <v>3.4079405175860599E-3</v>
      </c>
      <c r="Z94" s="37">
        <f>'SC-New (2)'!T75</f>
        <v>3.3628607986804964E-3</v>
      </c>
      <c r="AA94" s="37">
        <f>'SC-New (2)'!U75</f>
        <v>3.3301982337953706E-3</v>
      </c>
      <c r="AB94" s="37">
        <f>'SC-New (2)'!V75</f>
        <v>3.2692498886144694E-3</v>
      </c>
      <c r="AC94" s="37">
        <f>'SC-New (2)'!W75</f>
        <v>3.2689938164357506E-3</v>
      </c>
      <c r="AD94" s="37">
        <f>'SC-New (2)'!X75</f>
        <v>3.2635761712316489E-3</v>
      </c>
      <c r="AE94" s="37">
        <f>'SC-New (2)'!Y75</f>
        <v>5.4906835764564198E-2</v>
      </c>
      <c r="AF94" s="479">
        <f t="shared" si="2"/>
        <v>1.0851135964016425</v>
      </c>
      <c r="AG94" s="479">
        <f t="shared" si="3"/>
        <v>0.86305012482449117</v>
      </c>
      <c r="AH94" s="479">
        <f t="shared" si="4"/>
        <v>0.87195560657113691</v>
      </c>
      <c r="AI94" s="479">
        <f t="shared" si="5"/>
        <v>0.71114386527187501</v>
      </c>
      <c r="AJ94" s="479">
        <f t="shared" si="6"/>
        <v>0.64756070313402958</v>
      </c>
      <c r="AK94" s="479">
        <f t="shared" si="7"/>
        <v>0.66538271441207719</v>
      </c>
      <c r="AL94" s="479">
        <f t="shared" si="8"/>
        <v>0.54913396716500618</v>
      </c>
      <c r="AM94" s="479">
        <f t="shared" si="9"/>
        <v>0.62637045608000386</v>
      </c>
      <c r="AN94" s="479">
        <f t="shared" si="10"/>
        <v>0.68972848516440399</v>
      </c>
      <c r="AO94" s="479">
        <f t="shared" si="11"/>
        <v>1.0065988849699035</v>
      </c>
      <c r="AP94" s="479">
        <f t="shared" si="12"/>
        <v>1.0161278894405794</v>
      </c>
      <c r="AQ94" s="479">
        <f t="shared" si="13"/>
        <v>1.1155073159842306</v>
      </c>
      <c r="AR94" s="479"/>
      <c r="AS94" s="479">
        <f t="shared" si="14"/>
        <v>0.56608488134140256</v>
      </c>
      <c r="AT94" s="479">
        <f t="shared" si="15"/>
        <v>0.435063077893382</v>
      </c>
      <c r="AU94" s="479">
        <f t="shared" si="16"/>
        <v>0.40549413127680195</v>
      </c>
      <c r="AV94" s="479">
        <f t="shared" si="17"/>
        <v>0.39776981029252217</v>
      </c>
      <c r="AW94" s="479">
        <f t="shared" si="18"/>
        <v>0.38646590063227465</v>
      </c>
      <c r="AX94" s="479">
        <f t="shared" si="19"/>
        <v>0.36141357757445147</v>
      </c>
      <c r="AY94" s="479">
        <f t="shared" si="20"/>
        <v>0.4123025570856263</v>
      </c>
      <c r="AZ94" s="479">
        <f t="shared" si="21"/>
        <v>0.37298837839475796</v>
      </c>
      <c r="BA94" s="479">
        <f t="shared" si="22"/>
        <v>0.43231681789344234</v>
      </c>
      <c r="BB94" s="479">
        <f t="shared" si="23"/>
        <v>0.42978200229024216</v>
      </c>
      <c r="BC94" s="479">
        <f t="shared" si="24"/>
        <v>0.54128214387967721</v>
      </c>
      <c r="BD94" s="479">
        <f t="shared" si="25"/>
        <v>0.57743150249079578</v>
      </c>
    </row>
    <row r="95" spans="1:56" ht="15">
      <c r="A95" s="63" t="str">
        <f>VLOOKUP(CONCATENATE($C95," - ",$B95),[2]ACHIEV!$B$12:$C$100,2,FALSE)</f>
        <v>LO20Fast</v>
      </c>
      <c r="B95" s="63" t="str">
        <f>'SC-New (2)'!$C$7</f>
        <v>New</v>
      </c>
      <c r="C95" s="63" t="str">
        <f>'SC-New (2)'!$C$8</f>
        <v>Lighting</v>
      </c>
      <c r="D95" s="63" t="s">
        <v>795</v>
      </c>
      <c r="E95" s="63" t="str">
        <f>'SC-New (2)'!$A$9</f>
        <v>Lighting</v>
      </c>
      <c r="F95" s="478">
        <f t="shared" si="1"/>
        <v>1.962157373850039E-3</v>
      </c>
      <c r="G95" s="71">
        <f>'SC-New (2)'!A76</f>
        <v>7.5107020440195642</v>
      </c>
      <c r="H95" s="71">
        <f>'SC-New (2)'!B76</f>
        <v>253.66864707291808</v>
      </c>
      <c r="I95" s="1" t="str">
        <f>'SC-New (2)'!C76</f>
        <v>Multifamily - High Rise</v>
      </c>
      <c r="J95" s="1" t="str">
        <f>'SC-New (2)'!D76</f>
        <v>2017 - LEDDecorative and Mini-Base1440 to 2600 lumensANY</v>
      </c>
      <c r="K95" s="37">
        <f>'SC-New (2)'!E76</f>
        <v>0</v>
      </c>
      <c r="L95" s="37">
        <f>'SC-New (2)'!F76</f>
        <v>1.4437917558781602E-5</v>
      </c>
      <c r="M95" s="37">
        <f>'SC-New (2)'!G76</f>
        <v>1.8667520673393106E-5</v>
      </c>
      <c r="N95" s="37">
        <f>'SC-New (2)'!H76</f>
        <v>2.070902997307307E-5</v>
      </c>
      <c r="O95" s="37">
        <f>'SC-New (2)'!I76</f>
        <v>2.1613710978741465E-5</v>
      </c>
      <c r="P95" s="37">
        <f>'SC-New (2)'!J76</f>
        <v>2.3242618518333416E-5</v>
      </c>
      <c r="Q95" s="37">
        <f>'SC-New (2)'!K76</f>
        <v>2.4880877902894253E-5</v>
      </c>
      <c r="R95" s="37">
        <f>'SC-New (2)'!L76</f>
        <v>2.7219745960133258E-5</v>
      </c>
      <c r="S95" s="37">
        <f>'SC-New (2)'!M76</f>
        <v>2.902566012000018E-5</v>
      </c>
      <c r="T95" s="37">
        <f>'SC-New (2)'!N76</f>
        <v>3.0965528288702876E-5</v>
      </c>
      <c r="U95" s="37">
        <f>'SC-New (2)'!O76</f>
        <v>3.1675845727852534E-5</v>
      </c>
      <c r="V95" s="37">
        <f>'SC-New (2)'!P76</f>
        <v>3.2366038730803776E-5</v>
      </c>
      <c r="W95" s="37">
        <f>'SC-New (2)'!Q76</f>
        <v>3.2712568354726538E-5</v>
      </c>
      <c r="X95" s="37">
        <f>'SC-New (2)'!R76</f>
        <v>3.3055833555725652E-5</v>
      </c>
      <c r="Y95" s="37">
        <f>'SC-New (2)'!S76</f>
        <v>3.3157685718829884E-5</v>
      </c>
      <c r="Z95" s="37">
        <f>'SC-New (2)'!T76</f>
        <v>3.271908089458176E-5</v>
      </c>
      <c r="AA95" s="37">
        <f>'SC-New (2)'!U76</f>
        <v>3.2401289238406084E-5</v>
      </c>
      <c r="AB95" s="37">
        <f>'SC-New (2)'!V76</f>
        <v>3.1808290016687692E-5</v>
      </c>
      <c r="AC95" s="37">
        <f>'SC-New (2)'!W76</f>
        <v>3.1805798552772909E-5</v>
      </c>
      <c r="AD95" s="37">
        <f>'SC-New (2)'!X76</f>
        <v>3.1753087369556318E-5</v>
      </c>
      <c r="AE95" s="37">
        <f>'SC-New (2)'!Y76</f>
        <v>5.3421812813399629E-4</v>
      </c>
      <c r="AF95" s="479">
        <f t="shared" si="2"/>
        <v>0.53738152147667351</v>
      </c>
      <c r="AG95" s="479">
        <f t="shared" si="3"/>
        <v>0.42740888209933781</v>
      </c>
      <c r="AH95" s="479">
        <f t="shared" si="4"/>
        <v>0.43181914969377672</v>
      </c>
      <c r="AI95" s="479">
        <f t="shared" si="5"/>
        <v>0.35218024506915513</v>
      </c>
      <c r="AJ95" s="479">
        <f t="shared" si="6"/>
        <v>0.32069191377993372</v>
      </c>
      <c r="AK95" s="479">
        <f t="shared" si="7"/>
        <v>0.32951792017053727</v>
      </c>
      <c r="AL95" s="479">
        <f t="shared" si="8"/>
        <v>0.27194797645907187</v>
      </c>
      <c r="AM95" s="479">
        <f t="shared" si="9"/>
        <v>0.31019785376619841</v>
      </c>
      <c r="AN95" s="479">
        <f t="shared" si="10"/>
        <v>0.34157469226499099</v>
      </c>
      <c r="AO95" s="479">
        <f t="shared" si="11"/>
        <v>0.49849862919018445</v>
      </c>
      <c r="AP95" s="479">
        <f t="shared" si="12"/>
        <v>0.50321768435416969</v>
      </c>
      <c r="AQ95" s="479">
        <f t="shared" si="13"/>
        <v>0.5524334232561634</v>
      </c>
      <c r="AR95" s="479"/>
      <c r="AS95" s="479">
        <f t="shared" si="14"/>
        <v>0.28034258885793889</v>
      </c>
      <c r="AT95" s="479">
        <f t="shared" si="15"/>
        <v>0.21545657478807742</v>
      </c>
      <c r="AU95" s="479">
        <f t="shared" si="16"/>
        <v>0.20081312586810013</v>
      </c>
      <c r="AV95" s="479">
        <f t="shared" si="17"/>
        <v>0.19698780529643709</v>
      </c>
      <c r="AW95" s="479">
        <f t="shared" si="18"/>
        <v>0.19138976266569091</v>
      </c>
      <c r="AX95" s="479">
        <f t="shared" si="19"/>
        <v>0.17898308420734163</v>
      </c>
      <c r="AY95" s="479">
        <f t="shared" si="20"/>
        <v>0.20418486706841296</v>
      </c>
      <c r="AZ95" s="479">
        <f t="shared" si="21"/>
        <v>0.18471528044581126</v>
      </c>
      <c r="BA95" s="479">
        <f t="shared" si="22"/>
        <v>0.21409654263841862</v>
      </c>
      <c r="BB95" s="479">
        <f t="shared" si="23"/>
        <v>0.21284122423670696</v>
      </c>
      <c r="BC95" s="479">
        <f t="shared" si="24"/>
        <v>0.26805951283883145</v>
      </c>
      <c r="BD95" s="479">
        <f t="shared" si="25"/>
        <v>0.28596178352760315</v>
      </c>
    </row>
    <row r="96" spans="1:56" ht="15">
      <c r="A96" s="63" t="str">
        <f>VLOOKUP(CONCATENATE($C96," - ",$B96),[2]ACHIEV!$B$12:$C$100,2,FALSE)</f>
        <v>LO20Fast</v>
      </c>
      <c r="B96" s="63" t="str">
        <f>'SC-New (2)'!$C$7</f>
        <v>New</v>
      </c>
      <c r="C96" s="63" t="str">
        <f>'SC-New (2)'!$C$8</f>
        <v>Lighting</v>
      </c>
      <c r="D96" s="63" t="s">
        <v>795</v>
      </c>
      <c r="E96" s="63" t="str">
        <f>'SC-New (2)'!$A$9</f>
        <v>Lighting</v>
      </c>
      <c r="F96" s="478">
        <f t="shared" si="1"/>
        <v>5.0185805390402609E-4</v>
      </c>
      <c r="G96" s="71">
        <f>'SC-New (2)'!A77</f>
        <v>1.9210010172979759</v>
      </c>
      <c r="H96" s="71">
        <f>'SC-New (2)'!B77</f>
        <v>19.879331870717266</v>
      </c>
      <c r="I96" s="1" t="str">
        <f>'SC-New (2)'!C77</f>
        <v>Multifamily - High Rise</v>
      </c>
      <c r="J96" s="1" t="str">
        <f>'SC-New (2)'!D77</f>
        <v>2017 - LEDGeneral Purpose and Dimmable250 to 664 lumensANY</v>
      </c>
      <c r="K96" s="37">
        <f>'SC-New (2)'!E77</f>
        <v>0</v>
      </c>
      <c r="L96" s="37">
        <f>'SC-New (2)'!F77</f>
        <v>5.722647581597951E-4</v>
      </c>
      <c r="M96" s="37">
        <f>'SC-New (2)'!G77</f>
        <v>7.399103201766573E-4</v>
      </c>
      <c r="N96" s="37">
        <f>'SC-New (2)'!H77</f>
        <v>8.2082807170875006E-4</v>
      </c>
      <c r="O96" s="37">
        <f>'SC-New (2)'!I77</f>
        <v>8.5668622471542731E-4</v>
      </c>
      <c r="P96" s="37">
        <f>'SC-New (2)'!J77</f>
        <v>9.2124999406887405E-4</v>
      </c>
      <c r="Q96" s="37">
        <f>'SC-New (2)'!K77</f>
        <v>9.8618443538922183E-4</v>
      </c>
      <c r="R96" s="37">
        <f>'SC-New (2)'!L77</f>
        <v>1.0788883698516724E-3</v>
      </c>
      <c r="S96" s="37">
        <f>'SC-New (2)'!M77</f>
        <v>1.1504680159984261E-3</v>
      </c>
      <c r="T96" s="37">
        <f>'SC-New (2)'!N77</f>
        <v>1.2273570953206254E-3</v>
      </c>
      <c r="U96" s="37">
        <f>'SC-New (2)'!O77</f>
        <v>1.2555114074557867E-3</v>
      </c>
      <c r="V96" s="37">
        <f>'SC-New (2)'!P77</f>
        <v>1.2828680626180988E-3</v>
      </c>
      <c r="W96" s="37">
        <f>'SC-New (2)'!Q77</f>
        <v>1.2966031937837943E-3</v>
      </c>
      <c r="X96" s="37">
        <f>'SC-New (2)'!R77</f>
        <v>1.3102089355006771E-3</v>
      </c>
      <c r="Y96" s="37">
        <f>'SC-New (2)'!S77</f>
        <v>1.3142459722304959E-3</v>
      </c>
      <c r="Z96" s="37">
        <f>'SC-New (2)'!T77</f>
        <v>1.2968613263732124E-3</v>
      </c>
      <c r="AA96" s="37">
        <f>'SC-New (2)'!U77</f>
        <v>1.2842652601797219E-3</v>
      </c>
      <c r="AB96" s="37">
        <f>'SC-New (2)'!V77</f>
        <v>1.2607610010077184E-3</v>
      </c>
      <c r="AC96" s="37">
        <f>'SC-New (2)'!W77</f>
        <v>1.2606622487473004E-3</v>
      </c>
      <c r="AD96" s="37">
        <f>'SC-New (2)'!X77</f>
        <v>1.2585729756652961E-3</v>
      </c>
      <c r="AE96" s="37">
        <f>'SC-New (2)'!Y77</f>
        <v>2.1174397668951548E-2</v>
      </c>
      <c r="AF96" s="479">
        <f t="shared" si="2"/>
        <v>0.13744526721783706</v>
      </c>
      <c r="AG96" s="479">
        <f t="shared" si="3"/>
        <v>0.10931772988768557</v>
      </c>
      <c r="AH96" s="479">
        <f t="shared" si="4"/>
        <v>0.11044573742756919</v>
      </c>
      <c r="AI96" s="479">
        <f t="shared" si="5"/>
        <v>9.0076614021560725E-2</v>
      </c>
      <c r="AJ96" s="479">
        <f t="shared" si="6"/>
        <v>8.2022890669856893E-2</v>
      </c>
      <c r="AK96" s="479">
        <f t="shared" si="7"/>
        <v>8.4280305110698436E-2</v>
      </c>
      <c r="AL96" s="479">
        <f t="shared" si="8"/>
        <v>6.955572679733403E-2</v>
      </c>
      <c r="AM96" s="479">
        <f t="shared" si="9"/>
        <v>7.9338840651120859E-2</v>
      </c>
      <c r="AN96" s="479">
        <f t="shared" si="10"/>
        <v>8.7364047658735955E-2</v>
      </c>
      <c r="AO96" s="479">
        <f t="shared" si="11"/>
        <v>0.12750024807048468</v>
      </c>
      <c r="AP96" s="479">
        <f t="shared" si="12"/>
        <v>0.12870723374473589</v>
      </c>
      <c r="AQ96" s="479">
        <f t="shared" si="13"/>
        <v>0.14129506960131633</v>
      </c>
      <c r="AR96" s="479"/>
      <c r="AS96" s="479">
        <f t="shared" si="14"/>
        <v>7.1702804242762208E-2</v>
      </c>
      <c r="AT96" s="479">
        <f t="shared" si="15"/>
        <v>5.5107005566942716E-2</v>
      </c>
      <c r="AU96" s="479">
        <f t="shared" si="16"/>
        <v>5.1361672559833739E-2</v>
      </c>
      <c r="AV96" s="479">
        <f t="shared" si="17"/>
        <v>5.0383276044223477E-2</v>
      </c>
      <c r="AW96" s="479">
        <f t="shared" si="18"/>
        <v>4.8951473061557747E-2</v>
      </c>
      <c r="AX96" s="479">
        <f t="shared" si="19"/>
        <v>4.5778235486682146E-2</v>
      </c>
      <c r="AY96" s="479">
        <f t="shared" si="20"/>
        <v>5.2224057758701252E-2</v>
      </c>
      <c r="AZ96" s="479">
        <f t="shared" si="21"/>
        <v>4.7244350736749853E-2</v>
      </c>
      <c r="BA96" s="479">
        <f t="shared" si="22"/>
        <v>5.4759152180170065E-2</v>
      </c>
      <c r="BB96" s="479">
        <f t="shared" si="23"/>
        <v>5.4438081271939699E-2</v>
      </c>
      <c r="BC96" s="479">
        <f t="shared" si="24"/>
        <v>6.8561180278722517E-2</v>
      </c>
      <c r="BD96" s="479">
        <f t="shared" si="25"/>
        <v>7.3140017250754669E-2</v>
      </c>
    </row>
    <row r="97" spans="1:56" ht="15">
      <c r="A97" s="63" t="str">
        <f>VLOOKUP(CONCATENATE($C97," - ",$B97),[2]ACHIEV!$B$12:$C$100,2,FALSE)</f>
        <v>LO20Fast</v>
      </c>
      <c r="B97" s="63" t="str">
        <f>'SC-New (2)'!$C$7</f>
        <v>New</v>
      </c>
      <c r="C97" s="63" t="str">
        <f>'SC-New (2)'!$C$8</f>
        <v>Lighting</v>
      </c>
      <c r="D97" s="63" t="s">
        <v>795</v>
      </c>
      <c r="E97" s="63" t="str">
        <f>'SC-New (2)'!$A$9</f>
        <v>Lighting</v>
      </c>
      <c r="F97" s="478">
        <f t="shared" si="1"/>
        <v>1.9587879633994761E-3</v>
      </c>
      <c r="G97" s="71">
        <f>'SC-New (2)'!A78</f>
        <v>7.4978046901704554</v>
      </c>
      <c r="H97" s="71">
        <f>'SC-New (2)'!B78</f>
        <v>38.047469279788793</v>
      </c>
      <c r="I97" s="1" t="str">
        <f>'SC-New (2)'!C78</f>
        <v>Multifamily - High Rise</v>
      </c>
      <c r="J97" s="1" t="str">
        <f>'SC-New (2)'!D78</f>
        <v>2017 - LEDGeneral Purpose and Dimmable665 to 1439 lumensANY</v>
      </c>
      <c r="K97" s="37">
        <f>'SC-New (2)'!E78</f>
        <v>0</v>
      </c>
      <c r="L97" s="37">
        <f>'SC-New (2)'!F78</f>
        <v>1.7235417893840962E-2</v>
      </c>
      <c r="M97" s="37">
        <f>'SC-New (2)'!G78</f>
        <v>2.2284551670136914E-2</v>
      </c>
      <c r="N97" s="37">
        <f>'SC-New (2)'!H78</f>
        <v>2.4721625144957064E-2</v>
      </c>
      <c r="O97" s="37">
        <f>'SC-New (2)'!I78</f>
        <v>2.5801597733097467E-2</v>
      </c>
      <c r="P97" s="37">
        <f>'SC-New (2)'!J78</f>
        <v>2.7746123461340002E-2</v>
      </c>
      <c r="Q97" s="37">
        <f>'SC-New (2)'!K78</f>
        <v>2.970181305413995E-2</v>
      </c>
      <c r="R97" s="37">
        <f>'SC-New (2)'!L78</f>
        <v>3.2493861713577793E-2</v>
      </c>
      <c r="S97" s="37">
        <f>'SC-New (2)'!M78</f>
        <v>3.464969098043625E-2</v>
      </c>
      <c r="T97" s="37">
        <f>'SC-New (2)'!N78</f>
        <v>3.6965429272362918E-2</v>
      </c>
      <c r="U97" s="37">
        <f>'SC-New (2)'!O78</f>
        <v>3.7813378282404254E-2</v>
      </c>
      <c r="V97" s="37">
        <f>'SC-New (2)'!P78</f>
        <v>3.8637303532346852E-2</v>
      </c>
      <c r="W97" s="37">
        <f>'SC-New (2)'!Q78</f>
        <v>3.9050976962506555E-2</v>
      </c>
      <c r="X97" s="37">
        <f>'SC-New (2)'!R78</f>
        <v>3.9460753453025063E-2</v>
      </c>
      <c r="Y97" s="37">
        <f>'SC-New (2)'!S78</f>
        <v>3.9582340557768249E-2</v>
      </c>
      <c r="Z97" s="37">
        <f>'SC-New (2)'!T78</f>
        <v>3.9058751376337235E-2</v>
      </c>
      <c r="AA97" s="37">
        <f>'SC-New (2)'!U78</f>
        <v>3.8679384201322976E-2</v>
      </c>
      <c r="AB97" s="37">
        <f>'SC-New (2)'!V78</f>
        <v>3.7971485063138591E-2</v>
      </c>
      <c r="AC97" s="37">
        <f>'SC-New (2)'!W78</f>
        <v>3.7968510851548586E-2</v>
      </c>
      <c r="AD97" s="37">
        <f>'SC-New (2)'!X78</f>
        <v>3.7905586315048236E-2</v>
      </c>
      <c r="AE97" s="37">
        <f>'SC-New (2)'!Y78</f>
        <v>0.63772858151933609</v>
      </c>
      <c r="AF97" s="479">
        <f t="shared" si="2"/>
        <v>0.53645873162376279</v>
      </c>
      <c r="AG97" s="479">
        <f t="shared" si="3"/>
        <v>0.42667493691573455</v>
      </c>
      <c r="AH97" s="479">
        <f t="shared" si="4"/>
        <v>0.43107763121257736</v>
      </c>
      <c r="AI97" s="479">
        <f t="shared" si="5"/>
        <v>0.35157548226366747</v>
      </c>
      <c r="AJ97" s="479">
        <f t="shared" si="6"/>
        <v>0.32014122263757089</v>
      </c>
      <c r="AK97" s="479">
        <f t="shared" si="7"/>
        <v>0.32895207303785196</v>
      </c>
      <c r="AL97" s="479">
        <f t="shared" si="8"/>
        <v>0.27148098825205935</v>
      </c>
      <c r="AM97" s="479">
        <f t="shared" si="9"/>
        <v>0.30966518299057599</v>
      </c>
      <c r="AN97" s="479">
        <f t="shared" si="10"/>
        <v>0.34098814128131166</v>
      </c>
      <c r="AO97" s="479">
        <f t="shared" si="11"/>
        <v>0.49764260891720863</v>
      </c>
      <c r="AP97" s="479">
        <f t="shared" si="12"/>
        <v>0.50235356053455782</v>
      </c>
      <c r="AQ97" s="479">
        <f t="shared" si="13"/>
        <v>0.55148478632501485</v>
      </c>
      <c r="AR97" s="479"/>
      <c r="AS97" s="479">
        <f t="shared" si="14"/>
        <v>0.27986118544900518</v>
      </c>
      <c r="AT97" s="479">
        <f t="shared" si="15"/>
        <v>0.21508659343774925</v>
      </c>
      <c r="AU97" s="479">
        <f t="shared" si="16"/>
        <v>0.20046829020204826</v>
      </c>
      <c r="AV97" s="479">
        <f t="shared" si="17"/>
        <v>0.19664953845879962</v>
      </c>
      <c r="AW97" s="479">
        <f t="shared" si="18"/>
        <v>0.19106110876919372</v>
      </c>
      <c r="AX97" s="479">
        <f t="shared" si="19"/>
        <v>0.17867573501994241</v>
      </c>
      <c r="AY97" s="479">
        <f t="shared" si="20"/>
        <v>0.20383424145901183</v>
      </c>
      <c r="AZ97" s="479">
        <f t="shared" si="21"/>
        <v>0.18439808794911994</v>
      </c>
      <c r="BA97" s="479">
        <f t="shared" si="22"/>
        <v>0.21372889673100612</v>
      </c>
      <c r="BB97" s="479">
        <f t="shared" si="23"/>
        <v>0.21247573395809255</v>
      </c>
      <c r="BC97" s="479">
        <f t="shared" si="24"/>
        <v>0.26759920188927711</v>
      </c>
      <c r="BD97" s="479">
        <f t="shared" si="25"/>
        <v>0.28547073085531477</v>
      </c>
    </row>
    <row r="98" spans="1:56" ht="15">
      <c r="A98" s="63" t="str">
        <f>VLOOKUP(CONCATENATE($C98," - ",$B98),[2]ACHIEV!$B$12:$C$100,2,FALSE)</f>
        <v>LO20Fast</v>
      </c>
      <c r="B98" s="63" t="str">
        <f>'SC-New (2)'!$C$7</f>
        <v>New</v>
      </c>
      <c r="C98" s="63" t="str">
        <f>'SC-New (2)'!$C$8</f>
        <v>Lighting</v>
      </c>
      <c r="D98" s="63" t="s">
        <v>795</v>
      </c>
      <c r="E98" s="63" t="str">
        <f>'SC-New (2)'!$A$9</f>
        <v>Lighting</v>
      </c>
      <c r="F98" s="478">
        <f t="shared" si="1"/>
        <v>3.659906529973458E-3</v>
      </c>
      <c r="G98" s="71">
        <f>'SC-New (2)'!A79</f>
        <v>14.009308234872018</v>
      </c>
      <c r="H98" s="71">
        <f>'SC-New (2)'!B79</f>
        <v>64.372768585347757</v>
      </c>
      <c r="I98" s="1" t="str">
        <f>'SC-New (2)'!C79</f>
        <v>Multifamily - High Rise</v>
      </c>
      <c r="J98" s="1" t="str">
        <f>'SC-New (2)'!D79</f>
        <v>2017 - LEDGeneral Purpose and Dimmable1440 to 2600 lumensANY</v>
      </c>
      <c r="K98" s="37">
        <f>'SC-New (2)'!E79</f>
        <v>0</v>
      </c>
      <c r="L98" s="37">
        <f>'SC-New (2)'!F79</f>
        <v>3.2107399260250203E-3</v>
      </c>
      <c r="M98" s="37">
        <f>'SC-New (2)'!G79</f>
        <v>4.1513295599548139E-3</v>
      </c>
      <c r="N98" s="37">
        <f>'SC-New (2)'!H79</f>
        <v>4.6053254628367372E-3</v>
      </c>
      <c r="O98" s="37">
        <f>'SC-New (2)'!I79</f>
        <v>4.8065106693175198E-3</v>
      </c>
      <c r="P98" s="37">
        <f>'SC-New (2)'!J79</f>
        <v>5.1687511691595484E-3</v>
      </c>
      <c r="Q98" s="37">
        <f>'SC-New (2)'!K79</f>
        <v>5.5330713554869286E-3</v>
      </c>
      <c r="R98" s="37">
        <f>'SC-New (2)'!L79</f>
        <v>6.0531946365978079E-3</v>
      </c>
      <c r="S98" s="37">
        <f>'SC-New (2)'!M79</f>
        <v>6.4547983077956608E-3</v>
      </c>
      <c r="T98" s="37">
        <f>'SC-New (2)'!N79</f>
        <v>6.8861910038074525E-3</v>
      </c>
      <c r="U98" s="37">
        <f>'SC-New (2)'!O79</f>
        <v>7.0441531581655441E-3</v>
      </c>
      <c r="V98" s="37">
        <f>'SC-New (2)'!P79</f>
        <v>7.1976399904747383E-3</v>
      </c>
      <c r="W98" s="37">
        <f>'SC-New (2)'!Q79</f>
        <v>7.2747021079545889E-3</v>
      </c>
      <c r="X98" s="37">
        <f>'SC-New (2)'!R79</f>
        <v>7.351038274965911E-3</v>
      </c>
      <c r="Y98" s="37">
        <f>'SC-New (2)'!S79</f>
        <v>7.3736884116839922E-3</v>
      </c>
      <c r="Z98" s="37">
        <f>'SC-New (2)'!T79</f>
        <v>7.2761503827246761E-3</v>
      </c>
      <c r="AA98" s="37">
        <f>'SC-New (2)'!U79</f>
        <v>7.2054790858089891E-3</v>
      </c>
      <c r="AB98" s="37">
        <f>'SC-New (2)'!V79</f>
        <v>7.0736064477002541E-3</v>
      </c>
      <c r="AC98" s="37">
        <f>'SC-New (2)'!W79</f>
        <v>7.0730523897737626E-3</v>
      </c>
      <c r="AD98" s="37">
        <f>'SC-New (2)'!X79</f>
        <v>7.0613303460778844E-3</v>
      </c>
      <c r="AE98" s="37">
        <f>'SC-New (2)'!Y79</f>
        <v>0.11880075268631182</v>
      </c>
      <c r="AF98" s="479">
        <f t="shared" si="2"/>
        <v>1.0023488257113993</v>
      </c>
      <c r="AG98" s="479">
        <f t="shared" si="3"/>
        <v>0.79722278111397538</v>
      </c>
      <c r="AH98" s="479">
        <f t="shared" si="4"/>
        <v>0.80544901586095996</v>
      </c>
      <c r="AI98" s="479">
        <f t="shared" si="5"/>
        <v>0.65690285388635883</v>
      </c>
      <c r="AJ98" s="479">
        <f t="shared" si="6"/>
        <v>0.59816936449388325</v>
      </c>
      <c r="AK98" s="479">
        <f t="shared" si="7"/>
        <v>0.61463203912592634</v>
      </c>
      <c r="AL98" s="479">
        <f t="shared" si="8"/>
        <v>0.50724992200941221</v>
      </c>
      <c r="AM98" s="479">
        <f t="shared" si="9"/>
        <v>0.57859535922699556</v>
      </c>
      <c r="AN98" s="479">
        <f t="shared" si="10"/>
        <v>0.63712088711894432</v>
      </c>
      <c r="AO98" s="479">
        <f t="shared" si="11"/>
        <v>0.92982265972689038</v>
      </c>
      <c r="AP98" s="479">
        <f t="shared" si="12"/>
        <v>0.93862485930585982</v>
      </c>
      <c r="AQ98" s="479">
        <f t="shared" si="13"/>
        <v>1.0304243278833694</v>
      </c>
      <c r="AR98" s="479"/>
      <c r="AS98" s="479">
        <f t="shared" si="14"/>
        <v>0.52290794064984647</v>
      </c>
      <c r="AT98" s="479">
        <f t="shared" si="15"/>
        <v>0.40187955130497377</v>
      </c>
      <c r="AU98" s="479">
        <f t="shared" si="16"/>
        <v>0.37456591426555569</v>
      </c>
      <c r="AV98" s="479">
        <f t="shared" si="17"/>
        <v>0.36743074971348882</v>
      </c>
      <c r="AW98" s="479">
        <f t="shared" si="18"/>
        <v>0.35698902212711459</v>
      </c>
      <c r="AX98" s="479">
        <f t="shared" si="19"/>
        <v>0.33384751262836426</v>
      </c>
      <c r="AY98" s="479">
        <f t="shared" si="20"/>
        <v>0.38085504163162015</v>
      </c>
      <c r="AZ98" s="479">
        <f t="shared" si="21"/>
        <v>0.34453946971797317</v>
      </c>
      <c r="BA98" s="479">
        <f t="shared" si="22"/>
        <v>0.39934275654434592</v>
      </c>
      <c r="BB98" s="479">
        <f t="shared" si="23"/>
        <v>0.39700127870120755</v>
      </c>
      <c r="BC98" s="479">
        <f t="shared" si="24"/>
        <v>0.49999698012771288</v>
      </c>
      <c r="BD98" s="479">
        <f t="shared" si="25"/>
        <v>0.53338912199583788</v>
      </c>
    </row>
    <row r="99" spans="1:56" ht="15">
      <c r="A99" s="63" t="str">
        <f>VLOOKUP(CONCATENATE($C99," - ",$B99),[2]ACHIEV!$B$12:$C$100,2,FALSE)</f>
        <v>LO20Fast</v>
      </c>
      <c r="B99" s="63" t="str">
        <f>'SC-New (2)'!$C$7</f>
        <v>New</v>
      </c>
      <c r="C99" s="63" t="str">
        <f>'SC-New (2)'!$C$8</f>
        <v>Lighting</v>
      </c>
      <c r="D99" s="63" t="s">
        <v>795</v>
      </c>
      <c r="E99" s="63" t="str">
        <f>'SC-New (2)'!$A$9</f>
        <v>Lighting</v>
      </c>
      <c r="F99" s="478">
        <f t="shared" si="1"/>
        <v>3.9190405629480479E-3</v>
      </c>
      <c r="G99" s="71">
        <f>'SC-New (2)'!A80</f>
        <v>15.001215681785107</v>
      </c>
      <c r="H99" s="71">
        <f>'SC-New (2)'!B80</f>
        <v>-40.723166254238713</v>
      </c>
      <c r="I99" s="1" t="str">
        <f>'SC-New (2)'!C80</f>
        <v>Multifamily - High Rise</v>
      </c>
      <c r="J99" s="1" t="str">
        <f>'SC-New (2)'!D80</f>
        <v>2017 - LEDGlobe250 to 664 lumensANY</v>
      </c>
      <c r="K99" s="37">
        <f>'SC-New (2)'!E80</f>
        <v>0</v>
      </c>
      <c r="L99" s="37">
        <f>'SC-New (2)'!F80</f>
        <v>2.9384370223591682E-3</v>
      </c>
      <c r="M99" s="37">
        <f>'SC-New (2)'!G80</f>
        <v>3.7992552346297259E-3</v>
      </c>
      <c r="N99" s="37">
        <f>'SC-New (2)'!H80</f>
        <v>4.2147477378419668E-3</v>
      </c>
      <c r="O99" s="37">
        <f>'SC-New (2)'!I80</f>
        <v>4.3988704237942948E-3</v>
      </c>
      <c r="P99" s="37">
        <f>'SC-New (2)'!J80</f>
        <v>4.7303893011427598E-3</v>
      </c>
      <c r="Q99" s="37">
        <f>'SC-New (2)'!K80</f>
        <v>5.0638114867330173E-3</v>
      </c>
      <c r="R99" s="37">
        <f>'SC-New (2)'!L80</f>
        <v>5.5398231041857166E-3</v>
      </c>
      <c r="S99" s="37">
        <f>'SC-New (2)'!M80</f>
        <v>5.9073667617077106E-3</v>
      </c>
      <c r="T99" s="37">
        <f>'SC-New (2)'!N80</f>
        <v>6.3021730363802689E-3</v>
      </c>
      <c r="U99" s="37">
        <f>'SC-New (2)'!O80</f>
        <v>6.4467384179407988E-3</v>
      </c>
      <c r="V99" s="37">
        <f>'SC-New (2)'!P80</f>
        <v>6.5872080295858396E-3</v>
      </c>
      <c r="W99" s="37">
        <f>'SC-New (2)'!Q80</f>
        <v>6.6577345076692029E-3</v>
      </c>
      <c r="X99" s="37">
        <f>'SC-New (2)'!R80</f>
        <v>6.7275966031547013E-3</v>
      </c>
      <c r="Y99" s="37">
        <f>'SC-New (2)'!S80</f>
        <v>6.748325781421192E-3</v>
      </c>
      <c r="Z99" s="37">
        <f>'SC-New (2)'!T80</f>
        <v>6.6590599542332438E-3</v>
      </c>
      <c r="AA99" s="37">
        <f>'SC-New (2)'!U80</f>
        <v>6.5943822911213989E-3</v>
      </c>
      <c r="AB99" s="37">
        <f>'SC-New (2)'!V80</f>
        <v>6.4736937735264486E-3</v>
      </c>
      <c r="AC99" s="37">
        <f>'SC-New (2)'!W80</f>
        <v>6.4731867052614253E-3</v>
      </c>
      <c r="AD99" s="37">
        <f>'SC-New (2)'!X80</f>
        <v>6.4624588082759097E-3</v>
      </c>
      <c r="AE99" s="37">
        <f>'SC-New (2)'!Y80</f>
        <v>0.10872525898096477</v>
      </c>
      <c r="AF99" s="479">
        <f t="shared" si="2"/>
        <v>1.0733185872412989</v>
      </c>
      <c r="AG99" s="479">
        <f t="shared" si="3"/>
        <v>0.85366890965780484</v>
      </c>
      <c r="AH99" s="479">
        <f t="shared" si="4"/>
        <v>0.86247759025927351</v>
      </c>
      <c r="AI99" s="479">
        <f t="shared" si="5"/>
        <v>0.70341384655953076</v>
      </c>
      <c r="AJ99" s="479">
        <f t="shared" si="6"/>
        <v>0.64052182310278416</v>
      </c>
      <c r="AK99" s="479">
        <f t="shared" si="7"/>
        <v>0.65815011200284546</v>
      </c>
      <c r="AL99" s="479">
        <f t="shared" si="8"/>
        <v>0.54316496982275031</v>
      </c>
      <c r="AM99" s="479">
        <f t="shared" si="9"/>
        <v>0.61956191060445931</v>
      </c>
      <c r="AN99" s="479">
        <f t="shared" si="10"/>
        <v>0.68223124816761238</v>
      </c>
      <c r="AO99" s="479">
        <f t="shared" si="11"/>
        <v>0.99565731801471724</v>
      </c>
      <c r="AP99" s="479">
        <f t="shared" si="12"/>
        <v>1.0050827437491268</v>
      </c>
      <c r="AQ99" s="479">
        <f t="shared" si="13"/>
        <v>1.1033819320114413</v>
      </c>
      <c r="AR99" s="479"/>
      <c r="AS99" s="479">
        <f t="shared" si="14"/>
        <v>0.55993163030566262</v>
      </c>
      <c r="AT99" s="479">
        <f t="shared" si="15"/>
        <v>0.43033401265440924</v>
      </c>
      <c r="AU99" s="479">
        <f t="shared" si="16"/>
        <v>0.40108647570162925</v>
      </c>
      <c r="AV99" s="479">
        <f t="shared" si="17"/>
        <v>0.39344611683621805</v>
      </c>
      <c r="AW99" s="479">
        <f t="shared" si="18"/>
        <v>0.38226507884436772</v>
      </c>
      <c r="AX99" s="479">
        <f t="shared" si="19"/>
        <v>0.35748507048330508</v>
      </c>
      <c r="AY99" s="479">
        <f t="shared" si="20"/>
        <v>0.40782089502389868</v>
      </c>
      <c r="AZ99" s="479">
        <f t="shared" si="21"/>
        <v>0.36893405509214999</v>
      </c>
      <c r="BA99" s="479">
        <f t="shared" si="22"/>
        <v>0.42761760405616928</v>
      </c>
      <c r="BB99" s="479">
        <f t="shared" si="23"/>
        <v>0.42511034148829985</v>
      </c>
      <c r="BC99" s="479">
        <f t="shared" si="24"/>
        <v>0.53539849458566535</v>
      </c>
      <c r="BD99" s="479">
        <f t="shared" si="25"/>
        <v>0.57115491551968489</v>
      </c>
    </row>
    <row r="100" spans="1:56" ht="15">
      <c r="A100" s="63" t="str">
        <f>VLOOKUP(CONCATENATE($C100," - ",$B100),[2]ACHIEV!$B$12:$C$100,2,FALSE)</f>
        <v>LO20Fast</v>
      </c>
      <c r="B100" s="63" t="str">
        <f>'SC-New (2)'!$C$7</f>
        <v>New</v>
      </c>
      <c r="C100" s="63" t="str">
        <f>'SC-New (2)'!$C$8</f>
        <v>Lighting</v>
      </c>
      <c r="D100" s="63" t="s">
        <v>795</v>
      </c>
      <c r="E100" s="63" t="str">
        <f>'SC-New (2)'!$A$9</f>
        <v>Lighting</v>
      </c>
      <c r="F100" s="478">
        <f t="shared" si="1"/>
        <v>2.6990998985958756E-3</v>
      </c>
      <c r="G100" s="71">
        <f>'SC-New (2)'!A81</f>
        <v>10.331554133000125</v>
      </c>
      <c r="H100" s="71">
        <f>'SC-New (2)'!B81</f>
        <v>-97.483290128606981</v>
      </c>
      <c r="I100" s="1" t="str">
        <f>'SC-New (2)'!C81</f>
        <v>Multifamily - High Rise</v>
      </c>
      <c r="J100" s="1" t="str">
        <f>'SC-New (2)'!D81</f>
        <v>2017 - LEDGlobe665 to 1439 lumensANY</v>
      </c>
      <c r="K100" s="37">
        <f>'SC-New (2)'!E81</f>
        <v>0</v>
      </c>
      <c r="L100" s="37">
        <f>'SC-New (2)'!F81</f>
        <v>1.2340274083835598E-3</v>
      </c>
      <c r="M100" s="37">
        <f>'SC-New (2)'!G81</f>
        <v>1.5955370339071127E-3</v>
      </c>
      <c r="N100" s="37">
        <f>'SC-New (2)'!H81</f>
        <v>1.7700274630163089E-3</v>
      </c>
      <c r="O100" s="37">
        <f>'SC-New (2)'!I81</f>
        <v>1.8473517137119898E-3</v>
      </c>
      <c r="P100" s="37">
        <f>'SC-New (2)'!J81</f>
        <v>1.9865765389955E-3</v>
      </c>
      <c r="Q100" s="37">
        <f>'SC-New (2)'!K81</f>
        <v>2.1266006785127687E-3</v>
      </c>
      <c r="R100" s="37">
        <f>'SC-New (2)'!L81</f>
        <v>2.3265067435997142E-3</v>
      </c>
      <c r="S100" s="37">
        <f>'SC-New (2)'!M81</f>
        <v>2.4808605526854483E-3</v>
      </c>
      <c r="T100" s="37">
        <f>'SC-New (2)'!N81</f>
        <v>2.64666358342612E-3</v>
      </c>
      <c r="U100" s="37">
        <f>'SC-New (2)'!O81</f>
        <v>2.7073753297700625E-3</v>
      </c>
      <c r="V100" s="37">
        <f>'SC-New (2)'!P81</f>
        <v>2.766367014633809E-3</v>
      </c>
      <c r="W100" s="37">
        <f>'SC-New (2)'!Q81</f>
        <v>2.7959853478869605E-3</v>
      </c>
      <c r="X100" s="37">
        <f>'SC-New (2)'!R81</f>
        <v>2.8253246667085696E-3</v>
      </c>
      <c r="Y100" s="37">
        <f>'SC-New (2)'!S81</f>
        <v>2.8340301022647752E-3</v>
      </c>
      <c r="Z100" s="37">
        <f>'SC-New (2)'!T81</f>
        <v>2.7965419830559054E-3</v>
      </c>
      <c r="AA100" s="37">
        <f>'SC-New (2)'!U81</f>
        <v>2.7693799209178053E-3</v>
      </c>
      <c r="AB100" s="37">
        <f>'SC-New (2)'!V81</f>
        <v>2.7186955137121745E-3</v>
      </c>
      <c r="AC100" s="37">
        <f>'SC-New (2)'!W81</f>
        <v>2.7184825650826147E-3</v>
      </c>
      <c r="AD100" s="37">
        <f>'SC-New (2)'!X81</f>
        <v>2.7139772723662123E-3</v>
      </c>
      <c r="AE100" s="37">
        <f>'SC-New (2)'!Y81</f>
        <v>4.5660311432637414E-2</v>
      </c>
      <c r="AF100" s="479">
        <f t="shared" si="2"/>
        <v>0.73921002945803449</v>
      </c>
      <c r="AG100" s="479">
        <f t="shared" si="3"/>
        <v>0.58793412073249252</v>
      </c>
      <c r="AH100" s="479">
        <f t="shared" si="4"/>
        <v>0.59400078642178622</v>
      </c>
      <c r="AI100" s="479">
        <f t="shared" si="5"/>
        <v>0.48445128633513773</v>
      </c>
      <c r="AJ100" s="479">
        <f t="shared" si="6"/>
        <v>0.44113664046505252</v>
      </c>
      <c r="AK100" s="479">
        <f t="shared" si="7"/>
        <v>0.4532774979066459</v>
      </c>
      <c r="AL100" s="479">
        <f t="shared" si="8"/>
        <v>0.37408556799080311</v>
      </c>
      <c r="AM100" s="479">
        <f t="shared" si="9"/>
        <v>0.42670124568152651</v>
      </c>
      <c r="AN100" s="479">
        <f t="shared" si="10"/>
        <v>0.46986252455702143</v>
      </c>
      <c r="AO100" s="479">
        <f t="shared" si="11"/>
        <v>0.68572359048721321</v>
      </c>
      <c r="AP100" s="479">
        <f t="shared" si="12"/>
        <v>0.69221501746668568</v>
      </c>
      <c r="AQ100" s="479">
        <f t="shared" si="13"/>
        <v>0.75991508966784882</v>
      </c>
      <c r="AR100" s="479"/>
      <c r="AS100" s="479">
        <f t="shared" si="14"/>
        <v>0.38563300948377344</v>
      </c>
      <c r="AT100" s="479">
        <f t="shared" si="15"/>
        <v>0.29637725643853452</v>
      </c>
      <c r="AU100" s="479">
        <f t="shared" si="16"/>
        <v>0.27623405486777952</v>
      </c>
      <c r="AV100" s="479">
        <f t="shared" si="17"/>
        <v>0.27097202925012304</v>
      </c>
      <c r="AW100" s="479">
        <f t="shared" si="18"/>
        <v>0.26327148672567968</v>
      </c>
      <c r="AX100" s="479">
        <f t="shared" si="19"/>
        <v>0.24620513668917057</v>
      </c>
      <c r="AY100" s="479">
        <f t="shared" si="20"/>
        <v>0.28087214682367551</v>
      </c>
      <c r="AZ100" s="479">
        <f t="shared" si="21"/>
        <v>0.25409021792280639</v>
      </c>
      <c r="BA100" s="479">
        <f t="shared" si="22"/>
        <v>0.29450642656211723</v>
      </c>
      <c r="BB100" s="479">
        <f t="shared" si="23"/>
        <v>0.29277963858072437</v>
      </c>
      <c r="BC100" s="479">
        <f t="shared" si="24"/>
        <v>0.36873668420453914</v>
      </c>
      <c r="BD100" s="479">
        <f t="shared" si="25"/>
        <v>0.39336264828095202</v>
      </c>
    </row>
    <row r="101" spans="1:56" ht="15">
      <c r="A101" s="63" t="str">
        <f>VLOOKUP(CONCATENATE($C101," - ",$B101),[2]ACHIEV!$B$12:$C$100,2,FALSE)</f>
        <v>LO20Fast</v>
      </c>
      <c r="B101" s="63" t="str">
        <f>'SC-New (2)'!$C$7</f>
        <v>New</v>
      </c>
      <c r="C101" s="63" t="str">
        <f>'SC-New (2)'!$C$8</f>
        <v>Lighting</v>
      </c>
      <c r="D101" s="63" t="s">
        <v>795</v>
      </c>
      <c r="E101" s="63" t="str">
        <f>'SC-New (2)'!$A$9</f>
        <v>Lighting</v>
      </c>
      <c r="F101" s="478">
        <f t="shared" si="1"/>
        <v>2.920231287037374E-3</v>
      </c>
      <c r="G101" s="71">
        <f>'SC-New (2)'!A82</f>
        <v>11.177995908414712</v>
      </c>
      <c r="H101" s="71">
        <f>'SC-New (2)'!B82</f>
        <v>-118.66739310804593</v>
      </c>
      <c r="I101" s="1" t="str">
        <f>'SC-New (2)'!C82</f>
        <v>Multifamily - High Rise</v>
      </c>
      <c r="J101" s="1" t="str">
        <f>'SC-New (2)'!D82</f>
        <v>2017 - LEDGlobe1440 to 2600 lumensANY</v>
      </c>
      <c r="K101" s="37">
        <f>'SC-New (2)'!E82</f>
        <v>0</v>
      </c>
      <c r="L101" s="37">
        <f>'SC-New (2)'!F82</f>
        <v>1.0060302815337561E-4</v>
      </c>
      <c r="M101" s="37">
        <f>'SC-New (2)'!G82</f>
        <v>1.3007479092556684E-4</v>
      </c>
      <c r="N101" s="37">
        <f>'SC-New (2)'!H82</f>
        <v>1.442999737966355E-4</v>
      </c>
      <c r="O101" s="37">
        <f>'SC-New (2)'!I82</f>
        <v>1.5060376714581724E-4</v>
      </c>
      <c r="P101" s="37">
        <f>'SC-New (2)'!J82</f>
        <v>1.6195395185200029E-4</v>
      </c>
      <c r="Q101" s="37">
        <f>'SC-New (2)'!K82</f>
        <v>1.7336929996688555E-4</v>
      </c>
      <c r="R101" s="37">
        <f>'SC-New (2)'!L82</f>
        <v>1.896664708055105E-4</v>
      </c>
      <c r="S101" s="37">
        <f>'SC-New (2)'!M82</f>
        <v>2.0225003296591137E-4</v>
      </c>
      <c r="T101" s="37">
        <f>'SC-New (2)'!N82</f>
        <v>2.1576698312131197E-4</v>
      </c>
      <c r="U101" s="37">
        <f>'SC-New (2)'!O82</f>
        <v>2.2071645627335545E-4</v>
      </c>
      <c r="V101" s="37">
        <f>'SC-New (2)'!P82</f>
        <v>2.2552570288558133E-4</v>
      </c>
      <c r="W101" s="37">
        <f>'SC-New (2)'!Q82</f>
        <v>2.2794031215104808E-4</v>
      </c>
      <c r="X101" s="37">
        <f>'SC-New (2)'!R82</f>
        <v>2.3033217500381689E-4</v>
      </c>
      <c r="Y101" s="37">
        <f>'SC-New (2)'!S82</f>
        <v>2.3104187818577096E-4</v>
      </c>
      <c r="Z101" s="37">
        <f>'SC-New (2)'!T82</f>
        <v>2.2798569135672222E-4</v>
      </c>
      <c r="AA101" s="37">
        <f>'SC-New (2)'!U82</f>
        <v>2.2577132749136656E-4</v>
      </c>
      <c r="AB101" s="37">
        <f>'SC-New (2)'!V82</f>
        <v>2.2163932457927216E-4</v>
      </c>
      <c r="AC101" s="37">
        <f>'SC-New (2)'!W82</f>
        <v>2.2162196412452918E-4</v>
      </c>
      <c r="AD101" s="37">
        <f>'SC-New (2)'!X82</f>
        <v>2.2125467399230987E-4</v>
      </c>
      <c r="AE101" s="37">
        <f>'SC-New (2)'!Y82</f>
        <v>3.7224178047767882E-3</v>
      </c>
      <c r="AF101" s="479">
        <f t="shared" si="2"/>
        <v>0.79977190056512937</v>
      </c>
      <c r="AG101" s="479">
        <f t="shared" si="3"/>
        <v>0.63610228542226255</v>
      </c>
      <c r="AH101" s="479">
        <f t="shared" si="4"/>
        <v>0.64266597984612883</v>
      </c>
      <c r="AI101" s="479">
        <f t="shared" si="5"/>
        <v>0.52414132731335006</v>
      </c>
      <c r="AJ101" s="479">
        <f t="shared" si="6"/>
        <v>0.47727800664760928</v>
      </c>
      <c r="AK101" s="479">
        <f t="shared" si="7"/>
        <v>0.49041353815233252</v>
      </c>
      <c r="AL101" s="479">
        <f t="shared" si="8"/>
        <v>0.40473358553500982</v>
      </c>
      <c r="AM101" s="479">
        <f t="shared" si="9"/>
        <v>0.46165995134349902</v>
      </c>
      <c r="AN101" s="479">
        <f t="shared" si="10"/>
        <v>0.50835733999011201</v>
      </c>
      <c r="AO101" s="479">
        <f t="shared" si="11"/>
        <v>0.74190343389738511</v>
      </c>
      <c r="AP101" s="479">
        <f t="shared" si="12"/>
        <v>0.74892668938075402</v>
      </c>
      <c r="AQ101" s="479">
        <f t="shared" si="13"/>
        <v>0.82217328135735079</v>
      </c>
      <c r="AR101" s="479"/>
      <c r="AS101" s="479">
        <f t="shared" si="14"/>
        <v>0.41722708381217544</v>
      </c>
      <c r="AT101" s="479">
        <f t="shared" si="15"/>
        <v>0.32065880090927812</v>
      </c>
      <c r="AU101" s="479">
        <f t="shared" si="16"/>
        <v>0.29886531061326499</v>
      </c>
      <c r="AV101" s="479">
        <f t="shared" si="17"/>
        <v>0.29317217867329254</v>
      </c>
      <c r="AW101" s="479">
        <f t="shared" si="18"/>
        <v>0.28484074743625698</v>
      </c>
      <c r="AX101" s="479">
        <f t="shared" si="19"/>
        <v>0.26637618843343092</v>
      </c>
      <c r="AY101" s="479">
        <f t="shared" si="20"/>
        <v>0.30388339136263259</v>
      </c>
      <c r="AZ101" s="479">
        <f t="shared" si="21"/>
        <v>0.27490727723502484</v>
      </c>
      <c r="BA101" s="479">
        <f t="shared" si="22"/>
        <v>0.3186346980071661</v>
      </c>
      <c r="BB101" s="479">
        <f t="shared" si="23"/>
        <v>0.31676643803947591</v>
      </c>
      <c r="BC101" s="479">
        <f t="shared" si="24"/>
        <v>0.3989464793254543</v>
      </c>
      <c r="BD101" s="479">
        <f t="shared" si="25"/>
        <v>0.42558999511633339</v>
      </c>
    </row>
    <row r="102" spans="1:56" ht="15">
      <c r="A102" s="63" t="str">
        <f>VLOOKUP(CONCATENATE($C102," - ",$B102),[2]ACHIEV!$B$12:$C$100,2,FALSE)</f>
        <v>LO20Fast</v>
      </c>
      <c r="B102" s="63" t="str">
        <f>'SC-New (2)'!$C$7</f>
        <v>New</v>
      </c>
      <c r="C102" s="63" t="str">
        <f>'SC-New (2)'!$C$8</f>
        <v>Lighting</v>
      </c>
      <c r="D102" s="63" t="s">
        <v>795</v>
      </c>
      <c r="E102" s="63" t="str">
        <f>'SC-New (2)'!$A$9</f>
        <v>Lighting</v>
      </c>
      <c r="F102" s="478">
        <f t="shared" si="1"/>
        <v>5.5704529633071051E-3</v>
      </c>
      <c r="G102" s="71">
        <f>'SC-New (2)'!A83</f>
        <v>21.322455076849025</v>
      </c>
      <c r="H102" s="71">
        <f>'SC-New (2)'!B83</f>
        <v>-49.256412709384371</v>
      </c>
      <c r="I102" s="1" t="str">
        <f>'SC-New (2)'!C83</f>
        <v>Multifamily - High Rise</v>
      </c>
      <c r="J102" s="1" t="str">
        <f>'SC-New (2)'!D83</f>
        <v>2017 - LEDReflectors and Outdoor250 to 664 lumensANY</v>
      </c>
      <c r="K102" s="37">
        <f>'SC-New (2)'!E83</f>
        <v>0</v>
      </c>
      <c r="L102" s="37">
        <f>'SC-New (2)'!F83</f>
        <v>1.3285018675067704E-3</v>
      </c>
      <c r="M102" s="37">
        <f>'SC-New (2)'!G83</f>
        <v>1.7176878850676033E-3</v>
      </c>
      <c r="N102" s="37">
        <f>'SC-New (2)'!H83</f>
        <v>1.905536922583935E-3</v>
      </c>
      <c r="O102" s="37">
        <f>'SC-New (2)'!I83</f>
        <v>1.9887809500300784E-3</v>
      </c>
      <c r="P102" s="37">
        <f>'SC-New (2)'!J83</f>
        <v>2.1386645256588599E-3</v>
      </c>
      <c r="Q102" s="37">
        <f>'SC-New (2)'!K83</f>
        <v>2.2894086092837031E-3</v>
      </c>
      <c r="R102" s="37">
        <f>'SC-New (2)'!L83</f>
        <v>2.5046190486869998E-3</v>
      </c>
      <c r="S102" s="37">
        <f>'SC-New (2)'!M83</f>
        <v>2.6707898502705612E-3</v>
      </c>
      <c r="T102" s="37">
        <f>'SC-New (2)'!N83</f>
        <v>2.8492864010609474E-3</v>
      </c>
      <c r="U102" s="37">
        <f>'SC-New (2)'!O83</f>
        <v>2.914646106890476E-3</v>
      </c>
      <c r="V102" s="37">
        <f>'SC-New (2)'!P83</f>
        <v>2.9781540670674018E-3</v>
      </c>
      <c r="W102" s="37">
        <f>'SC-New (2)'!Q83</f>
        <v>3.0100399156084735E-3</v>
      </c>
      <c r="X102" s="37">
        <f>'SC-New (2)'!R83</f>
        <v>3.0416253889789073E-3</v>
      </c>
      <c r="Y102" s="37">
        <f>'SC-New (2)'!S83</f>
        <v>3.0509972937804606E-3</v>
      </c>
      <c r="Z102" s="37">
        <f>'SC-New (2)'!T83</f>
        <v>3.0106391655574127E-3</v>
      </c>
      <c r="AA102" s="37">
        <f>'SC-New (2)'!U83</f>
        <v>2.9813976349150192E-3</v>
      </c>
      <c r="AB102" s="37">
        <f>'SC-New (2)'!V83</f>
        <v>2.9268329395373419E-3</v>
      </c>
      <c r="AC102" s="37">
        <f>'SC-New (2)'!W83</f>
        <v>2.9266036880230472E-3</v>
      </c>
      <c r="AD102" s="37">
        <f>'SC-New (2)'!X83</f>
        <v>2.9217534798779573E-3</v>
      </c>
      <c r="AE102" s="37">
        <f>'SC-New (2)'!Y83</f>
        <v>4.915596574038595E-2</v>
      </c>
      <c r="AF102" s="479">
        <f t="shared" si="2"/>
        <v>1.5255955147280642</v>
      </c>
      <c r="AG102" s="479">
        <f t="shared" si="3"/>
        <v>1.2133894587478662</v>
      </c>
      <c r="AH102" s="479">
        <f t="shared" si="4"/>
        <v>1.2259099571124876</v>
      </c>
      <c r="AI102" s="479">
        <f t="shared" si="5"/>
        <v>0.99981964541118984</v>
      </c>
      <c r="AJ102" s="479">
        <f t="shared" si="6"/>
        <v>0.91042606736425147</v>
      </c>
      <c r="AK102" s="479">
        <f t="shared" si="7"/>
        <v>0.93548259652339649</v>
      </c>
      <c r="AL102" s="479">
        <f t="shared" si="8"/>
        <v>0.77204480717028579</v>
      </c>
      <c r="AM102" s="479">
        <f t="shared" si="9"/>
        <v>0.88063402902945986</v>
      </c>
      <c r="AN102" s="479">
        <f t="shared" si="10"/>
        <v>0.96971108539821449</v>
      </c>
      <c r="AO102" s="479">
        <f t="shared" si="11"/>
        <v>1.4152091994172629</v>
      </c>
      <c r="AP102" s="479">
        <f t="shared" si="12"/>
        <v>1.4286063280943841</v>
      </c>
      <c r="AQ102" s="479">
        <f t="shared" si="13"/>
        <v>1.5683270060897629</v>
      </c>
      <c r="AR102" s="479"/>
      <c r="AS102" s="479">
        <f t="shared" si="14"/>
        <v>0.7958766333715297</v>
      </c>
      <c r="AT102" s="479">
        <f t="shared" si="15"/>
        <v>0.61166893720522297</v>
      </c>
      <c r="AU102" s="479">
        <f t="shared" si="16"/>
        <v>0.57009702023442965</v>
      </c>
      <c r="AV102" s="479">
        <f t="shared" si="17"/>
        <v>0.55923715313202227</v>
      </c>
      <c r="AW102" s="479">
        <f t="shared" si="18"/>
        <v>0.5433446291292342</v>
      </c>
      <c r="AX102" s="479">
        <f t="shared" si="19"/>
        <v>0.50812277602807099</v>
      </c>
      <c r="AY102" s="479">
        <f t="shared" si="20"/>
        <v>0.57966920135053146</v>
      </c>
      <c r="AZ102" s="479">
        <f t="shared" si="21"/>
        <v>0.52439615447792887</v>
      </c>
      <c r="BA102" s="479">
        <f t="shared" si="22"/>
        <v>0.60780788343898273</v>
      </c>
      <c r="BB102" s="479">
        <f t="shared" si="23"/>
        <v>0.60424410603565037</v>
      </c>
      <c r="BC102" s="479">
        <f t="shared" si="24"/>
        <v>0.7610056805514156</v>
      </c>
      <c r="BD102" s="479">
        <f t="shared" si="25"/>
        <v>0.81182920680737636</v>
      </c>
    </row>
    <row r="103" spans="1:56" ht="15">
      <c r="A103" s="63" t="str">
        <f>VLOOKUP(CONCATENATE($C103," - ",$B103),[2]ACHIEV!$B$12:$C$100,2,FALSE)</f>
        <v>LO20Fast</v>
      </c>
      <c r="B103" s="63" t="str">
        <f>'SC-New (2)'!$C$7</f>
        <v>New</v>
      </c>
      <c r="C103" s="63" t="str">
        <f>'SC-New (2)'!$C$8</f>
        <v>Lighting</v>
      </c>
      <c r="D103" s="63" t="s">
        <v>795</v>
      </c>
      <c r="E103" s="63" t="str">
        <f>'SC-New (2)'!$A$9</f>
        <v>Lighting</v>
      </c>
      <c r="F103" s="478">
        <f t="shared" si="1"/>
        <v>4.2475887264408763E-3</v>
      </c>
      <c r="G103" s="71">
        <f>'SC-New (2)'!A84</f>
        <v>16.258824982644914</v>
      </c>
      <c r="H103" s="71">
        <f>'SC-New (2)'!B84</f>
        <v>-57.558538168362972</v>
      </c>
      <c r="I103" s="1" t="str">
        <f>'SC-New (2)'!C84</f>
        <v>Multifamily - High Rise</v>
      </c>
      <c r="J103" s="1" t="str">
        <f>'SC-New (2)'!D84</f>
        <v>2017 - LEDReflectors and Outdoor665 to 1439 lumensANY</v>
      </c>
      <c r="K103" s="37">
        <f>'SC-New (2)'!E84</f>
        <v>0</v>
      </c>
      <c r="L103" s="37">
        <f>'SC-New (2)'!F84</f>
        <v>1.0236170556244715E-2</v>
      </c>
      <c r="M103" s="37">
        <f>'SC-New (2)'!G84</f>
        <v>1.323486747289623E-2</v>
      </c>
      <c r="N103" s="37">
        <f>'SC-New (2)'!H84</f>
        <v>1.4682253309434231E-2</v>
      </c>
      <c r="O103" s="37">
        <f>'SC-New (2)'!I84</f>
        <v>1.5323652530292376E-2</v>
      </c>
      <c r="P103" s="37">
        <f>'SC-New (2)'!J84</f>
        <v>1.647851266353054E-2</v>
      </c>
      <c r="Q103" s="37">
        <f>'SC-New (2)'!K84</f>
        <v>1.7640003052117329E-2</v>
      </c>
      <c r="R103" s="37">
        <f>'SC-New (2)'!L84</f>
        <v>1.9298209801461835E-2</v>
      </c>
      <c r="S103" s="37">
        <f>'SC-New (2)'!M84</f>
        <v>2.0578563791230371E-2</v>
      </c>
      <c r="T103" s="37">
        <f>'SC-New (2)'!N84</f>
        <v>2.1953888269336513E-2</v>
      </c>
      <c r="U103" s="37">
        <f>'SC-New (2)'!O84</f>
        <v>2.2457487935050664E-2</v>
      </c>
      <c r="V103" s="37">
        <f>'SC-New (2)'!P84</f>
        <v>2.2946819811768476E-2</v>
      </c>
      <c r="W103" s="37">
        <f>'SC-New (2)'!Q84</f>
        <v>2.3192501802874396E-2</v>
      </c>
      <c r="X103" s="37">
        <f>'SC-New (2)'!R84</f>
        <v>2.3435869388895379E-2</v>
      </c>
      <c r="Y103" s="37">
        <f>'SC-New (2)'!S84</f>
        <v>2.3508080364530389E-2</v>
      </c>
      <c r="Z103" s="37">
        <f>'SC-New (2)'!T84</f>
        <v>2.3197119052449418E-2</v>
      </c>
      <c r="AA103" s="37">
        <f>'SC-New (2)'!U84</f>
        <v>2.2971811657479069E-2</v>
      </c>
      <c r="AB103" s="37">
        <f>'SC-New (2)'!V84</f>
        <v>2.2551388064636364E-2</v>
      </c>
      <c r="AC103" s="37">
        <f>'SC-New (2)'!W84</f>
        <v>2.2549621670732073E-2</v>
      </c>
      <c r="AD103" s="37">
        <f>'SC-New (2)'!X84</f>
        <v>2.251225058453285E-2</v>
      </c>
      <c r="AE103" s="37">
        <f>'SC-New (2)'!Y84</f>
        <v>0.37874907177949324</v>
      </c>
      <c r="AF103" s="479">
        <f t="shared" si="2"/>
        <v>1.1632989906121636</v>
      </c>
      <c r="AG103" s="479">
        <f t="shared" si="3"/>
        <v>0.92523524024153736</v>
      </c>
      <c r="AH103" s="479">
        <f t="shared" si="4"/>
        <v>0.93478238623725807</v>
      </c>
      <c r="AI103" s="479">
        <f t="shared" si="5"/>
        <v>0.76238372037188906</v>
      </c>
      <c r="AJ103" s="479">
        <f t="shared" si="6"/>
        <v>0.69421921798230934</v>
      </c>
      <c r="AK103" s="479">
        <f t="shared" si="7"/>
        <v>0.71332535378153095</v>
      </c>
      <c r="AL103" s="479">
        <f t="shared" si="8"/>
        <v>0.58870056723301578</v>
      </c>
      <c r="AM103" s="479">
        <f t="shared" si="9"/>
        <v>0.67150215583276607</v>
      </c>
      <c r="AN103" s="479">
        <f t="shared" si="10"/>
        <v>0.73942530371836135</v>
      </c>
      <c r="AO103" s="479">
        <f t="shared" si="11"/>
        <v>1.0791270800770567</v>
      </c>
      <c r="AP103" s="479">
        <f t="shared" si="12"/>
        <v>1.0893426753096991</v>
      </c>
      <c r="AQ103" s="479">
        <f t="shared" si="13"/>
        <v>1.1958826605879354</v>
      </c>
      <c r="AR103" s="479"/>
      <c r="AS103" s="479">
        <f t="shared" si="14"/>
        <v>0.60687284100854089</v>
      </c>
      <c r="AT103" s="479">
        <f t="shared" si="15"/>
        <v>0.46641055926707059</v>
      </c>
      <c r="AU103" s="479">
        <f t="shared" si="16"/>
        <v>0.4347110893990323</v>
      </c>
      <c r="AV103" s="479">
        <f t="shared" si="17"/>
        <v>0.42643021002015935</v>
      </c>
      <c r="AW103" s="479">
        <f t="shared" si="18"/>
        <v>0.41431182283807694</v>
      </c>
      <c r="AX103" s="479">
        <f t="shared" si="19"/>
        <v>0.38745441157505511</v>
      </c>
      <c r="AY103" s="479">
        <f t="shared" si="20"/>
        <v>0.44201008085700272</v>
      </c>
      <c r="AZ103" s="479">
        <f t="shared" si="21"/>
        <v>0.39986320836412004</v>
      </c>
      <c r="BA103" s="479">
        <f t="shared" si="22"/>
        <v>0.46346642374385677</v>
      </c>
      <c r="BB103" s="479">
        <f t="shared" si="23"/>
        <v>0.46074896776287089</v>
      </c>
      <c r="BC103" s="479">
        <f t="shared" si="24"/>
        <v>0.58028299866454724</v>
      </c>
      <c r="BD103" s="479">
        <f t="shared" si="25"/>
        <v>0.61903701715905535</v>
      </c>
    </row>
    <row r="104" spans="1:56" ht="15">
      <c r="A104" s="63" t="str">
        <f>VLOOKUP(CONCATENATE($C104," - ",$B104),[2]ACHIEV!$B$12:$C$100,2,FALSE)</f>
        <v>LO20Fast</v>
      </c>
      <c r="B104" s="63" t="str">
        <f>'SC-New (2)'!$C$7</f>
        <v>New</v>
      </c>
      <c r="C104" s="63" t="str">
        <f>'SC-New (2)'!$C$8</f>
        <v>Lighting</v>
      </c>
      <c r="D104" s="63" t="s">
        <v>795</v>
      </c>
      <c r="E104" s="63" t="str">
        <f>'SC-New (2)'!$A$9</f>
        <v>Lighting</v>
      </c>
      <c r="F104" s="478">
        <f t="shared" si="1"/>
        <v>2.2739503245659785E-2</v>
      </c>
      <c r="G104" s="71">
        <f>'SC-New (2)'!A85</f>
        <v>87.041761167225999</v>
      </c>
      <c r="H104" s="71">
        <f>'SC-New (2)'!B85</f>
        <v>-31.342168529326845</v>
      </c>
      <c r="I104" s="1" t="str">
        <f>'SC-New (2)'!C85</f>
        <v>Multifamily - High Rise</v>
      </c>
      <c r="J104" s="1" t="str">
        <f>'SC-New (2)'!D85</f>
        <v>2017 - LEDReflectors and Outdoor1440 to 2600 lumensANY</v>
      </c>
      <c r="K104" s="37">
        <f>'SC-New (2)'!E85</f>
        <v>0</v>
      </c>
      <c r="L104" s="37">
        <f>'SC-New (2)'!F85</f>
        <v>4.5032703141292896E-3</v>
      </c>
      <c r="M104" s="37">
        <f>'SC-New (2)'!G85</f>
        <v>5.822508082944068E-3</v>
      </c>
      <c r="N104" s="37">
        <f>'SC-New (2)'!H85</f>
        <v>6.4592666866580706E-3</v>
      </c>
      <c r="O104" s="37">
        <f>'SC-New (2)'!I85</f>
        <v>6.7414419449663698E-3</v>
      </c>
      <c r="P104" s="37">
        <f>'SC-New (2)'!J85</f>
        <v>7.2495076641146388E-3</v>
      </c>
      <c r="Q104" s="37">
        <f>'SC-New (2)'!K85</f>
        <v>7.7604902780061625E-3</v>
      </c>
      <c r="R104" s="37">
        <f>'SC-New (2)'!L85</f>
        <v>8.4899968046882913E-3</v>
      </c>
      <c r="S104" s="37">
        <f>'SC-New (2)'!M85</f>
        <v>9.0532719164129714E-3</v>
      </c>
      <c r="T104" s="37">
        <f>'SC-New (2)'!N85</f>
        <v>9.6583280612397449E-3</v>
      </c>
      <c r="U104" s="37">
        <f>'SC-New (2)'!O85</f>
        <v>9.8798801946625749E-3</v>
      </c>
      <c r="V104" s="37">
        <f>'SC-New (2)'!P85</f>
        <v>1.0095155399591254E-2</v>
      </c>
      <c r="W104" s="37">
        <f>'SC-New (2)'!Q85</f>
        <v>1.0203240001267662E-2</v>
      </c>
      <c r="X104" s="37">
        <f>'SC-New (2)'!R85</f>
        <v>1.0310306410480722E-2</v>
      </c>
      <c r="Y104" s="37">
        <f>'SC-New (2)'!S85</f>
        <v>1.0342074691513619E-2</v>
      </c>
      <c r="Z104" s="37">
        <f>'SC-New (2)'!T85</f>
        <v>1.0205271300260766E-2</v>
      </c>
      <c r="AA104" s="37">
        <f>'SC-New (2)'!U85</f>
        <v>1.0106150237579291E-2</v>
      </c>
      <c r="AB104" s="37">
        <f>'SC-New (2)'!V85</f>
        <v>9.9211903373309408E-3</v>
      </c>
      <c r="AC104" s="37">
        <f>'SC-New (2)'!W85</f>
        <v>9.9204132352703062E-3</v>
      </c>
      <c r="AD104" s="37">
        <f>'SC-New (2)'!X85</f>
        <v>9.9039723111802869E-3</v>
      </c>
      <c r="AE104" s="37">
        <f>'SC-New (2)'!Y85</f>
        <v>0.16662573587229701</v>
      </c>
      <c r="AF104" s="479">
        <f t="shared" si="2"/>
        <v>6.2277312791681956</v>
      </c>
      <c r="AG104" s="479">
        <f t="shared" si="3"/>
        <v>4.9532549179026795</v>
      </c>
      <c r="AH104" s="479">
        <f t="shared" si="4"/>
        <v>5.0043656471512685</v>
      </c>
      <c r="AI104" s="479">
        <f t="shared" si="5"/>
        <v>4.0814278877609365</v>
      </c>
      <c r="AJ104" s="479">
        <f t="shared" si="6"/>
        <v>3.7165086304708308</v>
      </c>
      <c r="AK104" s="479">
        <f t="shared" si="7"/>
        <v>3.8187934948961253</v>
      </c>
      <c r="AL104" s="479">
        <f t="shared" si="8"/>
        <v>3.1516136145633622</v>
      </c>
      <c r="AM104" s="479">
        <f t="shared" si="9"/>
        <v>3.594892640376083</v>
      </c>
      <c r="AN104" s="479">
        <f t="shared" si="10"/>
        <v>3.9585198042267882</v>
      </c>
      <c r="AO104" s="479">
        <f t="shared" si="11"/>
        <v>5.777116222938341</v>
      </c>
      <c r="AP104" s="479">
        <f t="shared" si="12"/>
        <v>5.831805500999323</v>
      </c>
      <c r="AQ104" s="479">
        <f t="shared" si="13"/>
        <v>6.4021682402038298</v>
      </c>
      <c r="AR104" s="479"/>
      <c r="AS104" s="479">
        <f t="shared" si="14"/>
        <v>3.2488990405103846</v>
      </c>
      <c r="AT104" s="479">
        <f t="shared" si="15"/>
        <v>2.4969329917094965</v>
      </c>
      <c r="AU104" s="479">
        <f t="shared" si="16"/>
        <v>2.3272296036524454</v>
      </c>
      <c r="AV104" s="479">
        <f t="shared" si="17"/>
        <v>2.2828978437669774</v>
      </c>
      <c r="AW104" s="479">
        <f t="shared" si="18"/>
        <v>2.2180219524303819</v>
      </c>
      <c r="AX104" s="479">
        <f t="shared" si="19"/>
        <v>2.0742405672920801</v>
      </c>
      <c r="AY104" s="479">
        <f t="shared" si="20"/>
        <v>2.3663048180006183</v>
      </c>
      <c r="AZ104" s="479">
        <f t="shared" si="21"/>
        <v>2.1406711689892717</v>
      </c>
      <c r="BA104" s="479">
        <f t="shared" si="22"/>
        <v>2.4811715365410532</v>
      </c>
      <c r="BB104" s="479">
        <f t="shared" si="23"/>
        <v>2.4666236122764214</v>
      </c>
      <c r="BC104" s="479">
        <f t="shared" si="24"/>
        <v>3.1065500879107617</v>
      </c>
      <c r="BD104" s="479">
        <f t="shared" si="25"/>
        <v>3.3140200634883259</v>
      </c>
    </row>
    <row r="105" spans="1:56" ht="15">
      <c r="A105" s="63" t="str">
        <f>VLOOKUP(CONCATENATE($C105," - ",$B105),[2]ACHIEV!$B$12:$C$100,2,FALSE)</f>
        <v>LO20Fast</v>
      </c>
      <c r="B105" s="63" t="str">
        <f>'SC-New (2)'!$C$7</f>
        <v>New</v>
      </c>
      <c r="C105" s="63" t="str">
        <f>'SC-New (2)'!$C$8</f>
        <v>Lighting</v>
      </c>
      <c r="D105" s="63" t="s">
        <v>795</v>
      </c>
      <c r="E105" s="63" t="str">
        <f>'SC-New (2)'!$A$9</f>
        <v>Lighting</v>
      </c>
      <c r="F105" s="478">
        <f t="shared" si="1"/>
        <v>1.3238383828380332E-2</v>
      </c>
      <c r="G105" s="71">
        <f>'SC-New (2)'!A86</f>
        <v>50.673589083344737</v>
      </c>
      <c r="H105" s="71">
        <f>'SC-New (2)'!B86</f>
        <v>-6.4266835469852737</v>
      </c>
      <c r="I105" s="1" t="str">
        <f>'SC-New (2)'!C86</f>
        <v>Multifamily - High Rise</v>
      </c>
      <c r="J105" s="1" t="str">
        <f>'SC-New (2)'!D86</f>
        <v>2017 - LEDThree-Way250 to 664 lumensANY</v>
      </c>
      <c r="K105" s="37">
        <f>'SC-New (2)'!E86</f>
        <v>0</v>
      </c>
      <c r="L105" s="37">
        <f>'SC-New (2)'!F86</f>
        <v>4.1137936281983343E-5</v>
      </c>
      <c r="M105" s="37">
        <f>'SC-New (2)'!G86</f>
        <v>5.318933792758531E-5</v>
      </c>
      <c r="N105" s="37">
        <f>'SC-New (2)'!H86</f>
        <v>5.9006207233521281E-5</v>
      </c>
      <c r="O105" s="37">
        <f>'SC-New (2)'!I86</f>
        <v>6.1583913430774835E-5</v>
      </c>
      <c r="P105" s="37">
        <f>'SC-New (2)'!J86</f>
        <v>6.6225157176637493E-5</v>
      </c>
      <c r="Q105" s="37">
        <f>'SC-New (2)'!K86</f>
        <v>7.0893047119978628E-5</v>
      </c>
      <c r="R105" s="37">
        <f>'SC-New (2)'!L86</f>
        <v>7.7557180276227529E-5</v>
      </c>
      <c r="S105" s="37">
        <f>'SC-New (2)'!M86</f>
        <v>8.2702768712847332E-5</v>
      </c>
      <c r="T105" s="37">
        <f>'SC-New (2)'!N86</f>
        <v>8.8230032100703498E-5</v>
      </c>
      <c r="U105" s="37">
        <f>'SC-New (2)'!O86</f>
        <v>9.0253938486977819E-5</v>
      </c>
      <c r="V105" s="37">
        <f>'SC-New (2)'!P86</f>
        <v>9.2220504348161143E-5</v>
      </c>
      <c r="W105" s="37">
        <f>'SC-New (2)'!Q86</f>
        <v>9.320787067233599E-5</v>
      </c>
      <c r="X105" s="37">
        <f>'SC-New (2)'!R86</f>
        <v>9.4185935681298088E-5</v>
      </c>
      <c r="Y105" s="37">
        <f>'SC-New (2)'!S86</f>
        <v>9.4476142892892514E-5</v>
      </c>
      <c r="Z105" s="37">
        <f>'SC-New (2)'!T86</f>
        <v>9.3226426842123473E-5</v>
      </c>
      <c r="AA105" s="37">
        <f>'SC-New (2)'!U86</f>
        <v>9.232094356522599E-5</v>
      </c>
      <c r="AB105" s="37">
        <f>'SC-New (2)'!V86</f>
        <v>9.0631311795339703E-5</v>
      </c>
      <c r="AC105" s="37">
        <f>'SC-New (2)'!W86</f>
        <v>9.0624212871041369E-5</v>
      </c>
      <c r="AD105" s="37">
        <f>'SC-New (2)'!X86</f>
        <v>9.0474022977818637E-5</v>
      </c>
      <c r="AE105" s="37">
        <f>'SC-New (2)'!Y86</f>
        <v>1.5221468903934741E-3</v>
      </c>
      <c r="AF105" s="479">
        <f t="shared" si="2"/>
        <v>3.6256331619458151</v>
      </c>
      <c r="AG105" s="479">
        <f t="shared" si="3"/>
        <v>2.8836641282181006</v>
      </c>
      <c r="AH105" s="479">
        <f t="shared" si="4"/>
        <v>2.9134195474210416</v>
      </c>
      <c r="AI105" s="479">
        <f t="shared" si="5"/>
        <v>2.3761077083488051</v>
      </c>
      <c r="AJ105" s="479">
        <f t="shared" si="6"/>
        <v>2.1636606226678121</v>
      </c>
      <c r="AK105" s="479">
        <f t="shared" si="7"/>
        <v>2.2232083744576121</v>
      </c>
      <c r="AL105" s="479">
        <f t="shared" si="8"/>
        <v>1.83479253076042</v>
      </c>
      <c r="AM105" s="479">
        <f t="shared" si="9"/>
        <v>2.0928587612924954</v>
      </c>
      <c r="AN105" s="479">
        <f t="shared" si="10"/>
        <v>2.3045536217068179</v>
      </c>
      <c r="AO105" s="479">
        <f t="shared" si="11"/>
        <v>3.3632960735418895</v>
      </c>
      <c r="AP105" s="479">
        <f t="shared" si="12"/>
        <v>3.3951348365283454</v>
      </c>
      <c r="AQ105" s="479">
        <f t="shared" si="13"/>
        <v>3.7271861034986045</v>
      </c>
      <c r="AR105" s="479"/>
      <c r="AS105" s="479">
        <f t="shared" si="14"/>
        <v>1.8914297314802717</v>
      </c>
      <c r="AT105" s="479">
        <f t="shared" si="15"/>
        <v>1.4536534497210483</v>
      </c>
      <c r="AU105" s="479">
        <f t="shared" si="16"/>
        <v>1.3548562788327785</v>
      </c>
      <c r="AV105" s="479">
        <f t="shared" si="17"/>
        <v>1.3290474101512062</v>
      </c>
      <c r="AW105" s="479">
        <f t="shared" si="18"/>
        <v>1.291278249521628</v>
      </c>
      <c r="AX105" s="479">
        <f t="shared" si="19"/>
        <v>1.2075722361019934</v>
      </c>
      <c r="AY105" s="479">
        <f t="shared" si="20"/>
        <v>1.377604914989379</v>
      </c>
      <c r="AZ105" s="479">
        <f t="shared" si="21"/>
        <v>1.2462465111605538</v>
      </c>
      <c r="BA105" s="479">
        <f t="shared" si="22"/>
        <v>1.4444775151828353</v>
      </c>
      <c r="BB105" s="479">
        <f t="shared" si="23"/>
        <v>1.4360080687204035</v>
      </c>
      <c r="BC105" s="479">
        <f t="shared" si="24"/>
        <v>1.8085576453259091</v>
      </c>
      <c r="BD105" s="479">
        <f t="shared" si="25"/>
        <v>1.9293416017689646</v>
      </c>
    </row>
    <row r="106" spans="1:56" ht="15">
      <c r="A106" s="63" t="str">
        <f>VLOOKUP(CONCATENATE($C106," - ",$B106),[2]ACHIEV!$B$12:$C$100,2,FALSE)</f>
        <v>LO20Fast</v>
      </c>
      <c r="B106" s="63" t="str">
        <f>'SC-New (2)'!$C$7</f>
        <v>New</v>
      </c>
      <c r="C106" s="63" t="str">
        <f>'SC-New (2)'!$C$8</f>
        <v>Lighting</v>
      </c>
      <c r="D106" s="63" t="s">
        <v>795</v>
      </c>
      <c r="E106" s="63" t="str">
        <f>'SC-New (2)'!$A$9</f>
        <v>Lighting</v>
      </c>
      <c r="F106" s="478">
        <f t="shared" si="1"/>
        <v>1.4259875898113245E-2</v>
      </c>
      <c r="G106" s="71">
        <f>'SC-New (2)'!A87</f>
        <v>54.583633546821666</v>
      </c>
      <c r="H106" s="71">
        <f>'SC-New (2)'!B87</f>
        <v>-12.334283459818346</v>
      </c>
      <c r="I106" s="1" t="str">
        <f>'SC-New (2)'!C87</f>
        <v>Multifamily - High Rise</v>
      </c>
      <c r="J106" s="1" t="str">
        <f>'SC-New (2)'!D87</f>
        <v>2017 - LEDThree-Way665 to 1439 lumensANY</v>
      </c>
      <c r="K106" s="37">
        <f>'SC-New (2)'!E87</f>
        <v>0</v>
      </c>
      <c r="L106" s="37">
        <f>'SC-New (2)'!F87</f>
        <v>5.4696408739998985E-4</v>
      </c>
      <c r="M106" s="37">
        <f>'SC-New (2)'!G87</f>
        <v>7.0719779134163091E-4</v>
      </c>
      <c r="N106" s="37">
        <f>'SC-New (2)'!H87</f>
        <v>7.8453804948286625E-4</v>
      </c>
      <c r="O106" s="37">
        <f>'SC-New (2)'!I87</f>
        <v>8.1881086054712857E-4</v>
      </c>
      <c r="P106" s="37">
        <f>'SC-New (2)'!J87</f>
        <v>8.805201702328573E-4</v>
      </c>
      <c r="Q106" s="37">
        <f>'SC-New (2)'!K87</f>
        <v>9.42583763929981E-4</v>
      </c>
      <c r="R106" s="37">
        <f>'SC-New (2)'!L87</f>
        <v>1.0311891204343629E-3</v>
      </c>
      <c r="S106" s="37">
        <f>'SC-New (2)'!M87</f>
        <v>1.0996041246309712E-3</v>
      </c>
      <c r="T106" s="37">
        <f>'SC-New (2)'!N87</f>
        <v>1.1730938241150495E-3</v>
      </c>
      <c r="U106" s="37">
        <f>'SC-New (2)'!O87</f>
        <v>1.2000033924989251E-3</v>
      </c>
      <c r="V106" s="37">
        <f>'SC-New (2)'!P87</f>
        <v>1.2261505695036498E-3</v>
      </c>
      <c r="W106" s="37">
        <f>'SC-New (2)'!Q87</f>
        <v>1.2392784502201239E-3</v>
      </c>
      <c r="X106" s="37">
        <f>'SC-New (2)'!R87</f>
        <v>1.2522826619865539E-3</v>
      </c>
      <c r="Y106" s="37">
        <f>'SC-New (2)'!S87</f>
        <v>1.2561412153558481E-3</v>
      </c>
      <c r="Z106" s="37">
        <f>'SC-New (2)'!T87</f>
        <v>1.239525170386247E-3</v>
      </c>
      <c r="AA106" s="37">
        <f>'SC-New (2)'!U87</f>
        <v>1.2274859948960297E-3</v>
      </c>
      <c r="AB106" s="37">
        <f>'SC-New (2)'!V87</f>
        <v>1.2050208937610797E-3</v>
      </c>
      <c r="AC106" s="37">
        <f>'SC-New (2)'!W87</f>
        <v>1.2049265074840494E-3</v>
      </c>
      <c r="AD106" s="37">
        <f>'SC-New (2)'!X87</f>
        <v>1.2029296042529252E-3</v>
      </c>
      <c r="AE106" s="37">
        <f>'SC-New (2)'!Y87</f>
        <v>2.0238246252460269E-2</v>
      </c>
      <c r="AF106" s="479">
        <f t="shared" si="2"/>
        <v>3.9053920487329368</v>
      </c>
      <c r="AG106" s="479">
        <f t="shared" si="3"/>
        <v>3.1061716545849691</v>
      </c>
      <c r="AH106" s="479">
        <f t="shared" si="4"/>
        <v>3.1382230432311156</v>
      </c>
      <c r="AI106" s="479">
        <f t="shared" si="5"/>
        <v>2.5594514769216872</v>
      </c>
      <c r="AJ106" s="479">
        <f t="shared" si="6"/>
        <v>2.3306116792545248</v>
      </c>
      <c r="AK106" s="479">
        <f t="shared" si="7"/>
        <v>2.3947542182186701</v>
      </c>
      <c r="AL106" s="479">
        <f t="shared" si="8"/>
        <v>1.9763676689399765</v>
      </c>
      <c r="AM106" s="479">
        <f t="shared" si="9"/>
        <v>2.2543466479896805</v>
      </c>
      <c r="AN106" s="479">
        <f t="shared" si="10"/>
        <v>2.4823761776445838</v>
      </c>
      <c r="AO106" s="479">
        <f t="shared" si="11"/>
        <v>3.6228126664904727</v>
      </c>
      <c r="AP106" s="479">
        <f t="shared" si="12"/>
        <v>3.6571081526179396</v>
      </c>
      <c r="AQ106" s="479">
        <f t="shared" si="13"/>
        <v>4.0147809562011307</v>
      </c>
      <c r="AR106" s="479"/>
      <c r="AS106" s="479">
        <f t="shared" si="14"/>
        <v>2.0373750746740664</v>
      </c>
      <c r="AT106" s="479">
        <f t="shared" si="15"/>
        <v>1.5658193674251897</v>
      </c>
      <c r="AU106" s="479">
        <f t="shared" si="16"/>
        <v>1.4593988697107205</v>
      </c>
      <c r="AV106" s="479">
        <f t="shared" si="17"/>
        <v>1.4315985529015838</v>
      </c>
      <c r="AW106" s="479">
        <f t="shared" si="18"/>
        <v>1.3909150714180603</v>
      </c>
      <c r="AX106" s="479">
        <f t="shared" si="19"/>
        <v>1.3007501858275035</v>
      </c>
      <c r="AY106" s="479">
        <f t="shared" si="20"/>
        <v>1.4839028222059658</v>
      </c>
      <c r="AZ106" s="479">
        <f t="shared" si="21"/>
        <v>1.3424086216255566</v>
      </c>
      <c r="BA106" s="479">
        <f t="shared" si="22"/>
        <v>1.5559354050427407</v>
      </c>
      <c r="BB106" s="479">
        <f t="shared" si="23"/>
        <v>1.5468124443365345</v>
      </c>
      <c r="BC106" s="479">
        <f t="shared" si="24"/>
        <v>1.9481084633339767</v>
      </c>
      <c r="BD106" s="479">
        <f t="shared" si="25"/>
        <v>2.0782122774920686</v>
      </c>
    </row>
    <row r="107" spans="1:56" ht="15">
      <c r="A107" s="63" t="str">
        <f>VLOOKUP(CONCATENATE($C107," - ",$B107),[2]ACHIEV!$B$12:$C$100,2,FALSE)</f>
        <v>LO20Fast</v>
      </c>
      <c r="B107" s="63" t="str">
        <f>'SC-New (2)'!$C$7</f>
        <v>New</v>
      </c>
      <c r="C107" s="63" t="str">
        <f>'SC-New (2)'!$C$8</f>
        <v>Lighting</v>
      </c>
      <c r="D107" s="63" t="s">
        <v>795</v>
      </c>
      <c r="E107" s="63" t="str">
        <f>'SC-New (2)'!$A$9</f>
        <v>Lighting</v>
      </c>
      <c r="F107" s="478">
        <f t="shared" si="1"/>
        <v>1.2760440721528607E-2</v>
      </c>
      <c r="G107" s="71">
        <f>'SC-New (2)'!A88</f>
        <v>48.844129164687544</v>
      </c>
      <c r="H107" s="71">
        <f>'SC-New (2)'!B88</f>
        <v>-29.993229849727555</v>
      </c>
      <c r="I107" s="1" t="str">
        <f>'SC-New (2)'!C88</f>
        <v>Multifamily - High Rise</v>
      </c>
      <c r="J107" s="1" t="str">
        <f>'SC-New (2)'!D88</f>
        <v>2017 - LEDThree-Way1440 to 2600 lumensANY</v>
      </c>
      <c r="K107" s="37">
        <f>'SC-New (2)'!E88</f>
        <v>0</v>
      </c>
      <c r="L107" s="37">
        <f>'SC-New (2)'!F88</f>
        <v>1.892652337877457E-3</v>
      </c>
      <c r="M107" s="37">
        <f>'SC-New (2)'!G88</f>
        <v>2.4471068283239846E-3</v>
      </c>
      <c r="N107" s="37">
        <f>'SC-New (2)'!H88</f>
        <v>2.7147262639598199E-3</v>
      </c>
      <c r="O107" s="37">
        <f>'SC-New (2)'!I88</f>
        <v>2.8333200025263748E-3</v>
      </c>
      <c r="P107" s="37">
        <f>'SC-New (2)'!J88</f>
        <v>3.0468518813754663E-3</v>
      </c>
      <c r="Q107" s="37">
        <f>'SC-New (2)'!K88</f>
        <v>3.2616096843352724E-3</v>
      </c>
      <c r="R107" s="37">
        <f>'SC-New (2)'!L88</f>
        <v>3.5682095854981579E-3</v>
      </c>
      <c r="S107" s="37">
        <f>'SC-New (2)'!M88</f>
        <v>3.8049450871910045E-3</v>
      </c>
      <c r="T107" s="37">
        <f>'SC-New (2)'!N88</f>
        <v>4.0592404874605602E-3</v>
      </c>
      <c r="U107" s="37">
        <f>'SC-New (2)'!O88</f>
        <v>4.1523552982612386E-3</v>
      </c>
      <c r="V107" s="37">
        <f>'SC-New (2)'!P88</f>
        <v>4.2428320166178826E-3</v>
      </c>
      <c r="W107" s="37">
        <f>'SC-New (2)'!Q88</f>
        <v>4.2882582424008586E-3</v>
      </c>
      <c r="X107" s="37">
        <f>'SC-New (2)'!R88</f>
        <v>4.3332565382103389E-3</v>
      </c>
      <c r="Y107" s="37">
        <f>'SC-New (2)'!S88</f>
        <v>4.3466082375694928E-3</v>
      </c>
      <c r="Z107" s="37">
        <f>'SC-New (2)'!T88</f>
        <v>4.2891119648114711E-3</v>
      </c>
      <c r="AA107" s="37">
        <f>'SC-New (2)'!U88</f>
        <v>4.247452970806964E-3</v>
      </c>
      <c r="AB107" s="37">
        <f>'SC-New (2)'!V88</f>
        <v>4.1697172891357413E-3</v>
      </c>
      <c r="AC107" s="37">
        <f>'SC-New (2)'!W88</f>
        <v>4.1693906855944851E-3</v>
      </c>
      <c r="AD107" s="37">
        <f>'SC-New (2)'!X88</f>
        <v>4.1624808287026591E-3</v>
      </c>
      <c r="AE107" s="37">
        <f>'SC-New (2)'!Y88</f>
        <v>7.0030126230659226E-2</v>
      </c>
      <c r="AF107" s="479">
        <f t="shared" si="2"/>
        <v>3.4947375480862015</v>
      </c>
      <c r="AG107" s="479">
        <f t="shared" si="3"/>
        <v>2.7795556954649423</v>
      </c>
      <c r="AH107" s="479">
        <f t="shared" si="4"/>
        <v>2.808236859858241</v>
      </c>
      <c r="AI107" s="479">
        <f t="shared" si="5"/>
        <v>2.2903234982016438</v>
      </c>
      <c r="AJ107" s="479">
        <f t="shared" si="6"/>
        <v>2.0855463533146543</v>
      </c>
      <c r="AK107" s="479">
        <f t="shared" si="7"/>
        <v>2.1429442628075841</v>
      </c>
      <c r="AL107" s="479">
        <f t="shared" si="8"/>
        <v>1.7685513298745517</v>
      </c>
      <c r="AM107" s="479">
        <f t="shared" si="9"/>
        <v>2.0173006394294912</v>
      </c>
      <c r="AN107" s="479">
        <f t="shared" si="10"/>
        <v>2.2213527165099398</v>
      </c>
      <c r="AO107" s="479">
        <f t="shared" si="11"/>
        <v>3.2418715707106038</v>
      </c>
      <c r="AP107" s="479">
        <f t="shared" si="12"/>
        <v>3.2725608642831689</v>
      </c>
      <c r="AQ107" s="479">
        <f t="shared" si="13"/>
        <v>3.5926241411613451</v>
      </c>
      <c r="AR107" s="479"/>
      <c r="AS107" s="479">
        <f t="shared" si="14"/>
        <v>1.8231437674249444</v>
      </c>
      <c r="AT107" s="479">
        <f t="shared" si="15"/>
        <v>1.4011724478818377</v>
      </c>
      <c r="AU107" s="479">
        <f t="shared" si="16"/>
        <v>1.3059421343543034</v>
      </c>
      <c r="AV107" s="479">
        <f t="shared" si="17"/>
        <v>1.2810650388439813</v>
      </c>
      <c r="AW107" s="479">
        <f t="shared" si="18"/>
        <v>1.2446594517599732</v>
      </c>
      <c r="AX107" s="479">
        <f t="shared" si="19"/>
        <v>1.1639754622244163</v>
      </c>
      <c r="AY107" s="479">
        <f t="shared" si="20"/>
        <v>1.3278694803910316</v>
      </c>
      <c r="AZ107" s="479">
        <f t="shared" si="21"/>
        <v>1.2012534865460023</v>
      </c>
      <c r="BA107" s="479">
        <f t="shared" si="22"/>
        <v>1.3923277905386595</v>
      </c>
      <c r="BB107" s="479">
        <f t="shared" si="23"/>
        <v>1.3841641150531119</v>
      </c>
      <c r="BC107" s="479">
        <f t="shared" si="24"/>
        <v>1.7432635980212496</v>
      </c>
      <c r="BD107" s="479">
        <f t="shared" si="25"/>
        <v>1.8596869119456556</v>
      </c>
    </row>
    <row r="108" spans="1:56" ht="15">
      <c r="A108" s="63" t="str">
        <f>VLOOKUP(CONCATENATE($C108," - ",$B108),[2]ACHIEV!$B$12:$C$100,2,FALSE)</f>
        <v>LO20Fast</v>
      </c>
      <c r="B108" s="63" t="str">
        <f>'SC-New (2)'!$C$7</f>
        <v>New</v>
      </c>
      <c r="C108" s="63" t="str">
        <f>'SC-New (2)'!$C$8</f>
        <v>Lighting</v>
      </c>
      <c r="D108" s="63" t="s">
        <v>795</v>
      </c>
      <c r="E108" s="63" t="str">
        <f>'SC-New (2)'!$A$9</f>
        <v>Lighting</v>
      </c>
      <c r="F108" s="478">
        <f t="shared" si="1"/>
        <v>5.2591883382486233E-3</v>
      </c>
      <c r="G108" s="71">
        <f>'SC-New (2)'!A89</f>
        <v>20.131003317263307</v>
      </c>
      <c r="H108" s="71">
        <f>'SC-New (2)'!B89</f>
        <v>-21.262756278752239</v>
      </c>
      <c r="I108" s="1" t="str">
        <f>'SC-New (2)'!C89</f>
        <v>Manufactured</v>
      </c>
      <c r="J108" s="1" t="str">
        <f>'SC-New (2)'!D89</f>
        <v>2017 - LEDDecorative and Mini-Base250 to 664 lumensANY</v>
      </c>
      <c r="K108" s="37">
        <f>'SC-New (2)'!E89</f>
        <v>0</v>
      </c>
      <c r="L108" s="37">
        <f>'SC-New (2)'!F89</f>
        <v>3.8686479659470674E-3</v>
      </c>
      <c r="M108" s="37">
        <f>'SC-New (2)'!G89</f>
        <v>5.1501899307678589E-3</v>
      </c>
      <c r="N108" s="37">
        <f>'SC-New (2)'!H89</f>
        <v>6.2637667650083618E-3</v>
      </c>
      <c r="O108" s="37">
        <f>'SC-New (2)'!I89</f>
        <v>6.856732925505411E-3</v>
      </c>
      <c r="P108" s="37">
        <f>'SC-New (2)'!J89</f>
        <v>7.4163413842745678E-3</v>
      </c>
      <c r="Q108" s="37">
        <f>'SC-New (2)'!K89</f>
        <v>8.0149244044237372E-3</v>
      </c>
      <c r="R108" s="37">
        <f>'SC-New (2)'!L89</f>
        <v>8.5505000672454982E-3</v>
      </c>
      <c r="S108" s="37">
        <f>'SC-New (2)'!M89</f>
        <v>9.0134698735838889E-3</v>
      </c>
      <c r="T108" s="37">
        <f>'SC-New (2)'!N89</f>
        <v>9.3683210548295599E-3</v>
      </c>
      <c r="U108" s="37">
        <f>'SC-New (2)'!O89</f>
        <v>9.6075202753995986E-3</v>
      </c>
      <c r="V108" s="37">
        <f>'SC-New (2)'!P89</f>
        <v>9.8228472035151639E-3</v>
      </c>
      <c r="W108" s="37">
        <f>'SC-New (2)'!Q89</f>
        <v>1.0012624278577534E-2</v>
      </c>
      <c r="X108" s="37">
        <f>'SC-New (2)'!R89</f>
        <v>1.0160804744815191E-2</v>
      </c>
      <c r="Y108" s="37">
        <f>'SC-New (2)'!S89</f>
        <v>1.0271263023118054E-2</v>
      </c>
      <c r="Z108" s="37">
        <f>'SC-New (2)'!T89</f>
        <v>1.0349340853191207E-2</v>
      </c>
      <c r="AA108" s="37">
        <f>'SC-New (2)'!U89</f>
        <v>1.04070027321309E-2</v>
      </c>
      <c r="AB108" s="37">
        <f>'SC-New (2)'!V89</f>
        <v>1.0458543084340252E-2</v>
      </c>
      <c r="AC108" s="37">
        <f>'SC-New (2)'!W89</f>
        <v>1.050097939099817E-2</v>
      </c>
      <c r="AD108" s="37">
        <f>'SC-New (2)'!X89</f>
        <v>1.05327978534551E-2</v>
      </c>
      <c r="AE108" s="37">
        <f>'SC-New (2)'!Y89</f>
        <v>0.16662661781112711</v>
      </c>
      <c r="AF108" s="479">
        <f t="shared" si="2"/>
        <v>1.4403486023116614</v>
      </c>
      <c r="AG108" s="479">
        <f t="shared" si="3"/>
        <v>1.1455879321189004</v>
      </c>
      <c r="AH108" s="479">
        <f t="shared" si="4"/>
        <v>1.1574088126508824</v>
      </c>
      <c r="AI108" s="479">
        <f t="shared" si="5"/>
        <v>0.94395192888885926</v>
      </c>
      <c r="AJ108" s="479">
        <f t="shared" si="6"/>
        <v>0.85955346681125078</v>
      </c>
      <c r="AK108" s="479">
        <f t="shared" si="7"/>
        <v>0.88320989238719305</v>
      </c>
      <c r="AL108" s="479">
        <f t="shared" si="8"/>
        <v>0.72890464621476858</v>
      </c>
      <c r="AM108" s="479">
        <f t="shared" si="9"/>
        <v>0.83142614186746877</v>
      </c>
      <c r="AN108" s="479">
        <f t="shared" si="10"/>
        <v>0.91552576880013092</v>
      </c>
      <c r="AO108" s="479">
        <f t="shared" si="11"/>
        <v>1.3361304308256319</v>
      </c>
      <c r="AP108" s="479">
        <f t="shared" si="12"/>
        <v>1.3487789575018005</v>
      </c>
      <c r="AQ108" s="479">
        <f t="shared" si="13"/>
        <v>1.4806923521872546</v>
      </c>
      <c r="AR108" s="479"/>
      <c r="AS108" s="479">
        <f t="shared" si="14"/>
        <v>0.75140480253281761</v>
      </c>
      <c r="AT108" s="479">
        <f t="shared" si="15"/>
        <v>0.57749022612854406</v>
      </c>
      <c r="AU108" s="479">
        <f t="shared" si="16"/>
        <v>0.53824125618452068</v>
      </c>
      <c r="AV108" s="479">
        <f t="shared" si="17"/>
        <v>0.52798821450261002</v>
      </c>
      <c r="AW108" s="479">
        <f t="shared" si="18"/>
        <v>0.51298372968757655</v>
      </c>
      <c r="AX108" s="479">
        <f t="shared" si="19"/>
        <v>0.47972999605023692</v>
      </c>
      <c r="AY108" s="479">
        <f t="shared" si="20"/>
        <v>0.54727856493284177</v>
      </c>
      <c r="AZ108" s="479">
        <f t="shared" si="21"/>
        <v>0.4950940540058737</v>
      </c>
      <c r="BA108" s="479">
        <f t="shared" si="22"/>
        <v>0.57384491953058547</v>
      </c>
      <c r="BB108" s="479">
        <f t="shared" si="23"/>
        <v>0.57048027814806623</v>
      </c>
      <c r="BC108" s="479">
        <f t="shared" si="24"/>
        <v>0.71848236164278922</v>
      </c>
      <c r="BD108" s="479">
        <f t="shared" si="25"/>
        <v>0.76646598135103916</v>
      </c>
    </row>
    <row r="109" spans="1:56" ht="15">
      <c r="A109" s="63" t="str">
        <f>VLOOKUP(CONCATENATE($C109," - ",$B109),[2]ACHIEV!$B$12:$C$100,2,FALSE)</f>
        <v>LO20Fast</v>
      </c>
      <c r="B109" s="63" t="str">
        <f>'SC-New (2)'!$C$7</f>
        <v>New</v>
      </c>
      <c r="C109" s="63" t="str">
        <f>'SC-New (2)'!$C$8</f>
        <v>Lighting</v>
      </c>
      <c r="D109" s="63" t="s">
        <v>795</v>
      </c>
      <c r="E109" s="63" t="str">
        <f>'SC-New (2)'!$A$9</f>
        <v>Lighting</v>
      </c>
      <c r="F109" s="478">
        <f t="shared" si="1"/>
        <v>3.96210803600704E-3</v>
      </c>
      <c r="G109" s="71">
        <f>'SC-New (2)'!A90</f>
        <v>15.166068390464758</v>
      </c>
      <c r="H109" s="71">
        <f>'SC-New (2)'!B90</f>
        <v>-19.792953526125213</v>
      </c>
      <c r="I109" s="1" t="str">
        <f>'SC-New (2)'!C90</f>
        <v>Manufactured</v>
      </c>
      <c r="J109" s="1" t="str">
        <f>'SC-New (2)'!D90</f>
        <v>2017 - LEDDecorative and Mini-Base665 to 1439 lumensANY</v>
      </c>
      <c r="K109" s="37">
        <f>'SC-New (2)'!E90</f>
        <v>0</v>
      </c>
      <c r="L109" s="37">
        <f>'SC-New (2)'!F90</f>
        <v>7.9937179641570064E-4</v>
      </c>
      <c r="M109" s="37">
        <f>'SC-New (2)'!G90</f>
        <v>1.0641745160268445E-3</v>
      </c>
      <c r="N109" s="37">
        <f>'SC-New (2)'!H90</f>
        <v>1.2942709017071119E-3</v>
      </c>
      <c r="O109" s="37">
        <f>'SC-New (2)'!I90</f>
        <v>1.4167944368290802E-3</v>
      </c>
      <c r="P109" s="37">
        <f>'SC-New (2)'!J90</f>
        <v>1.5324253298214889E-3</v>
      </c>
      <c r="Q109" s="37">
        <f>'SC-New (2)'!K90</f>
        <v>1.656109466587714E-3</v>
      </c>
      <c r="R109" s="37">
        <f>'SC-New (2)'!L90</f>
        <v>1.7667745060213427E-3</v>
      </c>
      <c r="S109" s="37">
        <f>'SC-New (2)'!M90</f>
        <v>1.8624371274427131E-3</v>
      </c>
      <c r="T109" s="37">
        <f>'SC-New (2)'!N90</f>
        <v>1.9357593911145242E-3</v>
      </c>
      <c r="U109" s="37">
        <f>'SC-New (2)'!O90</f>
        <v>1.9851846974053484E-3</v>
      </c>
      <c r="V109" s="37">
        <f>'SC-New (2)'!P90</f>
        <v>2.0296773146865062E-3</v>
      </c>
      <c r="W109" s="37">
        <f>'SC-New (2)'!Q90</f>
        <v>2.0688906116177472E-3</v>
      </c>
      <c r="X109" s="37">
        <f>'SC-New (2)'!R90</f>
        <v>2.0995088758104974E-3</v>
      </c>
      <c r="Y109" s="37">
        <f>'SC-New (2)'!S90</f>
        <v>2.1223326719101072E-3</v>
      </c>
      <c r="Z109" s="37">
        <f>'SC-New (2)'!T90</f>
        <v>2.1384657540192038E-3</v>
      </c>
      <c r="AA109" s="37">
        <f>'SC-New (2)'!U90</f>
        <v>2.1503803247318802E-3</v>
      </c>
      <c r="AB109" s="37">
        <f>'SC-New (2)'!V90</f>
        <v>2.1610300153463123E-3</v>
      </c>
      <c r="AC109" s="37">
        <f>'SC-New (2)'!W90</f>
        <v>2.1697985533433032E-3</v>
      </c>
      <c r="AD109" s="37">
        <f>'SC-New (2)'!X90</f>
        <v>2.1763731452206889E-3</v>
      </c>
      <c r="AE109" s="37">
        <f>'SC-New (2)'!Y90</f>
        <v>3.4429759436058117E-2</v>
      </c>
      <c r="AF109" s="479">
        <f t="shared" si="2"/>
        <v>1.0851135964016425</v>
      </c>
      <c r="AG109" s="479">
        <f t="shared" si="3"/>
        <v>0.86305012482449117</v>
      </c>
      <c r="AH109" s="479">
        <f t="shared" si="4"/>
        <v>0.87195560657113691</v>
      </c>
      <c r="AI109" s="479">
        <f t="shared" si="5"/>
        <v>0.71114386527187501</v>
      </c>
      <c r="AJ109" s="479">
        <f t="shared" si="6"/>
        <v>0.64756070313402958</v>
      </c>
      <c r="AK109" s="479">
        <f t="shared" si="7"/>
        <v>0.66538271441207719</v>
      </c>
      <c r="AL109" s="479">
        <f t="shared" si="8"/>
        <v>0.54913396716500618</v>
      </c>
      <c r="AM109" s="479">
        <f t="shared" si="9"/>
        <v>0.62637045608000386</v>
      </c>
      <c r="AN109" s="479">
        <f t="shared" si="10"/>
        <v>0.68972848516440399</v>
      </c>
      <c r="AO109" s="479">
        <f t="shared" si="11"/>
        <v>1.0065988849699035</v>
      </c>
      <c r="AP109" s="479">
        <f t="shared" si="12"/>
        <v>1.0161278894405794</v>
      </c>
      <c r="AQ109" s="479">
        <f t="shared" si="13"/>
        <v>1.1155073159842306</v>
      </c>
      <c r="AR109" s="479"/>
      <c r="AS109" s="479">
        <f t="shared" si="14"/>
        <v>0.56608488134140256</v>
      </c>
      <c r="AT109" s="479">
        <f t="shared" si="15"/>
        <v>0.435063077893382</v>
      </c>
      <c r="AU109" s="479">
        <f t="shared" si="16"/>
        <v>0.40549413127680195</v>
      </c>
      <c r="AV109" s="479">
        <f t="shared" si="17"/>
        <v>0.39776981029252217</v>
      </c>
      <c r="AW109" s="479">
        <f t="shared" si="18"/>
        <v>0.38646590063227465</v>
      </c>
      <c r="AX109" s="479">
        <f t="shared" si="19"/>
        <v>0.36141357757445147</v>
      </c>
      <c r="AY109" s="479">
        <f t="shared" si="20"/>
        <v>0.4123025570856263</v>
      </c>
      <c r="AZ109" s="479">
        <f t="shared" si="21"/>
        <v>0.37298837839475796</v>
      </c>
      <c r="BA109" s="479">
        <f t="shared" si="22"/>
        <v>0.43231681789344234</v>
      </c>
      <c r="BB109" s="479">
        <f t="shared" si="23"/>
        <v>0.42978200229024216</v>
      </c>
      <c r="BC109" s="479">
        <f t="shared" si="24"/>
        <v>0.54128214387967721</v>
      </c>
      <c r="BD109" s="479">
        <f t="shared" si="25"/>
        <v>0.57743150249079578</v>
      </c>
    </row>
    <row r="110" spans="1:56" ht="15">
      <c r="A110" s="63" t="str">
        <f>VLOOKUP(CONCATENATE($C110," - ",$B110),[2]ACHIEV!$B$12:$C$100,2,FALSE)</f>
        <v>LO20Fast</v>
      </c>
      <c r="B110" s="63" t="str">
        <f>'SC-New (2)'!$C$7</f>
        <v>New</v>
      </c>
      <c r="C110" s="63" t="str">
        <f>'SC-New (2)'!$C$8</f>
        <v>Lighting</v>
      </c>
      <c r="D110" s="63" t="s">
        <v>795</v>
      </c>
      <c r="E110" s="63" t="str">
        <f>'SC-New (2)'!$A$9</f>
        <v>Lighting</v>
      </c>
      <c r="F110" s="478">
        <f t="shared" si="1"/>
        <v>1.962157373850039E-3</v>
      </c>
      <c r="G110" s="71">
        <f>'SC-New (2)'!A91</f>
        <v>7.5107020440195642</v>
      </c>
      <c r="H110" s="71">
        <f>'SC-New (2)'!B91</f>
        <v>253.66864707291808</v>
      </c>
      <c r="I110" s="1" t="str">
        <f>'SC-New (2)'!C91</f>
        <v>Manufactured</v>
      </c>
      <c r="J110" s="1" t="str">
        <f>'SC-New (2)'!D91</f>
        <v>2017 - LEDDecorative and Mini-Base1440 to 2600 lumensANY</v>
      </c>
      <c r="K110" s="37">
        <f>'SC-New (2)'!E91</f>
        <v>0</v>
      </c>
      <c r="L110" s="37">
        <f>'SC-New (2)'!F91</f>
        <v>7.7775180233552671E-6</v>
      </c>
      <c r="M110" s="37">
        <f>'SC-New (2)'!G91</f>
        <v>1.0353926064824558E-5</v>
      </c>
      <c r="N110" s="37">
        <f>'SC-New (2)'!H91</f>
        <v>1.2592657522153262E-5</v>
      </c>
      <c r="O110" s="37">
        <f>'SC-New (2)'!I91</f>
        <v>1.3784754875311257E-5</v>
      </c>
      <c r="P110" s="37">
        <f>'SC-New (2)'!J91</f>
        <v>1.4909790007070455E-5</v>
      </c>
      <c r="Q110" s="37">
        <f>'SC-New (2)'!K91</f>
        <v>1.6113179477671945E-5</v>
      </c>
      <c r="R110" s="37">
        <f>'SC-New (2)'!L91</f>
        <v>1.7189899150056755E-5</v>
      </c>
      <c r="S110" s="37">
        <f>'SC-New (2)'!M91</f>
        <v>1.8120652230916272E-5</v>
      </c>
      <c r="T110" s="37">
        <f>'SC-New (2)'!N91</f>
        <v>1.8834043958992902E-5</v>
      </c>
      <c r="U110" s="37">
        <f>'SC-New (2)'!O91</f>
        <v>1.9314929339500915E-5</v>
      </c>
      <c r="V110" s="37">
        <f>'SC-New (2)'!P91</f>
        <v>1.9747821936365194E-5</v>
      </c>
      <c r="W110" s="37">
        <f>'SC-New (2)'!Q91</f>
        <v>2.0129349186895443E-5</v>
      </c>
      <c r="X110" s="37">
        <f>'SC-New (2)'!R91</f>
        <v>2.0427250742430345E-5</v>
      </c>
      <c r="Y110" s="37">
        <f>'SC-New (2)'!S91</f>
        <v>2.064931572686193E-5</v>
      </c>
      <c r="Z110" s="37">
        <f>'SC-New (2)'!T91</f>
        <v>2.0806283157334694E-5</v>
      </c>
      <c r="AA110" s="37">
        <f>'SC-New (2)'!U91</f>
        <v>2.0922206422170766E-5</v>
      </c>
      <c r="AB110" s="37">
        <f>'SC-New (2)'!V91</f>
        <v>2.1025822988414775E-5</v>
      </c>
      <c r="AC110" s="37">
        <f>'SC-New (2)'!W91</f>
        <v>2.1111136809362506E-5</v>
      </c>
      <c r="AD110" s="37">
        <f>'SC-New (2)'!X91</f>
        <v>2.1175104548844747E-5</v>
      </c>
      <c r="AE110" s="37">
        <f>'SC-New (2)'!Y91</f>
        <v>3.3498564216853389E-4</v>
      </c>
      <c r="AF110" s="479">
        <f t="shared" si="2"/>
        <v>0.53738152147667351</v>
      </c>
      <c r="AG110" s="479">
        <f t="shared" si="3"/>
        <v>0.42740888209933781</v>
      </c>
      <c r="AH110" s="479">
        <f t="shared" si="4"/>
        <v>0.43181914969377672</v>
      </c>
      <c r="AI110" s="479">
        <f t="shared" si="5"/>
        <v>0.35218024506915513</v>
      </c>
      <c r="AJ110" s="479">
        <f t="shared" si="6"/>
        <v>0.32069191377993372</v>
      </c>
      <c r="AK110" s="479">
        <f t="shared" si="7"/>
        <v>0.32951792017053727</v>
      </c>
      <c r="AL110" s="479">
        <f t="shared" si="8"/>
        <v>0.27194797645907187</v>
      </c>
      <c r="AM110" s="479">
        <f t="shared" si="9"/>
        <v>0.31019785376619841</v>
      </c>
      <c r="AN110" s="479">
        <f t="shared" si="10"/>
        <v>0.34157469226499099</v>
      </c>
      <c r="AO110" s="479">
        <f t="shared" si="11"/>
        <v>0.49849862919018445</v>
      </c>
      <c r="AP110" s="479">
        <f t="shared" si="12"/>
        <v>0.50321768435416969</v>
      </c>
      <c r="AQ110" s="479">
        <f t="shared" si="13"/>
        <v>0.5524334232561634</v>
      </c>
      <c r="AR110" s="479"/>
      <c r="AS110" s="479">
        <f t="shared" si="14"/>
        <v>0.28034258885793889</v>
      </c>
      <c r="AT110" s="479">
        <f t="shared" si="15"/>
        <v>0.21545657478807742</v>
      </c>
      <c r="AU110" s="479">
        <f t="shared" si="16"/>
        <v>0.20081312586810013</v>
      </c>
      <c r="AV110" s="479">
        <f t="shared" si="17"/>
        <v>0.19698780529643709</v>
      </c>
      <c r="AW110" s="479">
        <f t="shared" si="18"/>
        <v>0.19138976266569091</v>
      </c>
      <c r="AX110" s="479">
        <f t="shared" si="19"/>
        <v>0.17898308420734163</v>
      </c>
      <c r="AY110" s="479">
        <f t="shared" si="20"/>
        <v>0.20418486706841296</v>
      </c>
      <c r="AZ110" s="479">
        <f t="shared" si="21"/>
        <v>0.18471528044581126</v>
      </c>
      <c r="BA110" s="479">
        <f t="shared" si="22"/>
        <v>0.21409654263841862</v>
      </c>
      <c r="BB110" s="479">
        <f t="shared" si="23"/>
        <v>0.21284122423670696</v>
      </c>
      <c r="BC110" s="479">
        <f t="shared" si="24"/>
        <v>0.26805951283883145</v>
      </c>
      <c r="BD110" s="479">
        <f t="shared" si="25"/>
        <v>0.28596178352760315</v>
      </c>
    </row>
    <row r="111" spans="1:56" ht="15">
      <c r="A111" s="63" t="str">
        <f>VLOOKUP(CONCATENATE($C111," - ",$B111),[2]ACHIEV!$B$12:$C$100,2,FALSE)</f>
        <v>LO20Fast</v>
      </c>
      <c r="B111" s="63" t="str">
        <f>'SC-New (2)'!$C$7</f>
        <v>New</v>
      </c>
      <c r="C111" s="63" t="str">
        <f>'SC-New (2)'!$C$8</f>
        <v>Lighting</v>
      </c>
      <c r="D111" s="63" t="s">
        <v>795</v>
      </c>
      <c r="E111" s="63" t="str">
        <f>'SC-New (2)'!$A$9</f>
        <v>Lighting</v>
      </c>
      <c r="F111" s="478">
        <f t="shared" si="1"/>
        <v>5.0185805390402609E-4</v>
      </c>
      <c r="G111" s="71">
        <f>'SC-New (2)'!A92</f>
        <v>1.9210010172979759</v>
      </c>
      <c r="H111" s="71">
        <f>'SC-New (2)'!B92</f>
        <v>19.879331870717266</v>
      </c>
      <c r="I111" s="1" t="str">
        <f>'SC-New (2)'!C92</f>
        <v>Manufactured</v>
      </c>
      <c r="J111" s="1" t="str">
        <f>'SC-New (2)'!D92</f>
        <v>2017 - LEDGeneral Purpose and Dimmable250 to 664 lumensANY</v>
      </c>
      <c r="K111" s="37">
        <f>'SC-New (2)'!E92</f>
        <v>0</v>
      </c>
      <c r="L111" s="37">
        <f>'SC-New (2)'!F92</f>
        <v>3.0827156704546575E-4</v>
      </c>
      <c r="M111" s="37">
        <f>'SC-New (2)'!G92</f>
        <v>4.1039069321235574E-4</v>
      </c>
      <c r="N111" s="37">
        <f>'SC-New (2)'!H92</f>
        <v>4.9912558941860963E-4</v>
      </c>
      <c r="O111" s="37">
        <f>'SC-New (2)'!I92</f>
        <v>5.4637584560898115E-4</v>
      </c>
      <c r="P111" s="37">
        <f>'SC-New (2)'!J92</f>
        <v>5.909680075309652E-4</v>
      </c>
      <c r="Q111" s="37">
        <f>'SC-New (2)'!K92</f>
        <v>6.3866584079272566E-4</v>
      </c>
      <c r="R111" s="37">
        <f>'SC-New (2)'!L92</f>
        <v>6.8134295959566631E-4</v>
      </c>
      <c r="S111" s="37">
        <f>'SC-New (2)'!M92</f>
        <v>7.1823451161873424E-4</v>
      </c>
      <c r="T111" s="37">
        <f>'SC-New (2)'!N92</f>
        <v>7.4651067700607992E-4</v>
      </c>
      <c r="U111" s="37">
        <f>'SC-New (2)'!O92</f>
        <v>7.6557116511723547E-4</v>
      </c>
      <c r="V111" s="37">
        <f>'SC-New (2)'!P92</f>
        <v>7.8272939976188637E-4</v>
      </c>
      <c r="W111" s="37">
        <f>'SC-New (2)'!Q92</f>
        <v>7.9785170523753062E-4</v>
      </c>
      <c r="X111" s="37">
        <f>'SC-New (2)'!R92</f>
        <v>8.0965940263845655E-4</v>
      </c>
      <c r="Y111" s="37">
        <f>'SC-New (2)'!S92</f>
        <v>8.1846122354469982E-4</v>
      </c>
      <c r="Z111" s="37">
        <f>'SC-New (2)'!T92</f>
        <v>8.2468282221173368E-4</v>
      </c>
      <c r="AA111" s="37">
        <f>'SC-New (2)'!U92</f>
        <v>8.2927758449974505E-4</v>
      </c>
      <c r="AB111" s="37">
        <f>'SC-New (2)'!V92</f>
        <v>8.3338455553497669E-4</v>
      </c>
      <c r="AC111" s="37">
        <f>'SC-New (2)'!W92</f>
        <v>8.367660745742403E-4</v>
      </c>
      <c r="AD111" s="37">
        <f>'SC-New (2)'!X92</f>
        <v>8.3930151521627175E-4</v>
      </c>
      <c r="AE111" s="37">
        <f>'SC-New (2)'!Y92</f>
        <v>1.327757114016636E-2</v>
      </c>
      <c r="AF111" s="479">
        <f t="shared" si="2"/>
        <v>0.13744526721783706</v>
      </c>
      <c r="AG111" s="479">
        <f t="shared" si="3"/>
        <v>0.10931772988768557</v>
      </c>
      <c r="AH111" s="479">
        <f t="shared" si="4"/>
        <v>0.11044573742756919</v>
      </c>
      <c r="AI111" s="479">
        <f t="shared" si="5"/>
        <v>9.0076614021560725E-2</v>
      </c>
      <c r="AJ111" s="479">
        <f t="shared" si="6"/>
        <v>8.2022890669856893E-2</v>
      </c>
      <c r="AK111" s="479">
        <f t="shared" si="7"/>
        <v>8.4280305110698436E-2</v>
      </c>
      <c r="AL111" s="479">
        <f t="shared" si="8"/>
        <v>6.955572679733403E-2</v>
      </c>
      <c r="AM111" s="479">
        <f t="shared" si="9"/>
        <v>7.9338840651120859E-2</v>
      </c>
      <c r="AN111" s="479">
        <f t="shared" si="10"/>
        <v>8.7364047658735955E-2</v>
      </c>
      <c r="AO111" s="479">
        <f t="shared" si="11"/>
        <v>0.12750024807048468</v>
      </c>
      <c r="AP111" s="479">
        <f t="shared" si="12"/>
        <v>0.12870723374473589</v>
      </c>
      <c r="AQ111" s="479">
        <f t="shared" si="13"/>
        <v>0.14129506960131633</v>
      </c>
      <c r="AR111" s="479"/>
      <c r="AS111" s="479">
        <f t="shared" si="14"/>
        <v>7.1702804242762208E-2</v>
      </c>
      <c r="AT111" s="479">
        <f t="shared" si="15"/>
        <v>5.5107005566942716E-2</v>
      </c>
      <c r="AU111" s="479">
        <f t="shared" si="16"/>
        <v>5.1361672559833739E-2</v>
      </c>
      <c r="AV111" s="479">
        <f t="shared" si="17"/>
        <v>5.0383276044223477E-2</v>
      </c>
      <c r="AW111" s="479">
        <f t="shared" si="18"/>
        <v>4.8951473061557747E-2</v>
      </c>
      <c r="AX111" s="479">
        <f t="shared" si="19"/>
        <v>4.5778235486682146E-2</v>
      </c>
      <c r="AY111" s="479">
        <f t="shared" si="20"/>
        <v>5.2224057758701252E-2</v>
      </c>
      <c r="AZ111" s="479">
        <f t="shared" si="21"/>
        <v>4.7244350736749853E-2</v>
      </c>
      <c r="BA111" s="479">
        <f t="shared" si="22"/>
        <v>5.4759152180170065E-2</v>
      </c>
      <c r="BB111" s="479">
        <f t="shared" si="23"/>
        <v>5.4438081271939699E-2</v>
      </c>
      <c r="BC111" s="479">
        <f t="shared" si="24"/>
        <v>6.8561180278722517E-2</v>
      </c>
      <c r="BD111" s="479">
        <f t="shared" si="25"/>
        <v>7.3140017250754669E-2</v>
      </c>
    </row>
    <row r="112" spans="1:56" ht="15">
      <c r="A112" s="63" t="str">
        <f>VLOOKUP(CONCATENATE($C112," - ",$B112),[2]ACHIEV!$B$12:$C$100,2,FALSE)</f>
        <v>LO20Fast</v>
      </c>
      <c r="B112" s="63" t="str">
        <f>'SC-New (2)'!$C$7</f>
        <v>New</v>
      </c>
      <c r="C112" s="63" t="str">
        <f>'SC-New (2)'!$C$8</f>
        <v>Lighting</v>
      </c>
      <c r="D112" s="63" t="s">
        <v>795</v>
      </c>
      <c r="E112" s="63" t="str">
        <f>'SC-New (2)'!$A$9</f>
        <v>Lighting</v>
      </c>
      <c r="F112" s="478">
        <f t="shared" si="1"/>
        <v>1.9587879633994761E-3</v>
      </c>
      <c r="G112" s="71">
        <f>'SC-New (2)'!A93</f>
        <v>7.4978046901704554</v>
      </c>
      <c r="H112" s="71">
        <f>'SC-New (2)'!B93</f>
        <v>38.047469279788793</v>
      </c>
      <c r="I112" s="1" t="str">
        <f>'SC-New (2)'!C93</f>
        <v>Manufactured</v>
      </c>
      <c r="J112" s="1" t="str">
        <f>'SC-New (2)'!D93</f>
        <v>2017 - LEDGeneral Purpose and Dimmable665 to 1439 lumensANY</v>
      </c>
      <c r="K112" s="37">
        <f>'SC-New (2)'!E93</f>
        <v>0</v>
      </c>
      <c r="L112" s="37">
        <f>'SC-New (2)'!F93</f>
        <v>9.2844949947698836E-3</v>
      </c>
      <c r="M112" s="37">
        <f>'SC-New (2)'!G93</f>
        <v>1.2360109540911041E-2</v>
      </c>
      <c r="N112" s="37">
        <f>'SC-New (2)'!H93</f>
        <v>1.5032619067444446E-2</v>
      </c>
      <c r="O112" s="37">
        <f>'SC-New (2)'!I93</f>
        <v>1.6455697982265018E-2</v>
      </c>
      <c r="P112" s="37">
        <f>'SC-New (2)'!J93</f>
        <v>1.77987206558727E-2</v>
      </c>
      <c r="Q112" s="37">
        <f>'SC-New (2)'!K93</f>
        <v>1.9235279656187085E-2</v>
      </c>
      <c r="R112" s="37">
        <f>'SC-New (2)'!L93</f>
        <v>2.0520625235458955E-2</v>
      </c>
      <c r="S112" s="37">
        <f>'SC-New (2)'!M93</f>
        <v>2.1631721641106216E-2</v>
      </c>
      <c r="T112" s="37">
        <f>'SC-New (2)'!N93</f>
        <v>2.2483340616304727E-2</v>
      </c>
      <c r="U112" s="37">
        <f>'SC-New (2)'!O93</f>
        <v>2.3057402662188423E-2</v>
      </c>
      <c r="V112" s="37">
        <f>'SC-New (2)'!P93</f>
        <v>2.3574172811327267E-2</v>
      </c>
      <c r="W112" s="37">
        <f>'SC-New (2)'!Q93</f>
        <v>2.4029625031081584E-2</v>
      </c>
      <c r="X112" s="37">
        <f>'SC-New (2)'!R93</f>
        <v>2.4385248186565414E-2</v>
      </c>
      <c r="Y112" s="37">
        <f>'SC-New (2)'!S93</f>
        <v>2.4650340627402893E-2</v>
      </c>
      <c r="Z112" s="37">
        <f>'SC-New (2)'!T93</f>
        <v>2.4837722169713677E-2</v>
      </c>
      <c r="AA112" s="37">
        <f>'SC-New (2)'!U93</f>
        <v>2.4976106802049581E-2</v>
      </c>
      <c r="AB112" s="37">
        <f>'SC-New (2)'!V93</f>
        <v>2.5099800181837179E-2</v>
      </c>
      <c r="AC112" s="37">
        <f>'SC-New (2)'!W93</f>
        <v>2.5201644464447035E-2</v>
      </c>
      <c r="AD112" s="37">
        <f>'SC-New (2)'!X93</f>
        <v>2.5278006634906321E-2</v>
      </c>
      <c r="AE112" s="37">
        <f>'SC-New (2)'!Y93</f>
        <v>0.39989267896183944</v>
      </c>
      <c r="AF112" s="479">
        <f t="shared" si="2"/>
        <v>0.53645873162376279</v>
      </c>
      <c r="AG112" s="479">
        <f t="shared" si="3"/>
        <v>0.42667493691573455</v>
      </c>
      <c r="AH112" s="479">
        <f t="shared" si="4"/>
        <v>0.43107763121257736</v>
      </c>
      <c r="AI112" s="479">
        <f t="shared" si="5"/>
        <v>0.35157548226366747</v>
      </c>
      <c r="AJ112" s="479">
        <f t="shared" si="6"/>
        <v>0.32014122263757089</v>
      </c>
      <c r="AK112" s="479">
        <f t="shared" si="7"/>
        <v>0.32895207303785196</v>
      </c>
      <c r="AL112" s="479">
        <f t="shared" si="8"/>
        <v>0.27148098825205935</v>
      </c>
      <c r="AM112" s="479">
        <f t="shared" si="9"/>
        <v>0.30966518299057599</v>
      </c>
      <c r="AN112" s="479">
        <f t="shared" si="10"/>
        <v>0.34098814128131166</v>
      </c>
      <c r="AO112" s="479">
        <f t="shared" si="11"/>
        <v>0.49764260891720863</v>
      </c>
      <c r="AP112" s="479">
        <f t="shared" si="12"/>
        <v>0.50235356053455782</v>
      </c>
      <c r="AQ112" s="479">
        <f t="shared" si="13"/>
        <v>0.55148478632501485</v>
      </c>
      <c r="AR112" s="479"/>
      <c r="AS112" s="479">
        <f t="shared" si="14"/>
        <v>0.27986118544900518</v>
      </c>
      <c r="AT112" s="479">
        <f t="shared" si="15"/>
        <v>0.21508659343774925</v>
      </c>
      <c r="AU112" s="479">
        <f t="shared" si="16"/>
        <v>0.20046829020204826</v>
      </c>
      <c r="AV112" s="479">
        <f t="shared" si="17"/>
        <v>0.19664953845879962</v>
      </c>
      <c r="AW112" s="479">
        <f t="shared" si="18"/>
        <v>0.19106110876919372</v>
      </c>
      <c r="AX112" s="479">
        <f t="shared" si="19"/>
        <v>0.17867573501994241</v>
      </c>
      <c r="AY112" s="479">
        <f t="shared" si="20"/>
        <v>0.20383424145901183</v>
      </c>
      <c r="AZ112" s="479">
        <f t="shared" si="21"/>
        <v>0.18439808794911994</v>
      </c>
      <c r="BA112" s="479">
        <f t="shared" si="22"/>
        <v>0.21372889673100612</v>
      </c>
      <c r="BB112" s="479">
        <f t="shared" si="23"/>
        <v>0.21247573395809255</v>
      </c>
      <c r="BC112" s="479">
        <f t="shared" si="24"/>
        <v>0.26759920188927711</v>
      </c>
      <c r="BD112" s="479">
        <f t="shared" si="25"/>
        <v>0.28547073085531477</v>
      </c>
    </row>
    <row r="113" spans="1:56" ht="15">
      <c r="A113" s="63" t="str">
        <f>VLOOKUP(CONCATENATE($C113," - ",$B113),[2]ACHIEV!$B$12:$C$100,2,FALSE)</f>
        <v>LO20Fast</v>
      </c>
      <c r="B113" s="63" t="str">
        <f>'SC-New (2)'!$C$7</f>
        <v>New</v>
      </c>
      <c r="C113" s="63" t="str">
        <f>'SC-New (2)'!$C$8</f>
        <v>Lighting</v>
      </c>
      <c r="D113" s="63" t="s">
        <v>795</v>
      </c>
      <c r="E113" s="63" t="str">
        <f>'SC-New (2)'!$A$9</f>
        <v>Lighting</v>
      </c>
      <c r="F113" s="478">
        <f t="shared" si="1"/>
        <v>3.659906529973458E-3</v>
      </c>
      <c r="G113" s="71">
        <f>'SC-New (2)'!A94</f>
        <v>14.009308234872018</v>
      </c>
      <c r="H113" s="71">
        <f>'SC-New (2)'!B94</f>
        <v>64.372768585347757</v>
      </c>
      <c r="I113" s="1" t="str">
        <f>'SC-New (2)'!C94</f>
        <v>Manufactured</v>
      </c>
      <c r="J113" s="1" t="str">
        <f>'SC-New (2)'!D94</f>
        <v>2017 - LEDGeneral Purpose and Dimmable1440 to 2600 lumensANY</v>
      </c>
      <c r="K113" s="37">
        <f>'SC-New (2)'!E94</f>
        <v>0</v>
      </c>
      <c r="L113" s="37">
        <f>'SC-New (2)'!F94</f>
        <v>1.7295837534255375E-3</v>
      </c>
      <c r="M113" s="37">
        <f>'SC-New (2)'!G94</f>
        <v>2.3025317655469926E-3</v>
      </c>
      <c r="N113" s="37">
        <f>'SC-New (2)'!H94</f>
        <v>2.8003864211390305E-3</v>
      </c>
      <c r="O113" s="37">
        <f>'SC-New (2)'!I94</f>
        <v>3.0654879880312107E-3</v>
      </c>
      <c r="P113" s="37">
        <f>'SC-New (2)'!J94</f>
        <v>3.3156760917527894E-3</v>
      </c>
      <c r="Q113" s="37">
        <f>'SC-New (2)'!K94</f>
        <v>3.5832888277368834E-3</v>
      </c>
      <c r="R113" s="37">
        <f>'SC-New (2)'!L94</f>
        <v>3.8227324197360494E-3</v>
      </c>
      <c r="S113" s="37">
        <f>'SC-New (2)'!M94</f>
        <v>4.0297155989805376E-3</v>
      </c>
      <c r="T113" s="37">
        <f>'SC-New (2)'!N94</f>
        <v>4.1883614213372704E-3</v>
      </c>
      <c r="U113" s="37">
        <f>'SC-New (2)'!O94</f>
        <v>4.2953019052922922E-3</v>
      </c>
      <c r="V113" s="37">
        <f>'SC-New (2)'!P94</f>
        <v>4.3915696349544151E-3</v>
      </c>
      <c r="W113" s="37">
        <f>'SC-New (2)'!Q94</f>
        <v>4.4764146114655142E-3</v>
      </c>
      <c r="X113" s="37">
        <f>'SC-New (2)'!R94</f>
        <v>4.5426626984549781E-3</v>
      </c>
      <c r="Y113" s="37">
        <f>'SC-New (2)'!S94</f>
        <v>4.5920460606181006E-3</v>
      </c>
      <c r="Z113" s="37">
        <f>'SC-New (2)'!T94</f>
        <v>4.6269528672301056E-3</v>
      </c>
      <c r="AA113" s="37">
        <f>'SC-New (2)'!U94</f>
        <v>4.6527321704605742E-3</v>
      </c>
      <c r="AB113" s="37">
        <f>'SC-New (2)'!V94</f>
        <v>4.6757746795262197E-3</v>
      </c>
      <c r="AC113" s="37">
        <f>'SC-New (2)'!W94</f>
        <v>4.6947469786852497E-3</v>
      </c>
      <c r="AD113" s="37">
        <f>'SC-New (2)'!X94</f>
        <v>4.7089722832900872E-3</v>
      </c>
      <c r="AE113" s="37">
        <f>'SC-New (2)'!Y94</f>
        <v>7.4494938177663839E-2</v>
      </c>
      <c r="AF113" s="479">
        <f t="shared" si="2"/>
        <v>1.0023488257113993</v>
      </c>
      <c r="AG113" s="479">
        <f t="shared" si="3"/>
        <v>0.79722278111397538</v>
      </c>
      <c r="AH113" s="479">
        <f t="shared" si="4"/>
        <v>0.80544901586095996</v>
      </c>
      <c r="AI113" s="479">
        <f t="shared" si="5"/>
        <v>0.65690285388635883</v>
      </c>
      <c r="AJ113" s="479">
        <f t="shared" si="6"/>
        <v>0.59816936449388325</v>
      </c>
      <c r="AK113" s="479">
        <f t="shared" si="7"/>
        <v>0.61463203912592634</v>
      </c>
      <c r="AL113" s="479">
        <f t="shared" si="8"/>
        <v>0.50724992200941221</v>
      </c>
      <c r="AM113" s="479">
        <f t="shared" si="9"/>
        <v>0.57859535922699556</v>
      </c>
      <c r="AN113" s="479">
        <f t="shared" si="10"/>
        <v>0.63712088711894432</v>
      </c>
      <c r="AO113" s="479">
        <f t="shared" si="11"/>
        <v>0.92982265972689038</v>
      </c>
      <c r="AP113" s="479">
        <f t="shared" si="12"/>
        <v>0.93862485930585982</v>
      </c>
      <c r="AQ113" s="479">
        <f t="shared" si="13"/>
        <v>1.0304243278833694</v>
      </c>
      <c r="AR113" s="479"/>
      <c r="AS113" s="479">
        <f t="shared" si="14"/>
        <v>0.52290794064984647</v>
      </c>
      <c r="AT113" s="479">
        <f t="shared" si="15"/>
        <v>0.40187955130497377</v>
      </c>
      <c r="AU113" s="479">
        <f t="shared" si="16"/>
        <v>0.37456591426555569</v>
      </c>
      <c r="AV113" s="479">
        <f t="shared" si="17"/>
        <v>0.36743074971348882</v>
      </c>
      <c r="AW113" s="479">
        <f t="shared" si="18"/>
        <v>0.35698902212711459</v>
      </c>
      <c r="AX113" s="479">
        <f t="shared" si="19"/>
        <v>0.33384751262836426</v>
      </c>
      <c r="AY113" s="479">
        <f t="shared" si="20"/>
        <v>0.38085504163162015</v>
      </c>
      <c r="AZ113" s="479">
        <f t="shared" si="21"/>
        <v>0.34453946971797317</v>
      </c>
      <c r="BA113" s="479">
        <f t="shared" si="22"/>
        <v>0.39934275654434592</v>
      </c>
      <c r="BB113" s="479">
        <f t="shared" si="23"/>
        <v>0.39700127870120755</v>
      </c>
      <c r="BC113" s="479">
        <f t="shared" si="24"/>
        <v>0.49999698012771288</v>
      </c>
      <c r="BD113" s="479">
        <f t="shared" si="25"/>
        <v>0.53338912199583788</v>
      </c>
    </row>
    <row r="114" spans="1:56" ht="15">
      <c r="A114" s="63" t="str">
        <f>VLOOKUP(CONCATENATE($C114," - ",$B114),[2]ACHIEV!$B$12:$C$100,2,FALSE)</f>
        <v>LO20Fast</v>
      </c>
      <c r="B114" s="63" t="str">
        <f>'SC-New (2)'!$C$7</f>
        <v>New</v>
      </c>
      <c r="C114" s="63" t="str">
        <f>'SC-New (2)'!$C$8</f>
        <v>Lighting</v>
      </c>
      <c r="D114" s="63" t="s">
        <v>795</v>
      </c>
      <c r="E114" s="63" t="str">
        <f>'SC-New (2)'!$A$9</f>
        <v>Lighting</v>
      </c>
      <c r="F114" s="478">
        <f t="shared" si="1"/>
        <v>3.9190405629480479E-3</v>
      </c>
      <c r="G114" s="71">
        <f>'SC-New (2)'!A95</f>
        <v>15.001215681785107</v>
      </c>
      <c r="H114" s="71">
        <f>'SC-New (2)'!B95</f>
        <v>-40.723166254238713</v>
      </c>
      <c r="I114" s="1" t="str">
        <f>'SC-New (2)'!C95</f>
        <v>Manufactured</v>
      </c>
      <c r="J114" s="1" t="str">
        <f>'SC-New (2)'!D95</f>
        <v>2017 - LEDGlobe250 to 664 lumensANY</v>
      </c>
      <c r="K114" s="37">
        <f>'SC-New (2)'!E95</f>
        <v>0</v>
      </c>
      <c r="L114" s="37">
        <f>'SC-New (2)'!F95</f>
        <v>1.5828977280724558E-3</v>
      </c>
      <c r="M114" s="37">
        <f>'SC-New (2)'!G95</f>
        <v>2.1072540102672205E-3</v>
      </c>
      <c r="N114" s="37">
        <f>'SC-New (2)'!H95</f>
        <v>2.562885604681858E-3</v>
      </c>
      <c r="O114" s="37">
        <f>'SC-New (2)'!I95</f>
        <v>2.8055039035129979E-3</v>
      </c>
      <c r="P114" s="37">
        <f>'SC-New (2)'!J95</f>
        <v>3.0344735502197844E-3</v>
      </c>
      <c r="Q114" s="37">
        <f>'SC-New (2)'!K95</f>
        <v>3.2793900458526243E-3</v>
      </c>
      <c r="R114" s="37">
        <f>'SC-New (2)'!L95</f>
        <v>3.498526423045302E-3</v>
      </c>
      <c r="S114" s="37">
        <f>'SC-New (2)'!M95</f>
        <v>3.6879553555999815E-3</v>
      </c>
      <c r="T114" s="37">
        <f>'SC-New (2)'!N95</f>
        <v>3.8331464232654248E-3</v>
      </c>
      <c r="U114" s="37">
        <f>'SC-New (2)'!O95</f>
        <v>3.9310172830928913E-3</v>
      </c>
      <c r="V114" s="37">
        <f>'SC-New (2)'!P95</f>
        <v>4.0191205450870364E-3</v>
      </c>
      <c r="W114" s="37">
        <f>'SC-New (2)'!Q95</f>
        <v>4.0967698178046991E-3</v>
      </c>
      <c r="X114" s="37">
        <f>'SC-New (2)'!R95</f>
        <v>4.1573994034937879E-3</v>
      </c>
      <c r="Y114" s="37">
        <f>'SC-New (2)'!S95</f>
        <v>4.202594561934522E-3</v>
      </c>
      <c r="Z114" s="37">
        <f>'SC-New (2)'!T95</f>
        <v>4.2345409217283006E-3</v>
      </c>
      <c r="AA114" s="37">
        <f>'SC-New (2)'!U95</f>
        <v>4.2581338818460067E-3</v>
      </c>
      <c r="AB114" s="37">
        <f>'SC-New (2)'!V95</f>
        <v>4.2792221553550856E-3</v>
      </c>
      <c r="AC114" s="37">
        <f>'SC-New (2)'!W95</f>
        <v>4.2965854135237989E-3</v>
      </c>
      <c r="AD114" s="37">
        <f>'SC-New (2)'!X95</f>
        <v>4.3096042698211826E-3</v>
      </c>
      <c r="AE114" s="37">
        <f>'SC-New (2)'!Y95</f>
        <v>6.8177021298204979E-2</v>
      </c>
      <c r="AF114" s="479">
        <f t="shared" si="2"/>
        <v>1.0733185872412989</v>
      </c>
      <c r="AG114" s="479">
        <f t="shared" si="3"/>
        <v>0.85366890965780484</v>
      </c>
      <c r="AH114" s="479">
        <f t="shared" si="4"/>
        <v>0.86247759025927351</v>
      </c>
      <c r="AI114" s="479">
        <f t="shared" si="5"/>
        <v>0.70341384655953076</v>
      </c>
      <c r="AJ114" s="479">
        <f t="shared" si="6"/>
        <v>0.64052182310278416</v>
      </c>
      <c r="AK114" s="479">
        <f t="shared" si="7"/>
        <v>0.65815011200284546</v>
      </c>
      <c r="AL114" s="479">
        <f t="shared" si="8"/>
        <v>0.54316496982275031</v>
      </c>
      <c r="AM114" s="479">
        <f t="shared" si="9"/>
        <v>0.61956191060445931</v>
      </c>
      <c r="AN114" s="479">
        <f t="shared" si="10"/>
        <v>0.68223124816761238</v>
      </c>
      <c r="AO114" s="479">
        <f t="shared" si="11"/>
        <v>0.99565731801471724</v>
      </c>
      <c r="AP114" s="479">
        <f t="shared" si="12"/>
        <v>1.0050827437491268</v>
      </c>
      <c r="AQ114" s="479">
        <f t="shared" si="13"/>
        <v>1.1033819320114413</v>
      </c>
      <c r="AR114" s="479"/>
      <c r="AS114" s="479">
        <f t="shared" si="14"/>
        <v>0.55993163030566262</v>
      </c>
      <c r="AT114" s="479">
        <f t="shared" si="15"/>
        <v>0.43033401265440924</v>
      </c>
      <c r="AU114" s="479">
        <f t="shared" si="16"/>
        <v>0.40108647570162925</v>
      </c>
      <c r="AV114" s="479">
        <f t="shared" si="17"/>
        <v>0.39344611683621805</v>
      </c>
      <c r="AW114" s="479">
        <f t="shared" si="18"/>
        <v>0.38226507884436772</v>
      </c>
      <c r="AX114" s="479">
        <f t="shared" si="19"/>
        <v>0.35748507048330508</v>
      </c>
      <c r="AY114" s="479">
        <f t="shared" si="20"/>
        <v>0.40782089502389868</v>
      </c>
      <c r="AZ114" s="479">
        <f t="shared" si="21"/>
        <v>0.36893405509214999</v>
      </c>
      <c r="BA114" s="479">
        <f t="shared" si="22"/>
        <v>0.42761760405616928</v>
      </c>
      <c r="BB114" s="479">
        <f t="shared" si="23"/>
        <v>0.42511034148829985</v>
      </c>
      <c r="BC114" s="479">
        <f t="shared" si="24"/>
        <v>0.53539849458566535</v>
      </c>
      <c r="BD114" s="479">
        <f t="shared" si="25"/>
        <v>0.57115491551968489</v>
      </c>
    </row>
    <row r="115" spans="1:56" ht="15">
      <c r="A115" s="63" t="str">
        <f>VLOOKUP(CONCATENATE($C115," - ",$B115),[2]ACHIEV!$B$12:$C$100,2,FALSE)</f>
        <v>LO20Fast</v>
      </c>
      <c r="B115" s="63" t="str">
        <f>'SC-New (2)'!$C$7</f>
        <v>New</v>
      </c>
      <c r="C115" s="63" t="str">
        <f>'SC-New (2)'!$C$8</f>
        <v>Lighting</v>
      </c>
      <c r="D115" s="63" t="s">
        <v>795</v>
      </c>
      <c r="E115" s="63" t="str">
        <f>'SC-New (2)'!$A$9</f>
        <v>Lighting</v>
      </c>
      <c r="F115" s="478">
        <f t="shared" si="1"/>
        <v>2.6990998985958756E-3</v>
      </c>
      <c r="G115" s="71">
        <f>'SC-New (2)'!A96</f>
        <v>10.331554133000125</v>
      </c>
      <c r="H115" s="71">
        <f>'SC-New (2)'!B96</f>
        <v>-97.483290128606981</v>
      </c>
      <c r="I115" s="1" t="str">
        <f>'SC-New (2)'!C96</f>
        <v>Manufactured</v>
      </c>
      <c r="J115" s="1" t="str">
        <f>'SC-New (2)'!D96</f>
        <v>2017 - LEDGlobe665 to 1439 lumensANY</v>
      </c>
      <c r="K115" s="37">
        <f>'SC-New (2)'!E96</f>
        <v>0</v>
      </c>
      <c r="L115" s="37">
        <f>'SC-New (2)'!F96</f>
        <v>6.6475448214343893E-4</v>
      </c>
      <c r="M115" s="37">
        <f>'SC-New (2)'!G96</f>
        <v>8.8496339561095806E-4</v>
      </c>
      <c r="N115" s="37">
        <f>'SC-New (2)'!H96</f>
        <v>1.0763106565373618E-3</v>
      </c>
      <c r="O115" s="37">
        <f>'SC-New (2)'!I96</f>
        <v>1.1782007526172985E-3</v>
      </c>
      <c r="P115" s="37">
        <f>'SC-New (2)'!J96</f>
        <v>1.2743589542646566E-3</v>
      </c>
      <c r="Q115" s="37">
        <f>'SC-New (2)'!K96</f>
        <v>1.3772142021656389E-3</v>
      </c>
      <c r="R115" s="37">
        <f>'SC-New (2)'!L96</f>
        <v>1.4692428192746528E-3</v>
      </c>
      <c r="S115" s="37">
        <f>'SC-New (2)'!M96</f>
        <v>1.5487954838152177E-3</v>
      </c>
      <c r="T115" s="37">
        <f>'SC-New (2)'!N96</f>
        <v>1.6097699935931338E-3</v>
      </c>
      <c r="U115" s="37">
        <f>'SC-New (2)'!O96</f>
        <v>1.6508718863987831E-3</v>
      </c>
      <c r="V115" s="37">
        <f>'SC-New (2)'!P96</f>
        <v>1.6878717741763622E-3</v>
      </c>
      <c r="W115" s="37">
        <f>'SC-New (2)'!Q96</f>
        <v>1.7204813996491975E-3</v>
      </c>
      <c r="X115" s="37">
        <f>'SC-New (2)'!R96</f>
        <v>1.7459434292690147E-3</v>
      </c>
      <c r="Y115" s="37">
        <f>'SC-New (2)'!S96</f>
        <v>1.7649236094864982E-3</v>
      </c>
      <c r="Z115" s="37">
        <f>'SC-New (2)'!T96</f>
        <v>1.7783398179277989E-3</v>
      </c>
      <c r="AA115" s="37">
        <f>'SC-New (2)'!U96</f>
        <v>1.7882479286712356E-3</v>
      </c>
      <c r="AB115" s="37">
        <f>'SC-New (2)'!V96</f>
        <v>1.7971041700361773E-3</v>
      </c>
      <c r="AC115" s="37">
        <f>'SC-New (2)'!W96</f>
        <v>1.8043960521884888E-3</v>
      </c>
      <c r="AD115" s="37">
        <f>'SC-New (2)'!X96</f>
        <v>1.809863457266267E-3</v>
      </c>
      <c r="AE115" s="37">
        <f>'SC-New (2)'!Y96</f>
        <v>2.8631654265092184E-2</v>
      </c>
      <c r="AF115" s="479">
        <f t="shared" si="2"/>
        <v>0.73921002945803449</v>
      </c>
      <c r="AG115" s="479">
        <f t="shared" si="3"/>
        <v>0.58793412073249252</v>
      </c>
      <c r="AH115" s="479">
        <f t="shared" si="4"/>
        <v>0.59400078642178622</v>
      </c>
      <c r="AI115" s="479">
        <f t="shared" si="5"/>
        <v>0.48445128633513773</v>
      </c>
      <c r="AJ115" s="479">
        <f t="shared" si="6"/>
        <v>0.44113664046505252</v>
      </c>
      <c r="AK115" s="479">
        <f t="shared" si="7"/>
        <v>0.4532774979066459</v>
      </c>
      <c r="AL115" s="479">
        <f t="shared" si="8"/>
        <v>0.37408556799080311</v>
      </c>
      <c r="AM115" s="479">
        <f t="shared" si="9"/>
        <v>0.42670124568152651</v>
      </c>
      <c r="AN115" s="479">
        <f t="shared" si="10"/>
        <v>0.46986252455702143</v>
      </c>
      <c r="AO115" s="479">
        <f t="shared" si="11"/>
        <v>0.68572359048721321</v>
      </c>
      <c r="AP115" s="479">
        <f t="shared" si="12"/>
        <v>0.69221501746668568</v>
      </c>
      <c r="AQ115" s="479">
        <f t="shared" si="13"/>
        <v>0.75991508966784882</v>
      </c>
      <c r="AR115" s="479"/>
      <c r="AS115" s="479">
        <f t="shared" si="14"/>
        <v>0.38563300948377344</v>
      </c>
      <c r="AT115" s="479">
        <f t="shared" si="15"/>
        <v>0.29637725643853452</v>
      </c>
      <c r="AU115" s="479">
        <f t="shared" si="16"/>
        <v>0.27623405486777952</v>
      </c>
      <c r="AV115" s="479">
        <f t="shared" si="17"/>
        <v>0.27097202925012304</v>
      </c>
      <c r="AW115" s="479">
        <f t="shared" si="18"/>
        <v>0.26327148672567968</v>
      </c>
      <c r="AX115" s="479">
        <f t="shared" si="19"/>
        <v>0.24620513668917057</v>
      </c>
      <c r="AY115" s="479">
        <f t="shared" si="20"/>
        <v>0.28087214682367551</v>
      </c>
      <c r="AZ115" s="479">
        <f t="shared" si="21"/>
        <v>0.25409021792280639</v>
      </c>
      <c r="BA115" s="479">
        <f t="shared" si="22"/>
        <v>0.29450642656211723</v>
      </c>
      <c r="BB115" s="479">
        <f t="shared" si="23"/>
        <v>0.29277963858072437</v>
      </c>
      <c r="BC115" s="479">
        <f t="shared" si="24"/>
        <v>0.36873668420453914</v>
      </c>
      <c r="BD115" s="479">
        <f t="shared" si="25"/>
        <v>0.39336264828095202</v>
      </c>
    </row>
    <row r="116" spans="1:56" ht="15">
      <c r="A116" s="63" t="str">
        <f>VLOOKUP(CONCATENATE($C116," - ",$B116),[2]ACHIEV!$B$12:$C$100,2,FALSE)</f>
        <v>LO20Fast</v>
      </c>
      <c r="B116" s="63" t="str">
        <f>'SC-New (2)'!$C$7</f>
        <v>New</v>
      </c>
      <c r="C116" s="63" t="str">
        <f>'SC-New (2)'!$C$8</f>
        <v>Lighting</v>
      </c>
      <c r="D116" s="63" t="s">
        <v>795</v>
      </c>
      <c r="E116" s="63" t="str">
        <f>'SC-New (2)'!$A$9</f>
        <v>Lighting</v>
      </c>
      <c r="F116" s="478">
        <f t="shared" si="1"/>
        <v>2.920231287037374E-3</v>
      </c>
      <c r="G116" s="71">
        <f>'SC-New (2)'!A97</f>
        <v>11.177995908414712</v>
      </c>
      <c r="H116" s="71">
        <f>'SC-New (2)'!B97</f>
        <v>-118.66739310804593</v>
      </c>
      <c r="I116" s="1" t="str">
        <f>'SC-New (2)'!C97</f>
        <v>Manufactured</v>
      </c>
      <c r="J116" s="1" t="str">
        <f>'SC-New (2)'!D97</f>
        <v>2017 - LEDGlobe1440 to 2600 lumensANY</v>
      </c>
      <c r="K116" s="37">
        <f>'SC-New (2)'!E97</f>
        <v>0</v>
      </c>
      <c r="L116" s="37">
        <f>'SC-New (2)'!F97</f>
        <v>5.4193540133569335E-5</v>
      </c>
      <c r="M116" s="37">
        <f>'SC-New (2)'!G97</f>
        <v>7.2145883307385834E-5</v>
      </c>
      <c r="N116" s="37">
        <f>'SC-New (2)'!H97</f>
        <v>8.7745304963073235E-5</v>
      </c>
      <c r="O116" s="37">
        <f>'SC-New (2)'!I97</f>
        <v>9.6051807829088988E-5</v>
      </c>
      <c r="P116" s="37">
        <f>'SC-New (2)'!J97</f>
        <v>1.0389102290793295E-4</v>
      </c>
      <c r="Q116" s="37">
        <f>'SC-New (2)'!K97</f>
        <v>1.1227620894999916E-4</v>
      </c>
      <c r="R116" s="37">
        <f>'SC-New (2)'!L97</f>
        <v>1.1977876318423757E-4</v>
      </c>
      <c r="S116" s="37">
        <f>'SC-New (2)'!M97</f>
        <v>1.2626422606462355E-4</v>
      </c>
      <c r="T116" s="37">
        <f>'SC-New (2)'!N97</f>
        <v>1.3123512078069886E-4</v>
      </c>
      <c r="U116" s="37">
        <f>'SC-New (2)'!O97</f>
        <v>1.3458591740887112E-4</v>
      </c>
      <c r="V116" s="37">
        <f>'SC-New (2)'!P97</f>
        <v>1.3760230158840509E-4</v>
      </c>
      <c r="W116" s="37">
        <f>'SC-New (2)'!Q97</f>
        <v>1.4026077339156546E-4</v>
      </c>
      <c r="X116" s="37">
        <f>'SC-New (2)'!R97</f>
        <v>1.4233654356107884E-4</v>
      </c>
      <c r="Y116" s="37">
        <f>'SC-New (2)'!S97</f>
        <v>1.4388388650646514E-4</v>
      </c>
      <c r="Z116" s="37">
        <f>'SC-New (2)'!T97</f>
        <v>1.4497763141550223E-4</v>
      </c>
      <c r="AA116" s="37">
        <f>'SC-New (2)'!U97</f>
        <v>1.4578538166261739E-4</v>
      </c>
      <c r="AB116" s="37">
        <f>'SC-New (2)'!V97</f>
        <v>1.4650737915904044E-4</v>
      </c>
      <c r="AC116" s="37">
        <f>'SC-New (2)'!W97</f>
        <v>1.4710184360972956E-4</v>
      </c>
      <c r="AD116" s="37">
        <f>'SC-New (2)'!X97</f>
        <v>1.4754756912865148E-4</v>
      </c>
      <c r="AE116" s="37">
        <f>'SC-New (2)'!Y97</f>
        <v>2.3341711055525362E-3</v>
      </c>
      <c r="AF116" s="479">
        <f t="shared" si="2"/>
        <v>0.79977190056512937</v>
      </c>
      <c r="AG116" s="479">
        <f t="shared" si="3"/>
        <v>0.63610228542226255</v>
      </c>
      <c r="AH116" s="479">
        <f t="shared" si="4"/>
        <v>0.64266597984612883</v>
      </c>
      <c r="AI116" s="479">
        <f t="shared" si="5"/>
        <v>0.52414132731335006</v>
      </c>
      <c r="AJ116" s="479">
        <f t="shared" si="6"/>
        <v>0.47727800664760928</v>
      </c>
      <c r="AK116" s="479">
        <f t="shared" si="7"/>
        <v>0.49041353815233252</v>
      </c>
      <c r="AL116" s="479">
        <f t="shared" si="8"/>
        <v>0.40473358553500982</v>
      </c>
      <c r="AM116" s="479">
        <f t="shared" si="9"/>
        <v>0.46165995134349902</v>
      </c>
      <c r="AN116" s="479">
        <f t="shared" si="10"/>
        <v>0.50835733999011201</v>
      </c>
      <c r="AO116" s="479">
        <f t="shared" si="11"/>
        <v>0.74190343389738511</v>
      </c>
      <c r="AP116" s="479">
        <f t="shared" si="12"/>
        <v>0.74892668938075402</v>
      </c>
      <c r="AQ116" s="479">
        <f t="shared" si="13"/>
        <v>0.82217328135735079</v>
      </c>
      <c r="AR116" s="479"/>
      <c r="AS116" s="479">
        <f t="shared" si="14"/>
        <v>0.41722708381217544</v>
      </c>
      <c r="AT116" s="479">
        <f t="shared" si="15"/>
        <v>0.32065880090927812</v>
      </c>
      <c r="AU116" s="479">
        <f t="shared" si="16"/>
        <v>0.29886531061326499</v>
      </c>
      <c r="AV116" s="479">
        <f t="shared" si="17"/>
        <v>0.29317217867329254</v>
      </c>
      <c r="AW116" s="479">
        <f t="shared" si="18"/>
        <v>0.28484074743625698</v>
      </c>
      <c r="AX116" s="479">
        <f t="shared" si="19"/>
        <v>0.26637618843343092</v>
      </c>
      <c r="AY116" s="479">
        <f t="shared" si="20"/>
        <v>0.30388339136263259</v>
      </c>
      <c r="AZ116" s="479">
        <f t="shared" si="21"/>
        <v>0.27490727723502484</v>
      </c>
      <c r="BA116" s="479">
        <f t="shared" si="22"/>
        <v>0.3186346980071661</v>
      </c>
      <c r="BB116" s="479">
        <f t="shared" si="23"/>
        <v>0.31676643803947591</v>
      </c>
      <c r="BC116" s="479">
        <f t="shared" si="24"/>
        <v>0.3989464793254543</v>
      </c>
      <c r="BD116" s="479">
        <f t="shared" si="25"/>
        <v>0.42558999511633339</v>
      </c>
    </row>
    <row r="117" spans="1:56" ht="15">
      <c r="A117" s="63" t="str">
        <f>VLOOKUP(CONCATENATE($C117," - ",$B117),[2]ACHIEV!$B$12:$C$100,2,FALSE)</f>
        <v>LO20Fast</v>
      </c>
      <c r="B117" s="63" t="str">
        <f>'SC-New (2)'!$C$7</f>
        <v>New</v>
      </c>
      <c r="C117" s="63" t="str">
        <f>'SC-New (2)'!$C$8</f>
        <v>Lighting</v>
      </c>
      <c r="D117" s="63" t="s">
        <v>795</v>
      </c>
      <c r="E117" s="63" t="str">
        <f>'SC-New (2)'!$A$9</f>
        <v>Lighting</v>
      </c>
      <c r="F117" s="478">
        <f t="shared" si="1"/>
        <v>5.5704529633071051E-3</v>
      </c>
      <c r="G117" s="71">
        <f>'SC-New (2)'!A98</f>
        <v>21.322455076849025</v>
      </c>
      <c r="H117" s="71">
        <f>'SC-New (2)'!B98</f>
        <v>-49.256412709384371</v>
      </c>
      <c r="I117" s="1" t="str">
        <f>'SC-New (2)'!C98</f>
        <v>Manufactured</v>
      </c>
      <c r="J117" s="1" t="str">
        <f>'SC-New (2)'!D98</f>
        <v>2017 - LEDReflectors and Outdoor250 to 664 lumensANY</v>
      </c>
      <c r="K117" s="37">
        <f>'SC-New (2)'!E98</f>
        <v>0</v>
      </c>
      <c r="L117" s="37">
        <f>'SC-New (2)'!F98</f>
        <v>7.1564664201247748E-4</v>
      </c>
      <c r="M117" s="37">
        <f>'SC-New (2)'!G98</f>
        <v>9.5271427178776863E-4</v>
      </c>
      <c r="N117" s="37">
        <f>'SC-New (2)'!H98</f>
        <v>1.1587106635664677E-3</v>
      </c>
      <c r="O117" s="37">
        <f>'SC-New (2)'!I98</f>
        <v>1.2684012441832699E-3</v>
      </c>
      <c r="P117" s="37">
        <f>'SC-New (2)'!J98</f>
        <v>1.3719211089745565E-3</v>
      </c>
      <c r="Q117" s="37">
        <f>'SC-New (2)'!K98</f>
        <v>1.482650731340331E-3</v>
      </c>
      <c r="R117" s="37">
        <f>'SC-New (2)'!L98</f>
        <v>1.5817248595669786E-3</v>
      </c>
      <c r="S117" s="37">
        <f>'SC-New (2)'!M98</f>
        <v>1.6673679033837416E-3</v>
      </c>
      <c r="T117" s="37">
        <f>'SC-New (2)'!N98</f>
        <v>1.733010489245249E-3</v>
      </c>
      <c r="U117" s="37">
        <f>'SC-New (2)'!O98</f>
        <v>1.7772590537255904E-3</v>
      </c>
      <c r="V117" s="37">
        <f>'SC-New (2)'!P98</f>
        <v>1.8170915725789938E-3</v>
      </c>
      <c r="W117" s="37">
        <f>'SC-New (2)'!Q98</f>
        <v>1.8521977201775351E-3</v>
      </c>
      <c r="X117" s="37">
        <f>'SC-New (2)'!R98</f>
        <v>1.879609067503076E-3</v>
      </c>
      <c r="Y117" s="37">
        <f>'SC-New (2)'!S98</f>
        <v>1.9000423291091299E-3</v>
      </c>
      <c r="Z117" s="37">
        <f>'SC-New (2)'!T98</f>
        <v>1.9144856533400518E-3</v>
      </c>
      <c r="AA117" s="37">
        <f>'SC-New (2)'!U98</f>
        <v>1.9251523075299794E-3</v>
      </c>
      <c r="AB117" s="37">
        <f>'SC-New (2)'!V98</f>
        <v>1.9346865635055635E-3</v>
      </c>
      <c r="AC117" s="37">
        <f>'SC-New (2)'!W98</f>
        <v>1.9425366963236621E-3</v>
      </c>
      <c r="AD117" s="37">
        <f>'SC-New (2)'!X98</f>
        <v>1.9484226740636207E-3</v>
      </c>
      <c r="AE117" s="37">
        <f>'SC-New (2)'!Y98</f>
        <v>3.0823631551918043E-2</v>
      </c>
      <c r="AF117" s="479">
        <f t="shared" si="2"/>
        <v>1.5255955147280642</v>
      </c>
      <c r="AG117" s="479">
        <f t="shared" si="3"/>
        <v>1.2133894587478662</v>
      </c>
      <c r="AH117" s="479">
        <f t="shared" si="4"/>
        <v>1.2259099571124876</v>
      </c>
      <c r="AI117" s="479">
        <f t="shared" si="5"/>
        <v>0.99981964541118984</v>
      </c>
      <c r="AJ117" s="479">
        <f t="shared" si="6"/>
        <v>0.91042606736425147</v>
      </c>
      <c r="AK117" s="479">
        <f t="shared" si="7"/>
        <v>0.93548259652339649</v>
      </c>
      <c r="AL117" s="479">
        <f t="shared" si="8"/>
        <v>0.77204480717028579</v>
      </c>
      <c r="AM117" s="479">
        <f t="shared" si="9"/>
        <v>0.88063402902945986</v>
      </c>
      <c r="AN117" s="479">
        <f t="shared" si="10"/>
        <v>0.96971108539821449</v>
      </c>
      <c r="AO117" s="479">
        <f t="shared" si="11"/>
        <v>1.4152091994172629</v>
      </c>
      <c r="AP117" s="479">
        <f t="shared" si="12"/>
        <v>1.4286063280943841</v>
      </c>
      <c r="AQ117" s="479">
        <f t="shared" si="13"/>
        <v>1.5683270060897629</v>
      </c>
      <c r="AR117" s="479"/>
      <c r="AS117" s="479">
        <f t="shared" si="14"/>
        <v>0.7958766333715297</v>
      </c>
      <c r="AT117" s="479">
        <f t="shared" si="15"/>
        <v>0.61166893720522297</v>
      </c>
      <c r="AU117" s="479">
        <f t="shared" si="16"/>
        <v>0.57009702023442965</v>
      </c>
      <c r="AV117" s="479">
        <f t="shared" si="17"/>
        <v>0.55923715313202227</v>
      </c>
      <c r="AW117" s="479">
        <f t="shared" si="18"/>
        <v>0.5433446291292342</v>
      </c>
      <c r="AX117" s="479">
        <f t="shared" si="19"/>
        <v>0.50812277602807099</v>
      </c>
      <c r="AY117" s="479">
        <f t="shared" si="20"/>
        <v>0.57966920135053146</v>
      </c>
      <c r="AZ117" s="479">
        <f t="shared" si="21"/>
        <v>0.52439615447792887</v>
      </c>
      <c r="BA117" s="479">
        <f t="shared" si="22"/>
        <v>0.60780788343898273</v>
      </c>
      <c r="BB117" s="479">
        <f t="shared" si="23"/>
        <v>0.60424410603565037</v>
      </c>
      <c r="BC117" s="479">
        <f t="shared" si="24"/>
        <v>0.7610056805514156</v>
      </c>
      <c r="BD117" s="479">
        <f t="shared" si="25"/>
        <v>0.81182920680737636</v>
      </c>
    </row>
    <row r="118" spans="1:56" ht="15">
      <c r="A118" s="63" t="str">
        <f>VLOOKUP(CONCATENATE($C118," - ",$B118),[2]ACHIEV!$B$12:$C$100,2,FALSE)</f>
        <v>LO20Fast</v>
      </c>
      <c r="B118" s="63" t="str">
        <f>'SC-New (2)'!$C$7</f>
        <v>New</v>
      </c>
      <c r="C118" s="63" t="str">
        <f>'SC-New (2)'!$C$8</f>
        <v>Lighting</v>
      </c>
      <c r="D118" s="63" t="s">
        <v>795</v>
      </c>
      <c r="E118" s="63" t="str">
        <f>'SC-New (2)'!$A$9</f>
        <v>Lighting</v>
      </c>
      <c r="F118" s="478">
        <f t="shared" si="1"/>
        <v>4.2475887264408763E-3</v>
      </c>
      <c r="G118" s="71">
        <f>'SC-New (2)'!A99</f>
        <v>16.258824982644914</v>
      </c>
      <c r="H118" s="71">
        <f>'SC-New (2)'!B99</f>
        <v>-57.558538168362972</v>
      </c>
      <c r="I118" s="1" t="str">
        <f>'SC-New (2)'!C99</f>
        <v>Manufactured</v>
      </c>
      <c r="J118" s="1" t="str">
        <f>'SC-New (2)'!D99</f>
        <v>2017 - LEDReflectors and Outdoor665 to 1439 lumensANY</v>
      </c>
      <c r="K118" s="37">
        <f>'SC-New (2)'!E99</f>
        <v>0</v>
      </c>
      <c r="L118" s="37">
        <f>'SC-New (2)'!F99</f>
        <v>5.51409167334587E-3</v>
      </c>
      <c r="M118" s="37">
        <f>'SC-New (2)'!G99</f>
        <v>7.3407091219902867E-3</v>
      </c>
      <c r="N118" s="37">
        <f>'SC-New (2)'!H99</f>
        <v>8.9279211928133817E-3</v>
      </c>
      <c r="O118" s="37">
        <f>'SC-New (2)'!I99</f>
        <v>9.7730923732757043E-3</v>
      </c>
      <c r="P118" s="37">
        <f>'SC-New (2)'!J99</f>
        <v>1.0570717892577131E-2</v>
      </c>
      <c r="Q118" s="37">
        <f>'SC-New (2)'!K99</f>
        <v>1.1423894939510305E-2</v>
      </c>
      <c r="R118" s="37">
        <f>'SC-New (2)'!L99</f>
        <v>1.2187265845523772E-2</v>
      </c>
      <c r="S118" s="37">
        <f>'SC-New (2)'!M99</f>
        <v>1.2847149602487973E-2</v>
      </c>
      <c r="T118" s="37">
        <f>'SC-New (2)'!N99</f>
        <v>1.3352928872405261E-2</v>
      </c>
      <c r="U118" s="37">
        <f>'SC-New (2)'!O99</f>
        <v>1.369386618229388E-2</v>
      </c>
      <c r="V118" s="37">
        <f>'SC-New (2)'!P99</f>
        <v>1.4000777648992435E-2</v>
      </c>
      <c r="W118" s="37">
        <f>'SC-New (2)'!Q99</f>
        <v>1.4271272198665723E-2</v>
      </c>
      <c r="X118" s="37">
        <f>'SC-New (2)'!R99</f>
        <v>1.4482477943470046E-2</v>
      </c>
      <c r="Y118" s="37">
        <f>'SC-New (2)'!S99</f>
        <v>1.4639917203388036E-2</v>
      </c>
      <c r="Z118" s="37">
        <f>'SC-New (2)'!T99</f>
        <v>1.4751203708768961E-2</v>
      </c>
      <c r="AA118" s="37">
        <f>'SC-New (2)'!U99</f>
        <v>1.4833390790490937E-2</v>
      </c>
      <c r="AB118" s="37">
        <f>'SC-New (2)'!V99</f>
        <v>1.4906852689702365E-2</v>
      </c>
      <c r="AC118" s="37">
        <f>'SC-New (2)'!W99</f>
        <v>1.4967338339275471E-2</v>
      </c>
      <c r="AD118" s="37">
        <f>'SC-New (2)'!X99</f>
        <v>1.5012690079841367E-2</v>
      </c>
      <c r="AE118" s="37">
        <f>'SC-New (2)'!Y99</f>
        <v>0.23749755829881891</v>
      </c>
      <c r="AF118" s="479">
        <f t="shared" si="2"/>
        <v>1.1632989906121636</v>
      </c>
      <c r="AG118" s="479">
        <f t="shared" si="3"/>
        <v>0.92523524024153736</v>
      </c>
      <c r="AH118" s="479">
        <f t="shared" si="4"/>
        <v>0.93478238623725807</v>
      </c>
      <c r="AI118" s="479">
        <f t="shared" si="5"/>
        <v>0.76238372037188906</v>
      </c>
      <c r="AJ118" s="479">
        <f t="shared" si="6"/>
        <v>0.69421921798230934</v>
      </c>
      <c r="AK118" s="479">
        <f t="shared" si="7"/>
        <v>0.71332535378153095</v>
      </c>
      <c r="AL118" s="479">
        <f t="shared" si="8"/>
        <v>0.58870056723301578</v>
      </c>
      <c r="AM118" s="479">
        <f t="shared" si="9"/>
        <v>0.67150215583276607</v>
      </c>
      <c r="AN118" s="479">
        <f t="shared" si="10"/>
        <v>0.73942530371836135</v>
      </c>
      <c r="AO118" s="479">
        <f t="shared" si="11"/>
        <v>1.0791270800770567</v>
      </c>
      <c r="AP118" s="479">
        <f t="shared" si="12"/>
        <v>1.0893426753096991</v>
      </c>
      <c r="AQ118" s="479">
        <f t="shared" si="13"/>
        <v>1.1958826605879354</v>
      </c>
      <c r="AR118" s="479"/>
      <c r="AS118" s="479">
        <f t="shared" si="14"/>
        <v>0.60687284100854089</v>
      </c>
      <c r="AT118" s="479">
        <f t="shared" si="15"/>
        <v>0.46641055926707059</v>
      </c>
      <c r="AU118" s="479">
        <f t="shared" si="16"/>
        <v>0.4347110893990323</v>
      </c>
      <c r="AV118" s="479">
        <f t="shared" si="17"/>
        <v>0.42643021002015935</v>
      </c>
      <c r="AW118" s="479">
        <f t="shared" si="18"/>
        <v>0.41431182283807694</v>
      </c>
      <c r="AX118" s="479">
        <f t="shared" si="19"/>
        <v>0.38745441157505511</v>
      </c>
      <c r="AY118" s="479">
        <f t="shared" si="20"/>
        <v>0.44201008085700272</v>
      </c>
      <c r="AZ118" s="479">
        <f t="shared" si="21"/>
        <v>0.39986320836412004</v>
      </c>
      <c r="BA118" s="479">
        <f t="shared" si="22"/>
        <v>0.46346642374385677</v>
      </c>
      <c r="BB118" s="479">
        <f t="shared" si="23"/>
        <v>0.46074896776287089</v>
      </c>
      <c r="BC118" s="479">
        <f t="shared" si="24"/>
        <v>0.58028299866454724</v>
      </c>
      <c r="BD118" s="479">
        <f t="shared" si="25"/>
        <v>0.61903701715905535</v>
      </c>
    </row>
    <row r="119" spans="1:56" ht="15">
      <c r="A119" s="63" t="str">
        <f>VLOOKUP(CONCATENATE($C119," - ",$B119),[2]ACHIEV!$B$12:$C$100,2,FALSE)</f>
        <v>LO20Fast</v>
      </c>
      <c r="B119" s="63" t="str">
        <f>'SC-New (2)'!$C$7</f>
        <v>New</v>
      </c>
      <c r="C119" s="63" t="str">
        <f>'SC-New (2)'!$C$8</f>
        <v>Lighting</v>
      </c>
      <c r="D119" s="63" t="s">
        <v>795</v>
      </c>
      <c r="E119" s="63" t="str">
        <f>'SC-New (2)'!$A$9</f>
        <v>Lighting</v>
      </c>
      <c r="F119" s="478">
        <f t="shared" si="1"/>
        <v>2.2739503245659785E-2</v>
      </c>
      <c r="G119" s="71">
        <f>'SC-New (2)'!A100</f>
        <v>87.041761167225999</v>
      </c>
      <c r="H119" s="71">
        <f>'SC-New (2)'!B100</f>
        <v>-31.342168529326845</v>
      </c>
      <c r="I119" s="1" t="str">
        <f>'SC-New (2)'!C100</f>
        <v>Manufactured</v>
      </c>
      <c r="J119" s="1" t="str">
        <f>'SC-New (2)'!D100</f>
        <v>2017 - LEDReflectors and Outdoor1440 to 2600 lumensANY</v>
      </c>
      <c r="K119" s="37">
        <f>'SC-New (2)'!E100</f>
        <v>0</v>
      </c>
      <c r="L119" s="37">
        <f>'SC-New (2)'!F100</f>
        <v>2.4258530282906627E-3</v>
      </c>
      <c r="M119" s="37">
        <f>'SC-New (2)'!G100</f>
        <v>3.2294496552277498E-3</v>
      </c>
      <c r="N119" s="37">
        <f>'SC-New (2)'!H100</f>
        <v>3.9277229949978469E-3</v>
      </c>
      <c r="O119" s="37">
        <f>'SC-New (2)'!I100</f>
        <v>4.2995450808472916E-3</v>
      </c>
      <c r="P119" s="37">
        <f>'SC-New (2)'!J100</f>
        <v>4.6504500704745667E-3</v>
      </c>
      <c r="Q119" s="37">
        <f>'SC-New (2)'!K100</f>
        <v>5.0257942333174523E-3</v>
      </c>
      <c r="R119" s="37">
        <f>'SC-New (2)'!L100</f>
        <v>5.3616293506429666E-3</v>
      </c>
      <c r="S119" s="37">
        <f>'SC-New (2)'!M100</f>
        <v>5.6519366405796429E-3</v>
      </c>
      <c r="T119" s="37">
        <f>'SC-New (2)'!N100</f>
        <v>5.8744476625683288E-3</v>
      </c>
      <c r="U119" s="37">
        <f>'SC-New (2)'!O100</f>
        <v>6.0244386048024703E-3</v>
      </c>
      <c r="V119" s="37">
        <f>'SC-New (2)'!P100</f>
        <v>6.1594603191687178E-3</v>
      </c>
      <c r="W119" s="37">
        <f>'SC-New (2)'!Q100</f>
        <v>6.2784608837826361E-3</v>
      </c>
      <c r="X119" s="37">
        <f>'SC-New (2)'!R100</f>
        <v>6.3713781085909553E-3</v>
      </c>
      <c r="Y119" s="37">
        <f>'SC-New (2)'!S100</f>
        <v>6.4406414665597852E-3</v>
      </c>
      <c r="Z119" s="37">
        <f>'SC-New (2)'!T100</f>
        <v>6.489600519487969E-3</v>
      </c>
      <c r="AA119" s="37">
        <f>'SC-New (2)'!U100</f>
        <v>6.5257576588488115E-3</v>
      </c>
      <c r="AB119" s="37">
        <f>'SC-New (2)'!V100</f>
        <v>6.55807626746525E-3</v>
      </c>
      <c r="AC119" s="37">
        <f>'SC-New (2)'!W100</f>
        <v>6.5846861435567743E-3</v>
      </c>
      <c r="AD119" s="37">
        <f>'SC-New (2)'!X100</f>
        <v>6.6046380529023955E-3</v>
      </c>
      <c r="AE119" s="37">
        <f>'SC-New (2)'!Y100</f>
        <v>0.10448396674211229</v>
      </c>
      <c r="AF119" s="479">
        <f t="shared" si="2"/>
        <v>6.2277312791681956</v>
      </c>
      <c r="AG119" s="479">
        <f t="shared" si="3"/>
        <v>4.9532549179026795</v>
      </c>
      <c r="AH119" s="479">
        <f t="shared" si="4"/>
        <v>5.0043656471512685</v>
      </c>
      <c r="AI119" s="479">
        <f t="shared" si="5"/>
        <v>4.0814278877609365</v>
      </c>
      <c r="AJ119" s="479">
        <f t="shared" si="6"/>
        <v>3.7165086304708308</v>
      </c>
      <c r="AK119" s="479">
        <f t="shared" si="7"/>
        <v>3.8187934948961253</v>
      </c>
      <c r="AL119" s="479">
        <f t="shared" si="8"/>
        <v>3.1516136145633622</v>
      </c>
      <c r="AM119" s="479">
        <f t="shared" si="9"/>
        <v>3.594892640376083</v>
      </c>
      <c r="AN119" s="479">
        <f t="shared" si="10"/>
        <v>3.9585198042267882</v>
      </c>
      <c r="AO119" s="479">
        <f t="shared" si="11"/>
        <v>5.777116222938341</v>
      </c>
      <c r="AP119" s="479">
        <f t="shared" si="12"/>
        <v>5.831805500999323</v>
      </c>
      <c r="AQ119" s="479">
        <f t="shared" si="13"/>
        <v>6.4021682402038298</v>
      </c>
      <c r="AR119" s="479"/>
      <c r="AS119" s="479">
        <f t="shared" si="14"/>
        <v>3.2488990405103846</v>
      </c>
      <c r="AT119" s="479">
        <f t="shared" si="15"/>
        <v>2.4969329917094965</v>
      </c>
      <c r="AU119" s="479">
        <f t="shared" si="16"/>
        <v>2.3272296036524454</v>
      </c>
      <c r="AV119" s="479">
        <f t="shared" si="17"/>
        <v>2.2828978437669774</v>
      </c>
      <c r="AW119" s="479">
        <f t="shared" si="18"/>
        <v>2.2180219524303819</v>
      </c>
      <c r="AX119" s="479">
        <f t="shared" si="19"/>
        <v>2.0742405672920801</v>
      </c>
      <c r="AY119" s="479">
        <f t="shared" si="20"/>
        <v>2.3663048180006183</v>
      </c>
      <c r="AZ119" s="479">
        <f t="shared" si="21"/>
        <v>2.1406711689892717</v>
      </c>
      <c r="BA119" s="479">
        <f t="shared" si="22"/>
        <v>2.4811715365410532</v>
      </c>
      <c r="BB119" s="479">
        <f t="shared" si="23"/>
        <v>2.4666236122764214</v>
      </c>
      <c r="BC119" s="479">
        <f t="shared" si="24"/>
        <v>3.1065500879107617</v>
      </c>
      <c r="BD119" s="479">
        <f t="shared" si="25"/>
        <v>3.3140200634883259</v>
      </c>
    </row>
    <row r="120" spans="1:56" ht="15">
      <c r="A120" s="63" t="str">
        <f>VLOOKUP(CONCATENATE($C120," - ",$B120),[2]ACHIEV!$B$12:$C$100,2,FALSE)</f>
        <v>LO20Fast</v>
      </c>
      <c r="B120" s="63" t="str">
        <f>'SC-New (2)'!$C$7</f>
        <v>New</v>
      </c>
      <c r="C120" s="63" t="str">
        <f>'SC-New (2)'!$C$8</f>
        <v>Lighting</v>
      </c>
      <c r="D120" s="63" t="s">
        <v>795</v>
      </c>
      <c r="E120" s="63" t="str">
        <f>'SC-New (2)'!$A$9</f>
        <v>Lighting</v>
      </c>
      <c r="F120" s="478">
        <f t="shared" si="1"/>
        <v>1.3238383828380332E-2</v>
      </c>
      <c r="G120" s="71">
        <f>'SC-New (2)'!A101</f>
        <v>50.673589083344737</v>
      </c>
      <c r="H120" s="71">
        <f>'SC-New (2)'!B101</f>
        <v>-6.4266835469852737</v>
      </c>
      <c r="I120" s="1" t="str">
        <f>'SC-New (2)'!C101</f>
        <v>Manufactured</v>
      </c>
      <c r="J120" s="1" t="str">
        <f>'SC-New (2)'!D101</f>
        <v>2017 - LEDThree-Way250 to 664 lumensANY</v>
      </c>
      <c r="K120" s="37">
        <f>'SC-New (2)'!E101</f>
        <v>0</v>
      </c>
      <c r="L120" s="37">
        <f>'SC-New (2)'!F101</f>
        <v>2.2160470135262797E-5</v>
      </c>
      <c r="M120" s="37">
        <f>'SC-New (2)'!G101</f>
        <v>2.9501425603032988E-5</v>
      </c>
      <c r="N120" s="37">
        <f>'SC-New (2)'!H101</f>
        <v>3.5880239699255868E-5</v>
      </c>
      <c r="O120" s="37">
        <f>'SC-New (2)'!I101</f>
        <v>3.9276880853111651E-5</v>
      </c>
      <c r="P120" s="37">
        <f>'SC-New (2)'!J101</f>
        <v>4.248244172273668E-5</v>
      </c>
      <c r="Q120" s="37">
        <f>'SC-New (2)'!K101</f>
        <v>4.5911257489447002E-5</v>
      </c>
      <c r="R120" s="37">
        <f>'SC-New (2)'!L101</f>
        <v>4.8979153195028386E-5</v>
      </c>
      <c r="S120" s="37">
        <f>'SC-New (2)'!M101</f>
        <v>5.1631146516002145E-5</v>
      </c>
      <c r="T120" s="37">
        <f>'SC-New (2)'!N101</f>
        <v>5.3663812468985113E-5</v>
      </c>
      <c r="U120" s="37">
        <f>'SC-New (2)'!O101</f>
        <v>5.5033998443640679E-5</v>
      </c>
      <c r="V120" s="37">
        <f>'SC-New (2)'!P101</f>
        <v>5.6267438653715404E-5</v>
      </c>
      <c r="W120" s="37">
        <f>'SC-New (2)'!Q101</f>
        <v>5.735452366152577E-5</v>
      </c>
      <c r="X120" s="37">
        <f>'SC-New (2)'!R101</f>
        <v>5.8203334105275996E-5</v>
      </c>
      <c r="Y120" s="37">
        <f>'SC-New (2)'!S101</f>
        <v>5.8836063523685082E-5</v>
      </c>
      <c r="Z120" s="37">
        <f>'SC-New (2)'!T101</f>
        <v>5.9283310581776749E-5</v>
      </c>
      <c r="AA120" s="37">
        <f>'SC-New (2)'!U101</f>
        <v>5.961361056188193E-5</v>
      </c>
      <c r="AB120" s="37">
        <f>'SC-New (2)'!V101</f>
        <v>5.9908845084627307E-5</v>
      </c>
      <c r="AC120" s="37">
        <f>'SC-New (2)'!W101</f>
        <v>6.0151929623365754E-5</v>
      </c>
      <c r="AD120" s="37">
        <f>'SC-New (2)'!X101</f>
        <v>6.03341928050337E-5</v>
      </c>
      <c r="AE120" s="37">
        <f>'SC-New (2)'!Y101</f>
        <v>9.544740747273908E-4</v>
      </c>
      <c r="AF120" s="479">
        <f t="shared" si="2"/>
        <v>3.6256331619458151</v>
      </c>
      <c r="AG120" s="479">
        <f t="shared" si="3"/>
        <v>2.8836641282181006</v>
      </c>
      <c r="AH120" s="479">
        <f t="shared" si="4"/>
        <v>2.9134195474210416</v>
      </c>
      <c r="AI120" s="479">
        <f t="shared" si="5"/>
        <v>2.3761077083488051</v>
      </c>
      <c r="AJ120" s="479">
        <f t="shared" si="6"/>
        <v>2.1636606226678121</v>
      </c>
      <c r="AK120" s="479">
        <f t="shared" si="7"/>
        <v>2.2232083744576121</v>
      </c>
      <c r="AL120" s="479">
        <f t="shared" si="8"/>
        <v>1.83479253076042</v>
      </c>
      <c r="AM120" s="479">
        <f t="shared" si="9"/>
        <v>2.0928587612924954</v>
      </c>
      <c r="AN120" s="479">
        <f t="shared" si="10"/>
        <v>2.3045536217068179</v>
      </c>
      <c r="AO120" s="479">
        <f t="shared" si="11"/>
        <v>3.3632960735418895</v>
      </c>
      <c r="AP120" s="479">
        <f t="shared" si="12"/>
        <v>3.3951348365283454</v>
      </c>
      <c r="AQ120" s="479">
        <f t="shared" si="13"/>
        <v>3.7271861034986045</v>
      </c>
      <c r="AR120" s="479"/>
      <c r="AS120" s="479">
        <f t="shared" si="14"/>
        <v>1.8914297314802717</v>
      </c>
      <c r="AT120" s="479">
        <f t="shared" si="15"/>
        <v>1.4536534497210483</v>
      </c>
      <c r="AU120" s="479">
        <f t="shared" si="16"/>
        <v>1.3548562788327785</v>
      </c>
      <c r="AV120" s="479">
        <f t="shared" si="17"/>
        <v>1.3290474101512062</v>
      </c>
      <c r="AW120" s="479">
        <f t="shared" si="18"/>
        <v>1.291278249521628</v>
      </c>
      <c r="AX120" s="479">
        <f t="shared" si="19"/>
        <v>1.2075722361019934</v>
      </c>
      <c r="AY120" s="479">
        <f t="shared" si="20"/>
        <v>1.377604914989379</v>
      </c>
      <c r="AZ120" s="479">
        <f t="shared" si="21"/>
        <v>1.2462465111605538</v>
      </c>
      <c r="BA120" s="479">
        <f t="shared" si="22"/>
        <v>1.4444775151828353</v>
      </c>
      <c r="BB120" s="479">
        <f t="shared" si="23"/>
        <v>1.4360080687204035</v>
      </c>
      <c r="BC120" s="479">
        <f t="shared" si="24"/>
        <v>1.8085576453259091</v>
      </c>
      <c r="BD120" s="479">
        <f t="shared" si="25"/>
        <v>1.9293416017689646</v>
      </c>
    </row>
    <row r="121" spans="1:56" ht="15">
      <c r="A121" s="63" t="str">
        <f>VLOOKUP(CONCATENATE($C121," - ",$B121),[2]ACHIEV!$B$12:$C$100,2,FALSE)</f>
        <v>LO20Fast</v>
      </c>
      <c r="B121" s="63" t="str">
        <f>'SC-New (2)'!$C$7</f>
        <v>New</v>
      </c>
      <c r="C121" s="63" t="str">
        <f>'SC-New (2)'!$C$8</f>
        <v>Lighting</v>
      </c>
      <c r="D121" s="63" t="s">
        <v>795</v>
      </c>
      <c r="E121" s="63" t="str">
        <f>'SC-New (2)'!$A$9</f>
        <v>Lighting</v>
      </c>
      <c r="F121" s="478">
        <f t="shared" si="1"/>
        <v>1.4259875898113245E-2</v>
      </c>
      <c r="G121" s="71">
        <f>'SC-New (2)'!A102</f>
        <v>54.583633546821666</v>
      </c>
      <c r="H121" s="71">
        <f>'SC-New (2)'!B102</f>
        <v>-12.334283459818346</v>
      </c>
      <c r="I121" s="1" t="str">
        <f>'SC-New (2)'!C102</f>
        <v>Manufactured</v>
      </c>
      <c r="J121" s="1" t="str">
        <f>'SC-New (2)'!D102</f>
        <v>2017 - LEDThree-Way665 to 1439 lumensANY</v>
      </c>
      <c r="K121" s="37">
        <f>'SC-New (2)'!E102</f>
        <v>0</v>
      </c>
      <c r="L121" s="37">
        <f>'SC-New (2)'!F102</f>
        <v>2.9464242544410807E-4</v>
      </c>
      <c r="M121" s="37">
        <f>'SC-New (2)'!G102</f>
        <v>3.9224671411211765E-4</v>
      </c>
      <c r="N121" s="37">
        <f>'SC-New (2)'!H102</f>
        <v>4.770585094078084E-4</v>
      </c>
      <c r="O121" s="37">
        <f>'SC-New (2)'!I102</f>
        <v>5.2221976193659973E-4</v>
      </c>
      <c r="P121" s="37">
        <f>'SC-New (2)'!J102</f>
        <v>5.6484043847324582E-4</v>
      </c>
      <c r="Q121" s="37">
        <f>'SC-New (2)'!K102</f>
        <v>6.1042948002958586E-4</v>
      </c>
      <c r="R121" s="37">
        <f>'SC-New (2)'!L102</f>
        <v>6.5121978033389578E-4</v>
      </c>
      <c r="S121" s="37">
        <f>'SC-New (2)'!M102</f>
        <v>6.8648030231668064E-4</v>
      </c>
      <c r="T121" s="37">
        <f>'SC-New (2)'!N102</f>
        <v>7.1350633664036352E-4</v>
      </c>
      <c r="U121" s="37">
        <f>'SC-New (2)'!O102</f>
        <v>7.3172413240091489E-4</v>
      </c>
      <c r="V121" s="37">
        <f>'SC-New (2)'!P102</f>
        <v>7.4812377613222767E-4</v>
      </c>
      <c r="W121" s="37">
        <f>'SC-New (2)'!Q102</f>
        <v>7.6257750213217814E-4</v>
      </c>
      <c r="X121" s="37">
        <f>'SC-New (2)'!R102</f>
        <v>7.7386316377935094E-4</v>
      </c>
      <c r="Y121" s="37">
        <f>'SC-New (2)'!S102</f>
        <v>7.822758431743265E-4</v>
      </c>
      <c r="Z121" s="37">
        <f>'SC-New (2)'!T102</f>
        <v>7.8822237576883043E-4</v>
      </c>
      <c r="AA121" s="37">
        <f>'SC-New (2)'!U102</f>
        <v>7.9261399682507632E-4</v>
      </c>
      <c r="AB121" s="37">
        <f>'SC-New (2)'!V102</f>
        <v>7.9653939260077846E-4</v>
      </c>
      <c r="AC121" s="37">
        <f>'SC-New (2)'!W102</f>
        <v>7.9977140968546525E-4</v>
      </c>
      <c r="AD121" s="37">
        <f>'SC-New (2)'!X102</f>
        <v>8.0219475474935665E-4</v>
      </c>
      <c r="AE121" s="37">
        <f>'SC-New (2)'!Y102</f>
        <v>1.2690550095942912E-2</v>
      </c>
      <c r="AF121" s="479">
        <f t="shared" si="2"/>
        <v>3.9053920487329368</v>
      </c>
      <c r="AG121" s="479">
        <f t="shared" si="3"/>
        <v>3.1061716545849691</v>
      </c>
      <c r="AH121" s="479">
        <f t="shared" si="4"/>
        <v>3.1382230432311156</v>
      </c>
      <c r="AI121" s="479">
        <f t="shared" si="5"/>
        <v>2.5594514769216872</v>
      </c>
      <c r="AJ121" s="479">
        <f t="shared" si="6"/>
        <v>2.3306116792545248</v>
      </c>
      <c r="AK121" s="479">
        <f t="shared" si="7"/>
        <v>2.3947542182186701</v>
      </c>
      <c r="AL121" s="479">
        <f t="shared" si="8"/>
        <v>1.9763676689399765</v>
      </c>
      <c r="AM121" s="479">
        <f t="shared" si="9"/>
        <v>2.2543466479896805</v>
      </c>
      <c r="AN121" s="479">
        <f t="shared" si="10"/>
        <v>2.4823761776445838</v>
      </c>
      <c r="AO121" s="479">
        <f t="shared" si="11"/>
        <v>3.6228126664904727</v>
      </c>
      <c r="AP121" s="479">
        <f t="shared" si="12"/>
        <v>3.6571081526179396</v>
      </c>
      <c r="AQ121" s="479">
        <f t="shared" si="13"/>
        <v>4.0147809562011307</v>
      </c>
      <c r="AR121" s="479"/>
      <c r="AS121" s="479">
        <f t="shared" si="14"/>
        <v>2.0373750746740664</v>
      </c>
      <c r="AT121" s="479">
        <f t="shared" si="15"/>
        <v>1.5658193674251897</v>
      </c>
      <c r="AU121" s="479">
        <f t="shared" si="16"/>
        <v>1.4593988697107205</v>
      </c>
      <c r="AV121" s="479">
        <f t="shared" si="17"/>
        <v>1.4315985529015838</v>
      </c>
      <c r="AW121" s="479">
        <f t="shared" si="18"/>
        <v>1.3909150714180603</v>
      </c>
      <c r="AX121" s="479">
        <f t="shared" si="19"/>
        <v>1.3007501858275035</v>
      </c>
      <c r="AY121" s="479">
        <f t="shared" si="20"/>
        <v>1.4839028222059658</v>
      </c>
      <c r="AZ121" s="479">
        <f t="shared" si="21"/>
        <v>1.3424086216255566</v>
      </c>
      <c r="BA121" s="479">
        <f t="shared" si="22"/>
        <v>1.5559354050427407</v>
      </c>
      <c r="BB121" s="479">
        <f t="shared" si="23"/>
        <v>1.5468124443365345</v>
      </c>
      <c r="BC121" s="479">
        <f t="shared" si="24"/>
        <v>1.9481084633339767</v>
      </c>
      <c r="BD121" s="479">
        <f t="shared" si="25"/>
        <v>2.0782122774920686</v>
      </c>
    </row>
    <row r="122" spans="1:56" ht="15">
      <c r="A122" s="63" t="str">
        <f>VLOOKUP(CONCATENATE($C122," - ",$B122),[2]ACHIEV!$B$12:$C$100,2,FALSE)</f>
        <v>LO20Fast</v>
      </c>
      <c r="B122" s="63" t="str">
        <f>'SC-New (2)'!$C$7</f>
        <v>New</v>
      </c>
      <c r="C122" s="63" t="str">
        <f>'SC-New (2)'!$C$8</f>
        <v>Lighting</v>
      </c>
      <c r="D122" s="63" t="s">
        <v>795</v>
      </c>
      <c r="E122" s="63" t="str">
        <f>'SC-New (2)'!$A$9</f>
        <v>Lighting</v>
      </c>
      <c r="F122" s="478">
        <f t="shared" si="1"/>
        <v>1.2760440721528607E-2</v>
      </c>
      <c r="G122" s="71">
        <f>'SC-New (2)'!A103</f>
        <v>48.844129164687544</v>
      </c>
      <c r="H122" s="71">
        <f>'SC-New (2)'!B103</f>
        <v>-29.993229849727555</v>
      </c>
      <c r="I122" s="1" t="str">
        <f>'SC-New (2)'!C103</f>
        <v>Manufactured</v>
      </c>
      <c r="J122" s="1" t="str">
        <f>'SC-New (2)'!D103</f>
        <v>2017 - LEDThree-Way1440 to 2600 lumensANY</v>
      </c>
      <c r="K122" s="37">
        <f>'SC-New (2)'!E103</f>
        <v>0</v>
      </c>
      <c r="L122" s="37">
        <f>'SC-New (2)'!F103</f>
        <v>1.0195471479773168E-3</v>
      </c>
      <c r="M122" s="37">
        <f>'SC-New (2)'!G103</f>
        <v>1.3572859308149594E-3</v>
      </c>
      <c r="N122" s="37">
        <f>'SC-New (2)'!H103</f>
        <v>1.6507590241015889E-3</v>
      </c>
      <c r="O122" s="37">
        <f>'SC-New (2)'!I103</f>
        <v>1.8070298874893424E-3</v>
      </c>
      <c r="P122" s="37">
        <f>'SC-New (2)'!J103</f>
        <v>1.9545096305789685E-3</v>
      </c>
      <c r="Q122" s="37">
        <f>'SC-New (2)'!K103</f>
        <v>2.1122607664777688E-3</v>
      </c>
      <c r="R122" s="37">
        <f>'SC-New (2)'!L103</f>
        <v>2.2534068837679502E-3</v>
      </c>
      <c r="S122" s="37">
        <f>'SC-New (2)'!M103</f>
        <v>2.3754183848936064E-3</v>
      </c>
      <c r="T122" s="37">
        <f>'SC-New (2)'!N103</f>
        <v>2.4689362011901428E-3</v>
      </c>
      <c r="U122" s="37">
        <f>'SC-New (2)'!O103</f>
        <v>2.531974990265095E-3</v>
      </c>
      <c r="V122" s="37">
        <f>'SC-New (2)'!P103</f>
        <v>2.5887224527831008E-3</v>
      </c>
      <c r="W122" s="37">
        <f>'SC-New (2)'!Q103</f>
        <v>2.6387364828355736E-3</v>
      </c>
      <c r="X122" s="37">
        <f>'SC-New (2)'!R103</f>
        <v>2.677788103212609E-3</v>
      </c>
      <c r="Y122" s="37">
        <f>'SC-New (2)'!S103</f>
        <v>2.7068983824640319E-3</v>
      </c>
      <c r="Z122" s="37">
        <f>'SC-New (2)'!T103</f>
        <v>2.7274750877295502E-3</v>
      </c>
      <c r="AA122" s="37">
        <f>'SC-New (2)'!U103</f>
        <v>2.742671353902501E-3</v>
      </c>
      <c r="AB122" s="37">
        <f>'SC-New (2)'!V103</f>
        <v>2.7562543471247674E-3</v>
      </c>
      <c r="AC122" s="37">
        <f>'SC-New (2)'!W103</f>
        <v>2.7674380515622372E-3</v>
      </c>
      <c r="AD122" s="37">
        <f>'SC-New (2)'!X103</f>
        <v>2.7758235192854672E-3</v>
      </c>
      <c r="AE122" s="37">
        <f>'SC-New (2)'!Y103</f>
        <v>4.3912936628456571E-2</v>
      </c>
      <c r="AF122" s="479">
        <f t="shared" si="2"/>
        <v>3.4947375480862015</v>
      </c>
      <c r="AG122" s="479">
        <f t="shared" si="3"/>
        <v>2.7795556954649423</v>
      </c>
      <c r="AH122" s="479">
        <f t="shared" si="4"/>
        <v>2.808236859858241</v>
      </c>
      <c r="AI122" s="479">
        <f t="shared" si="5"/>
        <v>2.2903234982016438</v>
      </c>
      <c r="AJ122" s="479">
        <f t="shared" si="6"/>
        <v>2.0855463533146543</v>
      </c>
      <c r="AK122" s="479">
        <f t="shared" si="7"/>
        <v>2.1429442628075841</v>
      </c>
      <c r="AL122" s="479">
        <f t="shared" si="8"/>
        <v>1.7685513298745517</v>
      </c>
      <c r="AM122" s="479">
        <f t="shared" si="9"/>
        <v>2.0173006394294912</v>
      </c>
      <c r="AN122" s="479">
        <f t="shared" si="10"/>
        <v>2.2213527165099398</v>
      </c>
      <c r="AO122" s="479">
        <f t="shared" si="11"/>
        <v>3.2418715707106038</v>
      </c>
      <c r="AP122" s="479">
        <f t="shared" si="12"/>
        <v>3.2725608642831689</v>
      </c>
      <c r="AQ122" s="479">
        <f t="shared" si="13"/>
        <v>3.5926241411613451</v>
      </c>
      <c r="AR122" s="479"/>
      <c r="AS122" s="479">
        <f t="shared" si="14"/>
        <v>1.8231437674249444</v>
      </c>
      <c r="AT122" s="479">
        <f t="shared" si="15"/>
        <v>1.4011724478818377</v>
      </c>
      <c r="AU122" s="479">
        <f t="shared" si="16"/>
        <v>1.3059421343543034</v>
      </c>
      <c r="AV122" s="479">
        <f t="shared" si="17"/>
        <v>1.2810650388439813</v>
      </c>
      <c r="AW122" s="479">
        <f t="shared" si="18"/>
        <v>1.2446594517599732</v>
      </c>
      <c r="AX122" s="479">
        <f t="shared" si="19"/>
        <v>1.1639754622244163</v>
      </c>
      <c r="AY122" s="479">
        <f t="shared" si="20"/>
        <v>1.3278694803910316</v>
      </c>
      <c r="AZ122" s="479">
        <f t="shared" si="21"/>
        <v>1.2012534865460023</v>
      </c>
      <c r="BA122" s="479">
        <f t="shared" si="22"/>
        <v>1.3923277905386595</v>
      </c>
      <c r="BB122" s="479">
        <f t="shared" si="23"/>
        <v>1.3841641150531119</v>
      </c>
      <c r="BC122" s="479">
        <f t="shared" si="24"/>
        <v>1.7432635980212496</v>
      </c>
      <c r="BD122" s="479">
        <f t="shared" si="25"/>
        <v>1.8596869119456556</v>
      </c>
    </row>
    <row r="123" spans="1:56" ht="15">
      <c r="A123" s="63" t="str">
        <f>VLOOKUP(CONCATENATE($C123," - ",$B123),[2]ACHIEV!$B$12:$C$100,2,FALSE)</f>
        <v>LO20Fast</v>
      </c>
      <c r="B123" s="63" t="str">
        <f>'SC-NR'!$C$7</f>
        <v>NR</v>
      </c>
      <c r="C123" s="63" t="str">
        <f>'SC-NR'!$C$8</f>
        <v>Lighting</v>
      </c>
      <c r="D123" s="63" t="s">
        <v>795</v>
      </c>
      <c r="E123" s="63" t="str">
        <f>'SC-NR'!$A$9</f>
        <v>Lighting</v>
      </c>
      <c r="F123" s="478">
        <f t="shared" si="1"/>
        <v>5.0254466343264623E-3</v>
      </c>
      <c r="G123" s="71">
        <f>'SC-NR'!A81</f>
        <v>19.236292058718274</v>
      </c>
      <c r="H123" s="71">
        <f>'SC-NR'!B81</f>
        <v>-15.059976945801358</v>
      </c>
      <c r="I123" s="1" t="str">
        <f>'SC-NR'!C81</f>
        <v>Single Family</v>
      </c>
      <c r="J123" s="1" t="str">
        <f>'SC-NR'!D81</f>
        <v>2016 - LEDDecorative and Mini-Base250 to 664 lumensANY</v>
      </c>
      <c r="K123" s="37">
        <f>'SC-NR'!E81</f>
        <v>1.1081636867659674</v>
      </c>
      <c r="L123" s="37">
        <f>'SC-NR'!F81</f>
        <v>0</v>
      </c>
      <c r="M123" s="37">
        <f>'SC-NR'!G81</f>
        <v>0</v>
      </c>
      <c r="N123" s="37">
        <f>'SC-NR'!H81</f>
        <v>0</v>
      </c>
      <c r="O123" s="37">
        <f>'SC-NR'!I81</f>
        <v>0</v>
      </c>
      <c r="P123" s="37">
        <f>'SC-NR'!J81</f>
        <v>0</v>
      </c>
      <c r="Q123" s="37">
        <f>'SC-NR'!K81</f>
        <v>0</v>
      </c>
      <c r="R123" s="37">
        <f>'SC-NR'!L81</f>
        <v>0</v>
      </c>
      <c r="S123" s="37">
        <f>'SC-NR'!M81</f>
        <v>0</v>
      </c>
      <c r="T123" s="37">
        <f>'SC-NR'!N81</f>
        <v>0</v>
      </c>
      <c r="U123" s="37">
        <f>'SC-NR'!O81</f>
        <v>0</v>
      </c>
      <c r="V123" s="37">
        <f>'SC-NR'!P81</f>
        <v>0</v>
      </c>
      <c r="W123" s="37">
        <f>'SC-NR'!Q81</f>
        <v>0</v>
      </c>
      <c r="X123" s="37">
        <f>'SC-NR'!R81</f>
        <v>0</v>
      </c>
      <c r="Y123" s="37">
        <f>'SC-NR'!S81</f>
        <v>0</v>
      </c>
      <c r="Z123" s="37">
        <f>'SC-NR'!T81</f>
        <v>0</v>
      </c>
      <c r="AA123" s="37">
        <f>'SC-NR'!U81</f>
        <v>0</v>
      </c>
      <c r="AB123" s="37">
        <f>'SC-NR'!V81</f>
        <v>0</v>
      </c>
      <c r="AC123" s="37">
        <f>'SC-NR'!W81</f>
        <v>0</v>
      </c>
      <c r="AD123" s="37">
        <f>'SC-NR'!X81</f>
        <v>0</v>
      </c>
      <c r="AE123" s="37">
        <f>'SC-NR'!Y81</f>
        <v>5.0097993209609388</v>
      </c>
      <c r="AF123" s="479">
        <f t="shared" si="2"/>
        <v>1.3763331088755877</v>
      </c>
      <c r="AG123" s="479">
        <f t="shared" si="3"/>
        <v>1.0946729129136159</v>
      </c>
      <c r="AH123" s="479">
        <f t="shared" si="4"/>
        <v>1.10596842097751</v>
      </c>
      <c r="AI123" s="479">
        <f t="shared" si="5"/>
        <v>0.90199850982713226</v>
      </c>
      <c r="AJ123" s="479">
        <f t="shared" si="6"/>
        <v>0.8213510905085285</v>
      </c>
      <c r="AK123" s="479">
        <f t="shared" si="7"/>
        <v>0.84395611939220683</v>
      </c>
      <c r="AL123" s="479">
        <f t="shared" si="8"/>
        <v>0.69650888416077883</v>
      </c>
      <c r="AM123" s="479">
        <f t="shared" si="9"/>
        <v>0.79447386889558136</v>
      </c>
      <c r="AN123" s="479">
        <f t="shared" si="10"/>
        <v>0.87483573463123632</v>
      </c>
      <c r="AO123" s="479">
        <f t="shared" si="11"/>
        <v>1.2767468561222706</v>
      </c>
      <c r="AP123" s="479">
        <f t="shared" si="12"/>
        <v>1.2888332260572761</v>
      </c>
      <c r="AQ123" s="479">
        <f t="shared" si="13"/>
        <v>1.4148838032011544</v>
      </c>
      <c r="AR123" s="479"/>
      <c r="AS123" s="479">
        <f t="shared" si="14"/>
        <v>0.71800903353135914</v>
      </c>
      <c r="AT123" s="479">
        <f t="shared" si="15"/>
        <v>0.55182399385616432</v>
      </c>
      <c r="AU123" s="479">
        <f t="shared" si="16"/>
        <v>0.5143194225763198</v>
      </c>
      <c r="AV123" s="479">
        <f t="shared" si="17"/>
        <v>0.50452207163582741</v>
      </c>
      <c r="AW123" s="479">
        <f t="shared" si="18"/>
        <v>0.49018445281257317</v>
      </c>
      <c r="AX123" s="479">
        <f t="shared" si="19"/>
        <v>0.45840866289244864</v>
      </c>
      <c r="AY123" s="479">
        <f t="shared" si="20"/>
        <v>0.52295507315804879</v>
      </c>
      <c r="AZ123" s="479">
        <f t="shared" si="21"/>
        <v>0.47308987382783491</v>
      </c>
      <c r="BA123" s="479">
        <f t="shared" si="22"/>
        <v>0.54834070088478171</v>
      </c>
      <c r="BB123" s="479">
        <f t="shared" si="23"/>
        <v>0.54512559911926328</v>
      </c>
      <c r="BC123" s="479">
        <f t="shared" si="24"/>
        <v>0.68654981223644318</v>
      </c>
      <c r="BD123" s="479">
        <f t="shared" si="25"/>
        <v>0.73240082662432637</v>
      </c>
    </row>
    <row r="124" spans="1:56" ht="15">
      <c r="A124" s="63" t="str">
        <f>VLOOKUP(CONCATENATE($C124," - ",$B124),[2]ACHIEV!$B$12:$C$100,2,FALSE)</f>
        <v>LO20Fast</v>
      </c>
      <c r="B124" s="63" t="str">
        <f>'SC-NR'!$C$7</f>
        <v>NR</v>
      </c>
      <c r="C124" s="63" t="str">
        <f>'SC-NR'!$C$8</f>
        <v>Lighting</v>
      </c>
      <c r="D124" s="63" t="s">
        <v>795</v>
      </c>
      <c r="E124" s="63" t="str">
        <f>'SC-NR'!$A$9</f>
        <v>Lighting</v>
      </c>
      <c r="F124" s="478">
        <f t="shared" si="1"/>
        <v>3.7860143455178382E-3</v>
      </c>
      <c r="G124" s="71">
        <f>'SC-NR'!A82</f>
        <v>14.492020906444102</v>
      </c>
      <c r="H124" s="71">
        <f>'SC-NR'!B82</f>
        <v>-3.5286913755547569</v>
      </c>
      <c r="I124" s="1" t="str">
        <f>'SC-NR'!C82</f>
        <v>Single Family</v>
      </c>
      <c r="J124" s="1" t="str">
        <f>'SC-NR'!D82</f>
        <v>2016 - LEDDecorative and Mini-Base665 to 1439 lumensANY</v>
      </c>
      <c r="K124" s="37">
        <f>'SC-NR'!E82</f>
        <v>0.22897787671820369</v>
      </c>
      <c r="L124" s="37">
        <f>'SC-NR'!F82</f>
        <v>0</v>
      </c>
      <c r="M124" s="37">
        <f>'SC-NR'!G82</f>
        <v>0</v>
      </c>
      <c r="N124" s="37">
        <f>'SC-NR'!H82</f>
        <v>0</v>
      </c>
      <c r="O124" s="37">
        <f>'SC-NR'!I82</f>
        <v>0</v>
      </c>
      <c r="P124" s="37">
        <f>'SC-NR'!J82</f>
        <v>0</v>
      </c>
      <c r="Q124" s="37">
        <f>'SC-NR'!K82</f>
        <v>0</v>
      </c>
      <c r="R124" s="37">
        <f>'SC-NR'!L82</f>
        <v>0</v>
      </c>
      <c r="S124" s="37">
        <f>'SC-NR'!M82</f>
        <v>0</v>
      </c>
      <c r="T124" s="37">
        <f>'SC-NR'!N82</f>
        <v>0</v>
      </c>
      <c r="U124" s="37">
        <f>'SC-NR'!O82</f>
        <v>0</v>
      </c>
      <c r="V124" s="37">
        <f>'SC-NR'!P82</f>
        <v>0</v>
      </c>
      <c r="W124" s="37">
        <f>'SC-NR'!Q82</f>
        <v>0</v>
      </c>
      <c r="X124" s="37">
        <f>'SC-NR'!R82</f>
        <v>0</v>
      </c>
      <c r="Y124" s="37">
        <f>'SC-NR'!S82</f>
        <v>0</v>
      </c>
      <c r="Z124" s="37">
        <f>'SC-NR'!T82</f>
        <v>0</v>
      </c>
      <c r="AA124" s="37">
        <f>'SC-NR'!U82</f>
        <v>0</v>
      </c>
      <c r="AB124" s="37">
        <f>'SC-NR'!V82</f>
        <v>0</v>
      </c>
      <c r="AC124" s="37">
        <f>'SC-NR'!W82</f>
        <v>0</v>
      </c>
      <c r="AD124" s="37">
        <f>'SC-NR'!X82</f>
        <v>0</v>
      </c>
      <c r="AE124" s="37">
        <f>'SC-NR'!Y82</f>
        <v>1.0351658559086108</v>
      </c>
      <c r="AF124" s="479">
        <f t="shared" si="2"/>
        <v>1.0368863254504586</v>
      </c>
      <c r="AG124" s="479">
        <f t="shared" si="3"/>
        <v>0.8246923414989582</v>
      </c>
      <c r="AH124" s="479">
        <f t="shared" si="4"/>
        <v>0.83320202405686417</v>
      </c>
      <c r="AI124" s="479">
        <f t="shared" si="5"/>
        <v>0.67953747125979169</v>
      </c>
      <c r="AJ124" s="479">
        <f t="shared" si="6"/>
        <v>0.61878022743918382</v>
      </c>
      <c r="AK124" s="479">
        <f t="shared" si="7"/>
        <v>0.63581014932709601</v>
      </c>
      <c r="AL124" s="479">
        <f t="shared" si="8"/>
        <v>0.52472801306878369</v>
      </c>
      <c r="AM124" s="479">
        <f t="shared" si="9"/>
        <v>0.59853176914311479</v>
      </c>
      <c r="AN124" s="479">
        <f t="shared" si="10"/>
        <v>0.65907388582376392</v>
      </c>
      <c r="AO124" s="479">
        <f t="shared" si="11"/>
        <v>0.96186115674901895</v>
      </c>
      <c r="AP124" s="479">
        <f t="shared" si="12"/>
        <v>0.97096664990988701</v>
      </c>
      <c r="AQ124" s="479">
        <f t="shared" si="13"/>
        <v>1.065929213051598</v>
      </c>
      <c r="AR124" s="479"/>
      <c r="AS124" s="479">
        <f t="shared" si="14"/>
        <v>0.5409255532817846</v>
      </c>
      <c r="AT124" s="479">
        <f t="shared" si="15"/>
        <v>0.41572694109812058</v>
      </c>
      <c r="AU124" s="479">
        <f t="shared" si="16"/>
        <v>0.3874721698867219</v>
      </c>
      <c r="AV124" s="479">
        <f t="shared" si="17"/>
        <v>0.38009115205729899</v>
      </c>
      <c r="AW124" s="479">
        <f t="shared" si="18"/>
        <v>0.36928963838195134</v>
      </c>
      <c r="AX124" s="479">
        <f t="shared" si="19"/>
        <v>0.34535075190447584</v>
      </c>
      <c r="AY124" s="479">
        <f t="shared" si="20"/>
        <v>0.39397799899293179</v>
      </c>
      <c r="AZ124" s="479">
        <f t="shared" si="21"/>
        <v>0.35641111713276868</v>
      </c>
      <c r="BA124" s="479">
        <f t="shared" si="22"/>
        <v>0.41310273709817824</v>
      </c>
      <c r="BB124" s="479">
        <f t="shared" si="23"/>
        <v>0.41068057996623142</v>
      </c>
      <c r="BC124" s="479">
        <f t="shared" si="24"/>
        <v>0.51722515970724714</v>
      </c>
      <c r="BD124" s="479">
        <f t="shared" si="25"/>
        <v>0.55176788015787159</v>
      </c>
    </row>
    <row r="125" spans="1:56" ht="15">
      <c r="A125" s="63" t="str">
        <f>VLOOKUP(CONCATENATE($C125," - ",$B125),[2]ACHIEV!$B$12:$C$100,2,FALSE)</f>
        <v>LO20Fast</v>
      </c>
      <c r="B125" s="63" t="str">
        <f>'SC-NR'!$C$7</f>
        <v>NR</v>
      </c>
      <c r="C125" s="63" t="str">
        <f>'SC-NR'!$C$8</f>
        <v>Lighting</v>
      </c>
      <c r="D125" s="63" t="s">
        <v>795</v>
      </c>
      <c r="E125" s="63" t="str">
        <f>'SC-NR'!$A$9</f>
        <v>Lighting</v>
      </c>
      <c r="F125" s="478">
        <f t="shared" si="1"/>
        <v>1.8749503794567041E-3</v>
      </c>
      <c r="G125" s="71">
        <f>'SC-NR'!A83</f>
        <v>7.1768930642853626</v>
      </c>
      <c r="H125" s="71">
        <f>'SC-NR'!B83</f>
        <v>355.22288385759038</v>
      </c>
      <c r="I125" s="1" t="str">
        <f>'SC-NR'!C83</f>
        <v>Single Family</v>
      </c>
      <c r="J125" s="1" t="str">
        <f>'SC-NR'!D83</f>
        <v>2016 - LEDDecorative and Mini-Base1440 to 2600 lumensANY</v>
      </c>
      <c r="K125" s="37">
        <f>'SC-NR'!E83</f>
        <v>2.2278488822231749E-3</v>
      </c>
      <c r="L125" s="37">
        <f>'SC-NR'!F83</f>
        <v>0</v>
      </c>
      <c r="M125" s="37">
        <f>'SC-NR'!G83</f>
        <v>0</v>
      </c>
      <c r="N125" s="37">
        <f>'SC-NR'!H83</f>
        <v>0</v>
      </c>
      <c r="O125" s="37">
        <f>'SC-NR'!I83</f>
        <v>0</v>
      </c>
      <c r="P125" s="37">
        <f>'SC-NR'!J83</f>
        <v>0</v>
      </c>
      <c r="Q125" s="37">
        <f>'SC-NR'!K83</f>
        <v>0</v>
      </c>
      <c r="R125" s="37">
        <f>'SC-NR'!L83</f>
        <v>0</v>
      </c>
      <c r="S125" s="37">
        <f>'SC-NR'!M83</f>
        <v>0</v>
      </c>
      <c r="T125" s="37">
        <f>'SC-NR'!N83</f>
        <v>0</v>
      </c>
      <c r="U125" s="37">
        <f>'SC-NR'!O83</f>
        <v>0</v>
      </c>
      <c r="V125" s="37">
        <f>'SC-NR'!P83</f>
        <v>0</v>
      </c>
      <c r="W125" s="37">
        <f>'SC-NR'!Q83</f>
        <v>0</v>
      </c>
      <c r="X125" s="37">
        <f>'SC-NR'!R83</f>
        <v>0</v>
      </c>
      <c r="Y125" s="37">
        <f>'SC-NR'!S83</f>
        <v>0</v>
      </c>
      <c r="Z125" s="37">
        <f>'SC-NR'!T83</f>
        <v>0</v>
      </c>
      <c r="AA125" s="37">
        <f>'SC-NR'!U83</f>
        <v>0</v>
      </c>
      <c r="AB125" s="37">
        <f>'SC-NR'!V83</f>
        <v>0</v>
      </c>
      <c r="AC125" s="37">
        <f>'SC-NR'!W83</f>
        <v>0</v>
      </c>
      <c r="AD125" s="37">
        <f>'SC-NR'!X83</f>
        <v>0</v>
      </c>
      <c r="AE125" s="37">
        <f>'SC-NR'!Y83</f>
        <v>1.007168521280228E-2</v>
      </c>
      <c r="AF125" s="479">
        <f t="shared" si="2"/>
        <v>0.51349789829993253</v>
      </c>
      <c r="AG125" s="479">
        <f t="shared" si="3"/>
        <v>0.40841293178381172</v>
      </c>
      <c r="AH125" s="479">
        <f t="shared" si="4"/>
        <v>0.41262718748516447</v>
      </c>
      <c r="AI125" s="479">
        <f t="shared" si="5"/>
        <v>0.33652778973274827</v>
      </c>
      <c r="AJ125" s="479">
        <f t="shared" si="6"/>
        <v>0.30643893983415893</v>
      </c>
      <c r="AK125" s="479">
        <f t="shared" si="7"/>
        <v>0.31487267927406898</v>
      </c>
      <c r="AL125" s="479">
        <f t="shared" si="8"/>
        <v>0.25986139972755762</v>
      </c>
      <c r="AM125" s="479">
        <f t="shared" si="9"/>
        <v>0.29641128248770077</v>
      </c>
      <c r="AN125" s="479">
        <f t="shared" si="10"/>
        <v>0.32639359483099145</v>
      </c>
      <c r="AO125" s="479">
        <f t="shared" si="11"/>
        <v>0.47634313455950961</v>
      </c>
      <c r="AP125" s="479">
        <f t="shared" si="12"/>
        <v>0.4808524539384289</v>
      </c>
      <c r="AQ125" s="479">
        <f t="shared" si="13"/>
        <v>0.52788082666700065</v>
      </c>
      <c r="AR125" s="479"/>
      <c r="AS125" s="479">
        <f t="shared" si="14"/>
        <v>0.26788291824203048</v>
      </c>
      <c r="AT125" s="479">
        <f t="shared" si="15"/>
        <v>0.20588072701971843</v>
      </c>
      <c r="AU125" s="479">
        <f t="shared" si="16"/>
        <v>0.19188809805174015</v>
      </c>
      <c r="AV125" s="479">
        <f t="shared" si="17"/>
        <v>0.18823279172770654</v>
      </c>
      <c r="AW125" s="479">
        <f t="shared" si="18"/>
        <v>0.18288355099166023</v>
      </c>
      <c r="AX125" s="479">
        <f t="shared" si="19"/>
        <v>0.17102828046479313</v>
      </c>
      <c r="AY125" s="479">
        <f t="shared" si="20"/>
        <v>0.19510998408759461</v>
      </c>
      <c r="AZ125" s="479">
        <f t="shared" si="21"/>
        <v>0.17650571242599744</v>
      </c>
      <c r="BA125" s="479">
        <f t="shared" si="22"/>
        <v>0.20458114074337783</v>
      </c>
      <c r="BB125" s="479">
        <f t="shared" si="23"/>
        <v>0.20338161427063109</v>
      </c>
      <c r="BC125" s="479">
        <f t="shared" si="24"/>
        <v>0.25614575671266115</v>
      </c>
      <c r="BD125" s="479">
        <f t="shared" si="25"/>
        <v>0.27325237092637639</v>
      </c>
    </row>
    <row r="126" spans="1:56" ht="15">
      <c r="A126" s="63" t="str">
        <f>VLOOKUP(CONCATENATE($C126," - ",$B126),[2]ACHIEV!$B$12:$C$100,2,FALSE)</f>
        <v>LO20Fast</v>
      </c>
      <c r="B126" s="63" t="str">
        <f>'SC-NR'!$C$7</f>
        <v>NR</v>
      </c>
      <c r="C126" s="63" t="str">
        <f>'SC-NR'!$C$8</f>
        <v>Lighting</v>
      </c>
      <c r="D126" s="63" t="s">
        <v>795</v>
      </c>
      <c r="E126" s="63" t="str">
        <f>'SC-NR'!$A$9</f>
        <v>Lighting</v>
      </c>
      <c r="F126" s="478">
        <f t="shared" si="1"/>
        <v>4.7955325150829165E-4</v>
      </c>
      <c r="G126" s="71">
        <f>'SC-NR'!A84</f>
        <v>1.835623194306955</v>
      </c>
      <c r="H126" s="71">
        <f>'SC-NR'!B84</f>
        <v>45.354656455601045</v>
      </c>
      <c r="I126" s="1" t="str">
        <f>'SC-NR'!C84</f>
        <v>Single Family</v>
      </c>
      <c r="J126" s="1" t="str">
        <f>'SC-NR'!D84</f>
        <v>2016 - LEDGeneral Purpose and Dimmable250 to 664 lumensANY</v>
      </c>
      <c r="K126" s="37">
        <f>'SC-NR'!E84</f>
        <v>8.8303551853055731E-2</v>
      </c>
      <c r="L126" s="37">
        <f>'SC-NR'!F84</f>
        <v>0</v>
      </c>
      <c r="M126" s="37">
        <f>'SC-NR'!G84</f>
        <v>0</v>
      </c>
      <c r="N126" s="37">
        <f>'SC-NR'!H84</f>
        <v>0</v>
      </c>
      <c r="O126" s="37">
        <f>'SC-NR'!I84</f>
        <v>0</v>
      </c>
      <c r="P126" s="37">
        <f>'SC-NR'!J84</f>
        <v>0</v>
      </c>
      <c r="Q126" s="37">
        <f>'SC-NR'!K84</f>
        <v>0</v>
      </c>
      <c r="R126" s="37">
        <f>'SC-NR'!L84</f>
        <v>0</v>
      </c>
      <c r="S126" s="37">
        <f>'SC-NR'!M84</f>
        <v>0</v>
      </c>
      <c r="T126" s="37">
        <f>'SC-NR'!N84</f>
        <v>0</v>
      </c>
      <c r="U126" s="37">
        <f>'SC-NR'!O84</f>
        <v>0</v>
      </c>
      <c r="V126" s="37">
        <f>'SC-NR'!P84</f>
        <v>0</v>
      </c>
      <c r="W126" s="37">
        <f>'SC-NR'!Q84</f>
        <v>0</v>
      </c>
      <c r="X126" s="37">
        <f>'SC-NR'!R84</f>
        <v>0</v>
      </c>
      <c r="Y126" s="37">
        <f>'SC-NR'!S84</f>
        <v>0</v>
      </c>
      <c r="Z126" s="37">
        <f>'SC-NR'!T84</f>
        <v>0</v>
      </c>
      <c r="AA126" s="37">
        <f>'SC-NR'!U84</f>
        <v>0</v>
      </c>
      <c r="AB126" s="37">
        <f>'SC-NR'!V84</f>
        <v>0</v>
      </c>
      <c r="AC126" s="37">
        <f>'SC-NR'!W84</f>
        <v>0</v>
      </c>
      <c r="AD126" s="37">
        <f>'SC-NR'!X84</f>
        <v>0</v>
      </c>
      <c r="AE126" s="37">
        <f>'SC-NR'!Y84</f>
        <v>0.39920372720650643</v>
      </c>
      <c r="AF126" s="479">
        <f t="shared" si="2"/>
        <v>0.13133658867482209</v>
      </c>
      <c r="AG126" s="479">
        <f t="shared" si="3"/>
        <v>0.10445916411489954</v>
      </c>
      <c r="AH126" s="479">
        <f t="shared" si="4"/>
        <v>0.1055370379863439</v>
      </c>
      <c r="AI126" s="479">
        <f t="shared" si="5"/>
        <v>8.6073208953935804E-2</v>
      </c>
      <c r="AJ126" s="479">
        <f t="shared" si="6"/>
        <v>7.837742886230771E-2</v>
      </c>
      <c r="AK126" s="479">
        <f t="shared" si="7"/>
        <v>8.0534513772445179E-2</v>
      </c>
      <c r="AL126" s="479">
        <f t="shared" si="8"/>
        <v>6.6464361161896968E-2</v>
      </c>
      <c r="AM126" s="479">
        <f t="shared" si="9"/>
        <v>7.5812669955515485E-2</v>
      </c>
      <c r="AN126" s="479">
        <f t="shared" si="10"/>
        <v>8.3481201096125474E-2</v>
      </c>
      <c r="AO126" s="479">
        <f t="shared" si="11"/>
        <v>0.12183357037846314</v>
      </c>
      <c r="AP126" s="479">
        <f t="shared" si="12"/>
        <v>0.12298691224496987</v>
      </c>
      <c r="AQ126" s="479">
        <f t="shared" si="13"/>
        <v>0.13501528873014673</v>
      </c>
      <c r="AR126" s="479"/>
      <c r="AS126" s="479">
        <f t="shared" si="14"/>
        <v>6.851601294308389E-2</v>
      </c>
      <c r="AT126" s="479">
        <f t="shared" si="15"/>
        <v>5.2657805319523042E-2</v>
      </c>
      <c r="AU126" s="479">
        <f t="shared" si="16"/>
        <v>4.9078931557174459E-2</v>
      </c>
      <c r="AV126" s="479">
        <f t="shared" si="17"/>
        <v>4.8144019331146884E-2</v>
      </c>
      <c r="AW126" s="479">
        <f t="shared" si="18"/>
        <v>4.6775852036599626E-2</v>
      </c>
      <c r="AX126" s="479">
        <f t="shared" si="19"/>
        <v>4.3743647242829607E-2</v>
      </c>
      <c r="AY126" s="479">
        <f t="shared" si="20"/>
        <v>4.99029885249812E-2</v>
      </c>
      <c r="AZ126" s="479">
        <f t="shared" si="21"/>
        <v>4.5144601815116529E-2</v>
      </c>
      <c r="BA126" s="479">
        <f t="shared" si="22"/>
        <v>5.2325412083273619E-2</v>
      </c>
      <c r="BB126" s="479">
        <f t="shared" si="23"/>
        <v>5.2018610993186824E-2</v>
      </c>
      <c r="BC126" s="479">
        <f t="shared" si="24"/>
        <v>6.5514016710779291E-2</v>
      </c>
      <c r="BD126" s="479">
        <f t="shared" si="25"/>
        <v>6.98893498173878E-2</v>
      </c>
    </row>
    <row r="127" spans="1:56" ht="15">
      <c r="A127" s="63" t="str">
        <f>VLOOKUP(CONCATENATE($C127," - ",$B127),[2]ACHIEV!$B$12:$C$100,2,FALSE)</f>
        <v>LO20Fast</v>
      </c>
      <c r="B127" s="63" t="str">
        <f>'SC-NR'!$C$7</f>
        <v>NR</v>
      </c>
      <c r="C127" s="63" t="str">
        <f>'SC-NR'!$C$8</f>
        <v>Lighting</v>
      </c>
      <c r="D127" s="63" t="s">
        <v>795</v>
      </c>
      <c r="E127" s="63" t="str">
        <f>'SC-NR'!$A$9</f>
        <v>Lighting</v>
      </c>
      <c r="F127" s="478">
        <f t="shared" si="1"/>
        <v>1.8717307205817217E-3</v>
      </c>
      <c r="G127" s="71">
        <f>'SC-NR'!A85</f>
        <v>7.1645689261628798</v>
      </c>
      <c r="H127" s="71">
        <f>'SC-NR'!B85</f>
        <v>56.611757463143533</v>
      </c>
      <c r="I127" t="str">
        <f>'SC-NR'!C85</f>
        <v>Single Family</v>
      </c>
      <c r="J127" t="str">
        <f>'SC-NR'!D85</f>
        <v>2016 - LEDGeneral Purpose and Dimmable665 to 1439 lumensANY</v>
      </c>
      <c r="K127" s="42">
        <f>'SC-NR'!E85</f>
        <v>2.6595183365684241</v>
      </c>
      <c r="L127" s="42">
        <f>'SC-NR'!F85</f>
        <v>0</v>
      </c>
      <c r="M127" s="42">
        <f>'SC-NR'!G85</f>
        <v>0</v>
      </c>
      <c r="N127" s="42">
        <f>'SC-NR'!H85</f>
        <v>0</v>
      </c>
      <c r="O127" s="42">
        <f>'SC-NR'!I85</f>
        <v>0</v>
      </c>
      <c r="P127" s="42">
        <f>'SC-NR'!J85</f>
        <v>0</v>
      </c>
      <c r="Q127" s="42">
        <f>'SC-NR'!K85</f>
        <v>0</v>
      </c>
      <c r="R127" s="42">
        <f>'SC-NR'!L85</f>
        <v>0</v>
      </c>
      <c r="S127" s="42">
        <f>'SC-NR'!M85</f>
        <v>0</v>
      </c>
      <c r="T127" s="42">
        <f>'SC-NR'!N85</f>
        <v>0</v>
      </c>
      <c r="U127" s="42">
        <f>'SC-NR'!O85</f>
        <v>0</v>
      </c>
      <c r="V127" s="42">
        <f>'SC-NR'!P85</f>
        <v>0</v>
      </c>
      <c r="W127" s="42">
        <f>'SC-NR'!Q85</f>
        <v>0</v>
      </c>
      <c r="X127" s="42">
        <f>'SC-NR'!R85</f>
        <v>0</v>
      </c>
      <c r="Y127" s="42">
        <f>'SC-NR'!S85</f>
        <v>0</v>
      </c>
      <c r="Z127" s="42">
        <f>'SC-NR'!T85</f>
        <v>0</v>
      </c>
      <c r="AA127" s="42">
        <f>'SC-NR'!U85</f>
        <v>0</v>
      </c>
      <c r="AB127" s="42">
        <f>'SC-NR'!V85</f>
        <v>0</v>
      </c>
      <c r="AC127" s="42">
        <f>'SC-NR'!W85</f>
        <v>0</v>
      </c>
      <c r="AD127" s="42">
        <f>'SC-NR'!X85</f>
        <v>0</v>
      </c>
      <c r="AE127" s="42">
        <f>'SC-NR'!Y85</f>
        <v>12.023181517079864</v>
      </c>
      <c r="AF127" s="479">
        <f t="shared" si="2"/>
        <v>0.5126161213293734</v>
      </c>
      <c r="AG127" s="479">
        <f t="shared" si="3"/>
        <v>0.40771160638614634</v>
      </c>
      <c r="AH127" s="479">
        <f t="shared" si="4"/>
        <v>0.41191862538090729</v>
      </c>
      <c r="AI127" s="479">
        <f t="shared" si="5"/>
        <v>0.33594990527417118</v>
      </c>
      <c r="AJ127" s="479">
        <f t="shared" si="6"/>
        <v>0.3059127238536789</v>
      </c>
      <c r="AK127" s="479">
        <f t="shared" si="7"/>
        <v>0.31433198090283632</v>
      </c>
      <c r="AL127" s="479">
        <f t="shared" si="8"/>
        <v>0.25941516655196784</v>
      </c>
      <c r="AM127" s="479">
        <f t="shared" si="9"/>
        <v>0.2959022859687726</v>
      </c>
      <c r="AN127" s="479">
        <f t="shared" si="10"/>
        <v>0.32583311277992005</v>
      </c>
      <c r="AO127" s="479">
        <f t="shared" si="11"/>
        <v>0.47552515963199937</v>
      </c>
      <c r="AP127" s="479">
        <f t="shared" si="12"/>
        <v>0.48002673562191084</v>
      </c>
      <c r="AQ127" s="479">
        <f t="shared" si="13"/>
        <v>0.52697435137723647</v>
      </c>
      <c r="AR127" s="479"/>
      <c r="AS127" s="479">
        <f t="shared" si="14"/>
        <v>0.26742291054016054</v>
      </c>
      <c r="AT127" s="479">
        <f t="shared" si="15"/>
        <v>0.20552718928496042</v>
      </c>
      <c r="AU127" s="479">
        <f t="shared" si="16"/>
        <v>0.19155858841529055</v>
      </c>
      <c r="AV127" s="479">
        <f t="shared" si="17"/>
        <v>0.18790955897174189</v>
      </c>
      <c r="AW127" s="479">
        <f t="shared" si="18"/>
        <v>0.18256950393500734</v>
      </c>
      <c r="AX127" s="479">
        <f t="shared" si="19"/>
        <v>0.17073459124127832</v>
      </c>
      <c r="AY127" s="479">
        <f t="shared" si="20"/>
        <v>0.19477494183861133</v>
      </c>
      <c r="AZ127" s="479">
        <f t="shared" si="21"/>
        <v>0.17620261737360352</v>
      </c>
      <c r="BA127" s="479">
        <f t="shared" si="22"/>
        <v>0.20422983465407252</v>
      </c>
      <c r="BB127" s="479">
        <f t="shared" si="23"/>
        <v>0.20303236800439955</v>
      </c>
      <c r="BC127" s="479">
        <f t="shared" si="24"/>
        <v>0.25570590402753146</v>
      </c>
      <c r="BD127" s="479">
        <f t="shared" si="25"/>
        <v>0.27278314281730076</v>
      </c>
    </row>
    <row r="128" spans="1:56" ht="15">
      <c r="A128" s="63" t="str">
        <f>VLOOKUP(CONCATENATE($C128," - ",$B128),[2]ACHIEV!$B$12:$C$100,2,FALSE)</f>
        <v>LO20Fast</v>
      </c>
      <c r="B128" s="63" t="str">
        <f>'SC-NR'!$C$7</f>
        <v>NR</v>
      </c>
      <c r="C128" s="63" t="str">
        <f>'SC-NR'!$C$8</f>
        <v>Lighting</v>
      </c>
      <c r="D128" s="63" t="s">
        <v>795</v>
      </c>
      <c r="E128" s="63" t="str">
        <f>'SC-NR'!$A$9</f>
        <v>Lighting</v>
      </c>
      <c r="F128" s="478">
        <f t="shared" si="1"/>
        <v>3.4972440175301935E-3</v>
      </c>
      <c r="G128" s="71">
        <f>'SC-NR'!A86</f>
        <v>13.386672313322151</v>
      </c>
      <c r="H128" s="71">
        <f>'SC-NR'!B86</f>
        <v>91.063681093838966</v>
      </c>
      <c r="I128" t="str">
        <f>'SC-NR'!C86</f>
        <v>Single Family</v>
      </c>
      <c r="J128" t="str">
        <f>'SC-NR'!D86</f>
        <v>2016 - LEDGeneral Purpose and Dimmable1440 to 2600 lumensANY</v>
      </c>
      <c r="K128" s="42">
        <f>'SC-NR'!E86</f>
        <v>0.4954345615412834</v>
      </c>
      <c r="L128" s="42">
        <f>'SC-NR'!F86</f>
        <v>0</v>
      </c>
      <c r="M128" s="42">
        <f>'SC-NR'!G86</f>
        <v>0</v>
      </c>
      <c r="N128" s="42">
        <f>'SC-NR'!H86</f>
        <v>0</v>
      </c>
      <c r="O128" s="42">
        <f>'SC-NR'!I86</f>
        <v>0</v>
      </c>
      <c r="P128" s="42">
        <f>'SC-NR'!J86</f>
        <v>0</v>
      </c>
      <c r="Q128" s="42">
        <f>'SC-NR'!K86</f>
        <v>0</v>
      </c>
      <c r="R128" s="42">
        <f>'SC-NR'!L86</f>
        <v>0</v>
      </c>
      <c r="S128" s="42">
        <f>'SC-NR'!M86</f>
        <v>0</v>
      </c>
      <c r="T128" s="42">
        <f>'SC-NR'!N86</f>
        <v>0</v>
      </c>
      <c r="U128" s="42">
        <f>'SC-NR'!O86</f>
        <v>0</v>
      </c>
      <c r="V128" s="42">
        <f>'SC-NR'!P86</f>
        <v>0</v>
      </c>
      <c r="W128" s="42">
        <f>'SC-NR'!Q86</f>
        <v>0</v>
      </c>
      <c r="X128" s="42">
        <f>'SC-NR'!R86</f>
        <v>0</v>
      </c>
      <c r="Y128" s="42">
        <f>'SC-NR'!S86</f>
        <v>0</v>
      </c>
      <c r="Z128" s="42">
        <f>'SC-NR'!T86</f>
        <v>0</v>
      </c>
      <c r="AA128" s="42">
        <f>'SC-NR'!U86</f>
        <v>0</v>
      </c>
      <c r="AB128" s="42">
        <f>'SC-NR'!V86</f>
        <v>0</v>
      </c>
      <c r="AC128" s="42">
        <f>'SC-NR'!W86</f>
        <v>0</v>
      </c>
      <c r="AD128" s="42">
        <f>'SC-NR'!X86</f>
        <v>0</v>
      </c>
      <c r="AE128" s="42">
        <f>'SC-NR'!Y86</f>
        <v>2.2397663446576019</v>
      </c>
      <c r="AF128" s="479">
        <f t="shared" si="2"/>
        <v>0.95779998901311492</v>
      </c>
      <c r="AG128" s="479">
        <f t="shared" si="3"/>
        <v>0.76179065750890984</v>
      </c>
      <c r="AH128" s="479">
        <f t="shared" si="4"/>
        <v>0.76965128182269515</v>
      </c>
      <c r="AI128" s="479">
        <f t="shared" si="5"/>
        <v>0.62770717149140953</v>
      </c>
      <c r="AJ128" s="479">
        <f t="shared" si="6"/>
        <v>0.57158405940526624</v>
      </c>
      <c r="AK128" s="479">
        <f t="shared" si="7"/>
        <v>0.58731505960921848</v>
      </c>
      <c r="AL128" s="479">
        <f t="shared" si="8"/>
        <v>0.48470548103121619</v>
      </c>
      <c r="AM128" s="479">
        <f t="shared" si="9"/>
        <v>0.552880009928018</v>
      </c>
      <c r="AN128" s="479">
        <f t="shared" si="10"/>
        <v>0.60880440324699125</v>
      </c>
      <c r="AO128" s="479">
        <f t="shared" si="11"/>
        <v>0.888497208183473</v>
      </c>
      <c r="AP128" s="479">
        <f t="shared" si="12"/>
        <v>0.89690819889226614</v>
      </c>
      <c r="AQ128" s="479">
        <f t="shared" si="13"/>
        <v>0.98462769108855308</v>
      </c>
      <c r="AR128" s="479"/>
      <c r="AS128" s="479">
        <f t="shared" si="14"/>
        <v>0.49966758773207559</v>
      </c>
      <c r="AT128" s="479">
        <f t="shared" si="15"/>
        <v>0.38401823791364159</v>
      </c>
      <c r="AU128" s="479">
        <f t="shared" si="16"/>
        <v>0.35791854029819764</v>
      </c>
      <c r="AV128" s="479">
        <f t="shared" si="17"/>
        <v>0.35110049417066713</v>
      </c>
      <c r="AW128" s="479">
        <f t="shared" si="18"/>
        <v>0.34112284336590948</v>
      </c>
      <c r="AX128" s="479">
        <f t="shared" si="19"/>
        <v>0.31900984540043698</v>
      </c>
      <c r="AY128" s="479">
        <f t="shared" si="20"/>
        <v>0.36392815089243707</v>
      </c>
      <c r="AZ128" s="479">
        <f t="shared" si="21"/>
        <v>0.32922660439717438</v>
      </c>
      <c r="BA128" s="479">
        <f t="shared" si="22"/>
        <v>0.38159418958681945</v>
      </c>
      <c r="BB128" s="479">
        <f t="shared" si="23"/>
        <v>0.37935677742559831</v>
      </c>
      <c r="BC128" s="479">
        <f t="shared" si="24"/>
        <v>0.47777489212203672</v>
      </c>
      <c r="BD128" s="479">
        <f t="shared" si="25"/>
        <v>0.50968293879602289</v>
      </c>
    </row>
    <row r="129" spans="1:56" ht="15">
      <c r="A129" s="63" t="str">
        <f>VLOOKUP(CONCATENATE($C129," - ",$B129),[2]ACHIEV!$B$12:$C$100,2,FALSE)</f>
        <v>LO20Fast</v>
      </c>
      <c r="B129" s="63" t="str">
        <f>'SC-NR'!$C$7</f>
        <v>NR</v>
      </c>
      <c r="C129" s="63" t="str">
        <f>'SC-NR'!$C$8</f>
        <v>Lighting</v>
      </c>
      <c r="D129" s="63" t="s">
        <v>795</v>
      </c>
      <c r="E129" s="63" t="str">
        <f>'SC-NR'!$A$9</f>
        <v>Lighting</v>
      </c>
      <c r="F129" s="478">
        <f t="shared" si="1"/>
        <v>3.7448609823725787E-3</v>
      </c>
      <c r="G129" s="71">
        <f>'SC-NR'!A87</f>
        <v>14.33449498481688</v>
      </c>
      <c r="H129" s="71">
        <f>'SC-NR'!B87</f>
        <v>-37.397069706053522</v>
      </c>
      <c r="I129" t="str">
        <f>'SC-NR'!C87</f>
        <v>Single Family</v>
      </c>
      <c r="J129" t="str">
        <f>'SC-NR'!D87</f>
        <v>2016 - LEDGlobe250 to 664 lumensANY</v>
      </c>
      <c r="K129" s="42">
        <f>'SC-NR'!E87</f>
        <v>0.45341674857842229</v>
      </c>
      <c r="L129" s="42">
        <f>'SC-NR'!F87</f>
        <v>0</v>
      </c>
      <c r="M129" s="42">
        <f>'SC-NR'!G87</f>
        <v>0</v>
      </c>
      <c r="N129" s="42">
        <f>'SC-NR'!H87</f>
        <v>0</v>
      </c>
      <c r="O129" s="42">
        <f>'SC-NR'!I87</f>
        <v>0</v>
      </c>
      <c r="P129" s="42">
        <f>'SC-NR'!J87</f>
        <v>0</v>
      </c>
      <c r="Q129" s="42">
        <f>'SC-NR'!K87</f>
        <v>0</v>
      </c>
      <c r="R129" s="42">
        <f>'SC-NR'!L87</f>
        <v>0</v>
      </c>
      <c r="S129" s="42">
        <f>'SC-NR'!M87</f>
        <v>0</v>
      </c>
      <c r="T129" s="42">
        <f>'SC-NR'!N87</f>
        <v>0</v>
      </c>
      <c r="U129" s="42">
        <f>'SC-NR'!O87</f>
        <v>0</v>
      </c>
      <c r="V129" s="42">
        <f>'SC-NR'!P87</f>
        <v>0</v>
      </c>
      <c r="W129" s="42">
        <f>'SC-NR'!Q87</f>
        <v>0</v>
      </c>
      <c r="X129" s="42">
        <f>'SC-NR'!R87</f>
        <v>0</v>
      </c>
      <c r="Y129" s="42">
        <f>'SC-NR'!S87</f>
        <v>0</v>
      </c>
      <c r="Z129" s="42">
        <f>'SC-NR'!T87</f>
        <v>0</v>
      </c>
      <c r="AA129" s="42">
        <f>'SC-NR'!U87</f>
        <v>0</v>
      </c>
      <c r="AB129" s="42">
        <f>'SC-NR'!V87</f>
        <v>0</v>
      </c>
      <c r="AC129" s="42">
        <f>'SC-NR'!W87</f>
        <v>0</v>
      </c>
      <c r="AD129" s="42">
        <f>'SC-NR'!X87</f>
        <v>0</v>
      </c>
      <c r="AE129" s="42">
        <f>'SC-NR'!Y87</f>
        <v>2.0498117257114377</v>
      </c>
      <c r="AF129" s="479">
        <f t="shared" si="2"/>
        <v>1.0256155389194634</v>
      </c>
      <c r="AG129" s="479">
        <f t="shared" si="3"/>
        <v>0.81572806922856911</v>
      </c>
      <c r="AH129" s="479">
        <f t="shared" si="4"/>
        <v>0.82414525291441687</v>
      </c>
      <c r="AI129" s="479">
        <f t="shared" si="5"/>
        <v>0.67215100893466262</v>
      </c>
      <c r="AJ129" s="479">
        <f t="shared" si="6"/>
        <v>0.61205418652043819</v>
      </c>
      <c r="AK129" s="479">
        <f t="shared" si="7"/>
        <v>0.62889899591383003</v>
      </c>
      <c r="AL129" s="479">
        <f t="shared" si="8"/>
        <v>0.51902430449729475</v>
      </c>
      <c r="AM129" s="479">
        <f t="shared" si="9"/>
        <v>0.59202582568870554</v>
      </c>
      <c r="AN129" s="479">
        <f t="shared" si="10"/>
        <v>0.65190985936016288</v>
      </c>
      <c r="AO129" s="479">
        <f t="shared" si="11"/>
        <v>0.95140588165850748</v>
      </c>
      <c r="AP129" s="479">
        <f t="shared" si="12"/>
        <v>0.96041239958249891</v>
      </c>
      <c r="AQ129" s="479">
        <f t="shared" si="13"/>
        <v>1.0543427350331549</v>
      </c>
      <c r="AR129" s="479"/>
      <c r="AS129" s="479">
        <f t="shared" si="14"/>
        <v>0.53504578006985537</v>
      </c>
      <c r="AT129" s="479">
        <f t="shared" si="15"/>
        <v>0.4112080565364355</v>
      </c>
      <c r="AU129" s="479">
        <f t="shared" si="16"/>
        <v>0.38326041011489015</v>
      </c>
      <c r="AV129" s="479">
        <f t="shared" si="17"/>
        <v>0.37595962275460831</v>
      </c>
      <c r="AW129" s="479">
        <f t="shared" si="18"/>
        <v>0.36527551978461797</v>
      </c>
      <c r="AX129" s="479">
        <f t="shared" si="19"/>
        <v>0.34159684512849148</v>
      </c>
      <c r="AY129" s="479">
        <f t="shared" si="20"/>
        <v>0.38969552191172535</v>
      </c>
      <c r="AZ129" s="479">
        <f t="shared" si="21"/>
        <v>0.35253698597694333</v>
      </c>
      <c r="BA129" s="479">
        <f t="shared" si="22"/>
        <v>0.40861237720922838</v>
      </c>
      <c r="BB129" s="479">
        <f t="shared" si="23"/>
        <v>0.40621654853326428</v>
      </c>
      <c r="BC129" s="479">
        <f t="shared" si="24"/>
        <v>0.51160300593741348</v>
      </c>
      <c r="BD129" s="479">
        <f t="shared" si="25"/>
        <v>0.54577025260769885</v>
      </c>
    </row>
    <row r="130" spans="1:56" ht="15">
      <c r="A130" s="63" t="str">
        <f>VLOOKUP(CONCATENATE($C130," - ",$B130),[2]ACHIEV!$B$12:$C$100,2,FALSE)</f>
        <v>LO20Fast</v>
      </c>
      <c r="B130" s="63" t="str">
        <f>'SC-NR'!$C$7</f>
        <v>NR</v>
      </c>
      <c r="C130" s="63" t="str">
        <f>'SC-NR'!$C$8</f>
        <v>Lighting</v>
      </c>
      <c r="D130" s="63" t="s">
        <v>795</v>
      </c>
      <c r="E130" s="63" t="str">
        <f>'SC-NR'!$A$9</f>
        <v>Lighting</v>
      </c>
      <c r="F130" s="478">
        <f t="shared" si="1"/>
        <v>2.5791399031027257E-3</v>
      </c>
      <c r="G130" s="71">
        <f>'SC-NR'!A88</f>
        <v>9.8723739493112301</v>
      </c>
      <c r="H130" s="71">
        <f>'SC-NR'!B88</f>
        <v>-94.996719014918995</v>
      </c>
      <c r="I130" t="str">
        <f>'SC-NR'!C88</f>
        <v>Single Family</v>
      </c>
      <c r="J130" t="str">
        <f>'SC-NR'!D88</f>
        <v>2016 - LEDGlobe665 to 1439 lumensANY</v>
      </c>
      <c r="K130" s="42">
        <f>'SC-NR'!E88</f>
        <v>0.19041711321643523</v>
      </c>
      <c r="L130" s="42">
        <f>'SC-NR'!F88</f>
        <v>0</v>
      </c>
      <c r="M130" s="42">
        <f>'SC-NR'!G88</f>
        <v>0</v>
      </c>
      <c r="N130" s="42">
        <f>'SC-NR'!H88</f>
        <v>0</v>
      </c>
      <c r="O130" s="42">
        <f>'SC-NR'!I88</f>
        <v>0</v>
      </c>
      <c r="P130" s="42">
        <f>'SC-NR'!J88</f>
        <v>0</v>
      </c>
      <c r="Q130" s="42">
        <f>'SC-NR'!K88</f>
        <v>0</v>
      </c>
      <c r="R130" s="42">
        <f>'SC-NR'!L88</f>
        <v>0</v>
      </c>
      <c r="S130" s="42">
        <f>'SC-NR'!M88</f>
        <v>0</v>
      </c>
      <c r="T130" s="42">
        <f>'SC-NR'!N88</f>
        <v>0</v>
      </c>
      <c r="U130" s="42">
        <f>'SC-NR'!O88</f>
        <v>0</v>
      </c>
      <c r="V130" s="42">
        <f>'SC-NR'!P88</f>
        <v>0</v>
      </c>
      <c r="W130" s="42">
        <f>'SC-NR'!Q88</f>
        <v>0</v>
      </c>
      <c r="X130" s="42">
        <f>'SC-NR'!R88</f>
        <v>0</v>
      </c>
      <c r="Y130" s="42">
        <f>'SC-NR'!S88</f>
        <v>0</v>
      </c>
      <c r="Z130" s="42">
        <f>'SC-NR'!T88</f>
        <v>0</v>
      </c>
      <c r="AA130" s="42">
        <f>'SC-NR'!U88</f>
        <v>0</v>
      </c>
      <c r="AB130" s="42">
        <f>'SC-NR'!V88</f>
        <v>0</v>
      </c>
      <c r="AC130" s="42">
        <f>'SC-NR'!W88</f>
        <v>0</v>
      </c>
      <c r="AD130" s="42">
        <f>'SC-NR'!X88</f>
        <v>0</v>
      </c>
      <c r="AE130" s="42">
        <f>'SC-NR'!Y88</f>
        <v>0.86083990648982911</v>
      </c>
      <c r="AF130" s="479">
        <f t="shared" si="2"/>
        <v>0.70635625037101069</v>
      </c>
      <c r="AG130" s="479">
        <f t="shared" si="3"/>
        <v>0.5618037153666039</v>
      </c>
      <c r="AH130" s="479">
        <f t="shared" si="4"/>
        <v>0.5676007514697069</v>
      </c>
      <c r="AI130" s="479">
        <f t="shared" si="5"/>
        <v>0.46292011805357608</v>
      </c>
      <c r="AJ130" s="479">
        <f t="shared" si="6"/>
        <v>0.42153056755549467</v>
      </c>
      <c r="AK130" s="479">
        <f t="shared" si="7"/>
        <v>0.43313183133301719</v>
      </c>
      <c r="AL130" s="479">
        <f t="shared" si="8"/>
        <v>0.35745954274676744</v>
      </c>
      <c r="AM130" s="479">
        <f t="shared" si="9"/>
        <v>0.40773674587345871</v>
      </c>
      <c r="AN130" s="479">
        <f t="shared" si="10"/>
        <v>0.44897974568782045</v>
      </c>
      <c r="AO130" s="479">
        <f t="shared" si="11"/>
        <v>0.65524698646555923</v>
      </c>
      <c r="AP130" s="479">
        <f t="shared" si="12"/>
        <v>0.66144990557927741</v>
      </c>
      <c r="AQ130" s="479">
        <f t="shared" si="13"/>
        <v>0.72614108568261104</v>
      </c>
      <c r="AR130" s="479"/>
      <c r="AS130" s="479">
        <f t="shared" si="14"/>
        <v>0.36849376461782796</v>
      </c>
      <c r="AT130" s="479">
        <f t="shared" si="15"/>
        <v>0.28320493393015522</v>
      </c>
      <c r="AU130" s="479">
        <f t="shared" si="16"/>
        <v>0.26395698576254489</v>
      </c>
      <c r="AV130" s="479">
        <f t="shared" si="17"/>
        <v>0.25892882795011757</v>
      </c>
      <c r="AW130" s="479">
        <f t="shared" si="18"/>
        <v>0.25157053176009392</v>
      </c>
      <c r="AX130" s="479">
        <f t="shared" si="19"/>
        <v>0.2352626861696519</v>
      </c>
      <c r="AY130" s="479">
        <f t="shared" si="20"/>
        <v>0.26838894029817884</v>
      </c>
      <c r="AZ130" s="479">
        <f t="shared" si="21"/>
        <v>0.24279731934845944</v>
      </c>
      <c r="BA130" s="479">
        <f t="shared" si="22"/>
        <v>0.28141725204824536</v>
      </c>
      <c r="BB130" s="479">
        <f t="shared" si="23"/>
        <v>0.27976721019935885</v>
      </c>
      <c r="BC130" s="479">
        <f t="shared" si="24"/>
        <v>0.35234838712878186</v>
      </c>
      <c r="BD130" s="479">
        <f t="shared" si="25"/>
        <v>0.37587986391290973</v>
      </c>
    </row>
    <row r="131" spans="1:56" ht="15">
      <c r="A131" s="63" t="str">
        <f>VLOOKUP(CONCATENATE($C131," - ",$B131),[2]ACHIEV!$B$12:$C$100,2,FALSE)</f>
        <v>LO20Fast</v>
      </c>
      <c r="B131" s="63" t="str">
        <f>'SC-NR'!$C$7</f>
        <v>NR</v>
      </c>
      <c r="C131" s="63" t="str">
        <f>'SC-NR'!$C$8</f>
        <v>Lighting</v>
      </c>
      <c r="D131" s="63" t="s">
        <v>795</v>
      </c>
      <c r="E131" s="63" t="str">
        <f>'SC-NR'!$A$9</f>
        <v>Lighting</v>
      </c>
      <c r="F131" s="478">
        <f t="shared" si="1"/>
        <v>2.7904432298357131E-3</v>
      </c>
      <c r="G131" s="71">
        <f>'SC-NR'!A89</f>
        <v>10.681196090262945</v>
      </c>
      <c r="H131" s="71">
        <f>'SC-NR'!B89</f>
        <v>-99.87829920820603</v>
      </c>
      <c r="I131" t="str">
        <f>'SC-NR'!C89</f>
        <v>Single Family</v>
      </c>
      <c r="J131" t="str">
        <f>'SC-NR'!D89</f>
        <v>2016 - LEDGlobe1440 to 2600 lumensANY</v>
      </c>
      <c r="K131" s="42">
        <f>'SC-NR'!E89</f>
        <v>1.5523592159829335E-2</v>
      </c>
      <c r="L131" s="42">
        <f>'SC-NR'!F89</f>
        <v>0</v>
      </c>
      <c r="M131" s="42">
        <f>'SC-NR'!G89</f>
        <v>0</v>
      </c>
      <c r="N131" s="42">
        <f>'SC-NR'!H89</f>
        <v>0</v>
      </c>
      <c r="O131" s="42">
        <f>'SC-NR'!I89</f>
        <v>0</v>
      </c>
      <c r="P131" s="42">
        <f>'SC-NR'!J89</f>
        <v>0</v>
      </c>
      <c r="Q131" s="42">
        <f>'SC-NR'!K89</f>
        <v>0</v>
      </c>
      <c r="R131" s="42">
        <f>'SC-NR'!L89</f>
        <v>0</v>
      </c>
      <c r="S131" s="42">
        <f>'SC-NR'!M89</f>
        <v>0</v>
      </c>
      <c r="T131" s="42">
        <f>'SC-NR'!N89</f>
        <v>0</v>
      </c>
      <c r="U131" s="42">
        <f>'SC-NR'!O89</f>
        <v>0</v>
      </c>
      <c r="V131" s="42">
        <f>'SC-NR'!P89</f>
        <v>0</v>
      </c>
      <c r="W131" s="42">
        <f>'SC-NR'!Q89</f>
        <v>0</v>
      </c>
      <c r="X131" s="42">
        <f>'SC-NR'!R89</f>
        <v>0</v>
      </c>
      <c r="Y131" s="42">
        <f>'SC-NR'!S89</f>
        <v>0</v>
      </c>
      <c r="Z131" s="42">
        <f>'SC-NR'!T89</f>
        <v>0</v>
      </c>
      <c r="AA131" s="42">
        <f>'SC-NR'!U89</f>
        <v>0</v>
      </c>
      <c r="AB131" s="42">
        <f>'SC-NR'!V89</f>
        <v>0</v>
      </c>
      <c r="AC131" s="42">
        <f>'SC-NR'!W89</f>
        <v>0</v>
      </c>
      <c r="AD131" s="42">
        <f>'SC-NR'!X89</f>
        <v>0</v>
      </c>
      <c r="AE131" s="42">
        <f>'SC-NR'!Y89</f>
        <v>7.0179236506250714E-2</v>
      </c>
      <c r="AF131" s="479">
        <f t="shared" si="2"/>
        <v>0.7642264827622347</v>
      </c>
      <c r="AG131" s="479">
        <f t="shared" si="3"/>
        <v>0.60783107273682868</v>
      </c>
      <c r="AH131" s="479">
        <f t="shared" si="4"/>
        <v>0.61410304740852306</v>
      </c>
      <c r="AI131" s="479">
        <f t="shared" si="5"/>
        <v>0.50084615721053449</v>
      </c>
      <c r="AJ131" s="479">
        <f t="shared" si="6"/>
        <v>0.45606565079660444</v>
      </c>
      <c r="AK131" s="479">
        <f t="shared" si="7"/>
        <v>0.46861738090111776</v>
      </c>
      <c r="AL131" s="479">
        <f t="shared" si="8"/>
        <v>0.38674542617789825</v>
      </c>
      <c r="AM131" s="479">
        <f t="shared" si="9"/>
        <v>0.44114173128378797</v>
      </c>
      <c r="AN131" s="479">
        <f t="shared" si="10"/>
        <v>0.48576368043499596</v>
      </c>
      <c r="AO131" s="479">
        <f t="shared" si="11"/>
        <v>0.70892994794639019</v>
      </c>
      <c r="AP131" s="479">
        <f t="shared" si="12"/>
        <v>0.71564105874160944</v>
      </c>
      <c r="AQ131" s="479">
        <f t="shared" si="13"/>
        <v>0.78563224663035736</v>
      </c>
      <c r="AR131" s="479"/>
      <c r="AS131" s="479">
        <f t="shared" si="14"/>
        <v>0.39868365786496762</v>
      </c>
      <c r="AT131" s="479">
        <f t="shared" si="15"/>
        <v>0.30640729864664351</v>
      </c>
      <c r="AU131" s="479">
        <f t="shared" si="16"/>
        <v>0.28558240791934209</v>
      </c>
      <c r="AV131" s="479">
        <f t="shared" si="17"/>
        <v>0.28014230406559065</v>
      </c>
      <c r="AW131" s="479">
        <f t="shared" si="18"/>
        <v>0.27218115866131221</v>
      </c>
      <c r="AX131" s="479">
        <f t="shared" si="19"/>
        <v>0.25453724672527844</v>
      </c>
      <c r="AY131" s="479">
        <f t="shared" si="20"/>
        <v>0.29037746285762667</v>
      </c>
      <c r="AZ131" s="479">
        <f t="shared" si="21"/>
        <v>0.26268917602457925</v>
      </c>
      <c r="BA131" s="479">
        <f t="shared" si="22"/>
        <v>0.30447315587351431</v>
      </c>
      <c r="BB131" s="479">
        <f t="shared" si="23"/>
        <v>0.30268792968216585</v>
      </c>
      <c r="BC131" s="479">
        <f t="shared" si="24"/>
        <v>0.3812155246887674</v>
      </c>
      <c r="BD131" s="479">
        <f t="shared" si="25"/>
        <v>0.4066748842222741</v>
      </c>
    </row>
    <row r="132" spans="1:56" ht="15">
      <c r="A132" s="63" t="str">
        <f>VLOOKUP(CONCATENATE($C132," - ",$B132),[2]ACHIEV!$B$12:$C$100,2,FALSE)</f>
        <v>LO20Fast</v>
      </c>
      <c r="B132" s="63" t="str">
        <f>'SC-NR'!$C$7</f>
        <v>NR</v>
      </c>
      <c r="C132" s="63" t="str">
        <f>'SC-NR'!$C$8</f>
        <v>Lighting</v>
      </c>
      <c r="D132" s="63" t="s">
        <v>795</v>
      </c>
      <c r="E132" s="63" t="str">
        <f>'SC-NR'!$A$9</f>
        <v>Lighting</v>
      </c>
      <c r="F132" s="478">
        <f t="shared" si="1"/>
        <v>5.3228772760490119E-3</v>
      </c>
      <c r="G132" s="71">
        <f>'SC-NR'!A90</f>
        <v>20.374790406766845</v>
      </c>
      <c r="H132" s="71">
        <f>'SC-NR'!B90</f>
        <v>-38.377975660533203</v>
      </c>
      <c r="I132" t="str">
        <f>'SC-NR'!C90</f>
        <v>Single Family</v>
      </c>
      <c r="J132" t="str">
        <f>'SC-NR'!D90</f>
        <v>2016 - LEDReflectors and Outdoor250 to 664 lumensANY</v>
      </c>
      <c r="K132" s="42">
        <f>'SC-NR'!E90</f>
        <v>0.20499503397954877</v>
      </c>
      <c r="L132" s="42">
        <f>'SC-NR'!F90</f>
        <v>0</v>
      </c>
      <c r="M132" s="42">
        <f>'SC-NR'!G90</f>
        <v>0</v>
      </c>
      <c r="N132" s="42">
        <f>'SC-NR'!H90</f>
        <v>0</v>
      </c>
      <c r="O132" s="42">
        <f>'SC-NR'!I90</f>
        <v>0</v>
      </c>
      <c r="P132" s="42">
        <f>'SC-NR'!J90</f>
        <v>0</v>
      </c>
      <c r="Q132" s="42">
        <f>'SC-NR'!K90</f>
        <v>0</v>
      </c>
      <c r="R132" s="42">
        <f>'SC-NR'!L90</f>
        <v>0</v>
      </c>
      <c r="S132" s="42">
        <f>'SC-NR'!M90</f>
        <v>0</v>
      </c>
      <c r="T132" s="42">
        <f>'SC-NR'!N90</f>
        <v>0</v>
      </c>
      <c r="U132" s="42">
        <f>'SC-NR'!O90</f>
        <v>0</v>
      </c>
      <c r="V132" s="42">
        <f>'SC-NR'!P90</f>
        <v>0</v>
      </c>
      <c r="W132" s="42">
        <f>'SC-NR'!Q90</f>
        <v>0</v>
      </c>
      <c r="X132" s="42">
        <f>'SC-NR'!R90</f>
        <v>0</v>
      </c>
      <c r="Y132" s="42">
        <f>'SC-NR'!S90</f>
        <v>0</v>
      </c>
      <c r="Z132" s="42">
        <f>'SC-NR'!T90</f>
        <v>0</v>
      </c>
      <c r="AA132" s="42">
        <f>'SC-NR'!U90</f>
        <v>0</v>
      </c>
      <c r="AB132" s="42">
        <f>'SC-NR'!V90</f>
        <v>0</v>
      </c>
      <c r="AC132" s="42">
        <f>'SC-NR'!W90</f>
        <v>0</v>
      </c>
      <c r="AD132" s="42">
        <f>'SC-NR'!X90</f>
        <v>0</v>
      </c>
      <c r="AE132" s="42">
        <f>'SC-NR'!Y90</f>
        <v>0.92674394071531829</v>
      </c>
      <c r="AF132" s="479">
        <f t="shared" si="2"/>
        <v>1.4577912696290392</v>
      </c>
      <c r="AG132" s="479">
        <f t="shared" si="3"/>
        <v>1.1594610383590722</v>
      </c>
      <c r="AH132" s="479">
        <f t="shared" si="4"/>
        <v>1.1714250701297106</v>
      </c>
      <c r="AI132" s="479">
        <f t="shared" si="5"/>
        <v>0.95538321672624815</v>
      </c>
      <c r="AJ132" s="479">
        <f t="shared" si="6"/>
        <v>0.86996268659250697</v>
      </c>
      <c r="AK132" s="479">
        <f t="shared" si="7"/>
        <v>0.89390559223346777</v>
      </c>
      <c r="AL132" s="479">
        <f t="shared" si="8"/>
        <v>0.73773170462938431</v>
      </c>
      <c r="AM132" s="479">
        <f t="shared" si="9"/>
        <v>0.84149473885037285</v>
      </c>
      <c r="AN132" s="479">
        <f t="shared" si="10"/>
        <v>0.92661281493607173</v>
      </c>
      <c r="AO132" s="479">
        <f t="shared" si="11"/>
        <v>1.3523110127764957</v>
      </c>
      <c r="AP132" s="479">
        <f t="shared" si="12"/>
        <v>1.3651127135124117</v>
      </c>
      <c r="AQ132" s="479">
        <f t="shared" si="13"/>
        <v>1.4986235835968849</v>
      </c>
      <c r="AR132" s="479"/>
      <c r="AS132" s="479">
        <f t="shared" si="14"/>
        <v>0.76050433855501731</v>
      </c>
      <c r="AT132" s="479">
        <f t="shared" si="15"/>
        <v>0.58448365110721312</v>
      </c>
      <c r="AU132" s="479">
        <f t="shared" si="16"/>
        <v>0.54475937489067727</v>
      </c>
      <c r="AV132" s="479">
        <f t="shared" si="17"/>
        <v>0.53438216854837683</v>
      </c>
      <c r="AW132" s="479">
        <f t="shared" si="18"/>
        <v>0.51919597894571268</v>
      </c>
      <c r="AX132" s="479">
        <f t="shared" si="19"/>
        <v>0.48553954153793449</v>
      </c>
      <c r="AY132" s="479">
        <f t="shared" si="20"/>
        <v>0.55390612573495235</v>
      </c>
      <c r="AZ132" s="479">
        <f t="shared" si="21"/>
        <v>0.5010896587233542</v>
      </c>
      <c r="BA132" s="479">
        <f t="shared" si="22"/>
        <v>0.58079419973058355</v>
      </c>
      <c r="BB132" s="479">
        <f t="shared" si="23"/>
        <v>0.57738881243406592</v>
      </c>
      <c r="BC132" s="479">
        <f t="shared" si="24"/>
        <v>0.72718320586024165</v>
      </c>
      <c r="BD132" s="479">
        <f t="shared" si="25"/>
        <v>0.77574790872704857</v>
      </c>
    </row>
    <row r="133" spans="1:56" ht="15">
      <c r="A133" s="63" t="str">
        <f>VLOOKUP(CONCATENATE($C133," - ",$B133),[2]ACHIEV!$B$12:$C$100,2,FALSE)</f>
        <v>LO20Fast</v>
      </c>
      <c r="B133" s="63" t="str">
        <f>'SC-NR'!$C$7</f>
        <v>NR</v>
      </c>
      <c r="C133" s="63" t="str">
        <f>'SC-NR'!$C$8</f>
        <v>Lighting</v>
      </c>
      <c r="D133" s="63" t="s">
        <v>795</v>
      </c>
      <c r="E133" s="63" t="str">
        <f>'SC-NR'!$A$9</f>
        <v>Lighting</v>
      </c>
      <c r="F133" s="478">
        <f t="shared" si="1"/>
        <v>4.0588070052657264E-3</v>
      </c>
      <c r="G133" s="71">
        <f>'SC-NR'!A91</f>
        <v>15.536210538971808</v>
      </c>
      <c r="H133" s="71">
        <f>'SC-NR'!B91</f>
        <v>-47.72588478334999</v>
      </c>
      <c r="I133" t="str">
        <f>'SC-NR'!C91</f>
        <v>Single Family</v>
      </c>
      <c r="J133" t="str">
        <f>'SC-NR'!D91</f>
        <v>2016 - LEDReflectors and Outdoor665 to 1439 lumensANY</v>
      </c>
      <c r="K133" s="42">
        <f>'SC-NR'!E91</f>
        <v>1.5794965609915845</v>
      </c>
      <c r="L133" s="42">
        <f>'SC-NR'!F91</f>
        <v>0</v>
      </c>
      <c r="M133" s="42">
        <f>'SC-NR'!G91</f>
        <v>0</v>
      </c>
      <c r="N133" s="42">
        <f>'SC-NR'!H91</f>
        <v>0</v>
      </c>
      <c r="O133" s="42">
        <f>'SC-NR'!I91</f>
        <v>0</v>
      </c>
      <c r="P133" s="42">
        <f>'SC-NR'!J91</f>
        <v>0</v>
      </c>
      <c r="Q133" s="42">
        <f>'SC-NR'!K91</f>
        <v>0</v>
      </c>
      <c r="R133" s="42">
        <f>'SC-NR'!L91</f>
        <v>0</v>
      </c>
      <c r="S133" s="42">
        <f>'SC-NR'!M91</f>
        <v>0</v>
      </c>
      <c r="T133" s="42">
        <f>'SC-NR'!N91</f>
        <v>0</v>
      </c>
      <c r="U133" s="42">
        <f>'SC-NR'!O91</f>
        <v>0</v>
      </c>
      <c r="V133" s="42">
        <f>'SC-NR'!P91</f>
        <v>0</v>
      </c>
      <c r="W133" s="42">
        <f>'SC-NR'!Q91</f>
        <v>0</v>
      </c>
      <c r="X133" s="42">
        <f>'SC-NR'!R91</f>
        <v>0</v>
      </c>
      <c r="Y133" s="42">
        <f>'SC-NR'!S91</f>
        <v>0</v>
      </c>
      <c r="Z133" s="42">
        <f>'SC-NR'!T91</f>
        <v>0</v>
      </c>
      <c r="AA133" s="42">
        <f>'SC-NR'!U91</f>
        <v>0</v>
      </c>
      <c r="AB133" s="42">
        <f>'SC-NR'!V91</f>
        <v>0</v>
      </c>
      <c r="AC133" s="42">
        <f>'SC-NR'!W91</f>
        <v>0</v>
      </c>
      <c r="AD133" s="42">
        <f>'SC-NR'!X91</f>
        <v>0</v>
      </c>
      <c r="AE133" s="42">
        <f>'SC-NR'!Y91</f>
        <v>7.1406064764752708</v>
      </c>
      <c r="AF133" s="479">
        <f t="shared" si="2"/>
        <v>1.1115968132516232</v>
      </c>
      <c r="AG133" s="479">
        <f t="shared" si="3"/>
        <v>0.88411367400858021</v>
      </c>
      <c r="AH133" s="479">
        <f t="shared" si="4"/>
        <v>0.89323650240449115</v>
      </c>
      <c r="AI133" s="479">
        <f t="shared" si="5"/>
        <v>0.72849999946647181</v>
      </c>
      <c r="AJ133" s="479">
        <f t="shared" si="6"/>
        <v>0.66336503051642903</v>
      </c>
      <c r="AK133" s="479">
        <f t="shared" si="7"/>
        <v>0.68162200472457402</v>
      </c>
      <c r="AL133" s="479">
        <f t="shared" si="8"/>
        <v>0.5625360975782151</v>
      </c>
      <c r="AM133" s="479">
        <f t="shared" si="9"/>
        <v>0.64165761557353207</v>
      </c>
      <c r="AN133" s="479">
        <f t="shared" si="10"/>
        <v>0.70656195688643419</v>
      </c>
      <c r="AO133" s="479">
        <f t="shared" si="11"/>
        <v>1.0311658765180765</v>
      </c>
      <c r="AP133" s="479">
        <f t="shared" si="12"/>
        <v>1.0409274452959347</v>
      </c>
      <c r="AQ133" s="479">
        <f t="shared" si="13"/>
        <v>1.1427323201173605</v>
      </c>
      <c r="AR133" s="479"/>
      <c r="AS133" s="479">
        <f t="shared" si="14"/>
        <v>0.57990071474149463</v>
      </c>
      <c r="AT133" s="479">
        <f t="shared" si="15"/>
        <v>0.44568120107742304</v>
      </c>
      <c r="AU133" s="479">
        <f t="shared" si="16"/>
        <v>0.41539059653685312</v>
      </c>
      <c r="AV133" s="479">
        <f t="shared" si="17"/>
        <v>0.40747775624148563</v>
      </c>
      <c r="AW133" s="479">
        <f t="shared" si="18"/>
        <v>0.39589796404527355</v>
      </c>
      <c r="AX133" s="479">
        <f t="shared" si="19"/>
        <v>0.3702342155050527</v>
      </c>
      <c r="AY133" s="479">
        <f t="shared" si="20"/>
        <v>0.42236518837446929</v>
      </c>
      <c r="AZ133" s="479">
        <f t="shared" si="21"/>
        <v>0.38209151021460364</v>
      </c>
      <c r="BA133" s="479">
        <f t="shared" si="22"/>
        <v>0.44286791602190761</v>
      </c>
      <c r="BB133" s="479">
        <f t="shared" si="23"/>
        <v>0.44027123586229888</v>
      </c>
      <c r="BC133" s="479">
        <f t="shared" si="24"/>
        <v>0.55449264316834523</v>
      </c>
      <c r="BD133" s="479">
        <f t="shared" si="25"/>
        <v>0.59152426084087517</v>
      </c>
    </row>
    <row r="134" spans="1:56" ht="15">
      <c r="A134" s="63" t="str">
        <f>VLOOKUP(CONCATENATE($C134," - ",$B134),[2]ACHIEV!$B$12:$C$100,2,FALSE)</f>
        <v>LO20Fast</v>
      </c>
      <c r="B134" s="63" t="str">
        <f>'SC-NR'!$C$7</f>
        <v>NR</v>
      </c>
      <c r="C134" s="63" t="str">
        <f>'SC-NR'!$C$8</f>
        <v>Lighting</v>
      </c>
      <c r="D134" s="63" t="s">
        <v>795</v>
      </c>
      <c r="E134" s="63" t="str">
        <f>'SC-NR'!$A$9</f>
        <v>Lighting</v>
      </c>
      <c r="F134" s="478">
        <f t="shared" si="1"/>
        <v>2.1728858656963793E-2</v>
      </c>
      <c r="G134" s="71">
        <f>'SC-NR'!A92</f>
        <v>83.173238448682625</v>
      </c>
      <c r="H134" s="71">
        <f>'SC-NR'!B92</f>
        <v>-27.334459272113147</v>
      </c>
      <c r="I134" t="str">
        <f>'SC-NR'!C92</f>
        <v>Single Family</v>
      </c>
      <c r="J134" t="str">
        <f>'SC-NR'!D92</f>
        <v>2016 - LEDReflectors and Outdoor1440 to 2600 lumensANY</v>
      </c>
      <c r="K134" s="42">
        <f>'SC-NR'!E92</f>
        <v>0.69487900140970071</v>
      </c>
      <c r="L134" s="42">
        <f>'SC-NR'!F92</f>
        <v>0</v>
      </c>
      <c r="M134" s="42">
        <f>'SC-NR'!G92</f>
        <v>0</v>
      </c>
      <c r="N134" s="42">
        <f>'SC-NR'!H92</f>
        <v>0</v>
      </c>
      <c r="O134" s="42">
        <f>'SC-NR'!I92</f>
        <v>0</v>
      </c>
      <c r="P134" s="42">
        <f>'SC-NR'!J92</f>
        <v>0</v>
      </c>
      <c r="Q134" s="42">
        <f>'SC-NR'!K92</f>
        <v>0</v>
      </c>
      <c r="R134" s="42">
        <f>'SC-NR'!L92</f>
        <v>0</v>
      </c>
      <c r="S134" s="42">
        <f>'SC-NR'!M92</f>
        <v>0</v>
      </c>
      <c r="T134" s="42">
        <f>'SC-NR'!N92</f>
        <v>0</v>
      </c>
      <c r="U134" s="42">
        <f>'SC-NR'!O92</f>
        <v>0</v>
      </c>
      <c r="V134" s="42">
        <f>'SC-NR'!P92</f>
        <v>0</v>
      </c>
      <c r="W134" s="42">
        <f>'SC-NR'!Q92</f>
        <v>0</v>
      </c>
      <c r="X134" s="42">
        <f>'SC-NR'!R92</f>
        <v>0</v>
      </c>
      <c r="Y134" s="42">
        <f>'SC-NR'!S92</f>
        <v>0</v>
      </c>
      <c r="Z134" s="42">
        <f>'SC-NR'!T92</f>
        <v>0</v>
      </c>
      <c r="AA134" s="42">
        <f>'SC-NR'!U92</f>
        <v>0</v>
      </c>
      <c r="AB134" s="42">
        <f>'SC-NR'!V92</f>
        <v>0</v>
      </c>
      <c r="AC134" s="42">
        <f>'SC-NR'!W92</f>
        <v>0</v>
      </c>
      <c r="AD134" s="42">
        <f>'SC-NR'!X92</f>
        <v>0</v>
      </c>
      <c r="AE134" s="42">
        <f>'SC-NR'!Y92</f>
        <v>3.1414170947721445</v>
      </c>
      <c r="AF134" s="479">
        <f t="shared" si="2"/>
        <v>5.9509432223162761</v>
      </c>
      <c r="AG134" s="479">
        <f t="shared" si="3"/>
        <v>4.7331102548847825</v>
      </c>
      <c r="AH134" s="479">
        <f t="shared" si="4"/>
        <v>4.7819493961667678</v>
      </c>
      <c r="AI134" s="479">
        <f t="shared" si="5"/>
        <v>3.9000310927493396</v>
      </c>
      <c r="AJ134" s="479">
        <f t="shared" si="6"/>
        <v>3.5513304691165719</v>
      </c>
      <c r="AK134" s="479">
        <f t="shared" si="7"/>
        <v>3.6490693395674088</v>
      </c>
      <c r="AL134" s="479">
        <f t="shared" si="8"/>
        <v>3.0115418983605462</v>
      </c>
      <c r="AM134" s="479">
        <f t="shared" si="9"/>
        <v>3.4351196341371462</v>
      </c>
      <c r="AN134" s="479">
        <f t="shared" si="10"/>
        <v>3.7825855907055974</v>
      </c>
      <c r="AO134" s="479">
        <f t="shared" si="11"/>
        <v>5.5203555019188597</v>
      </c>
      <c r="AP134" s="479">
        <f t="shared" si="12"/>
        <v>5.5726141453993536</v>
      </c>
      <c r="AQ134" s="479">
        <f t="shared" si="13"/>
        <v>6.1176274295281043</v>
      </c>
      <c r="AR134" s="479"/>
      <c r="AS134" s="479">
        <f t="shared" si="14"/>
        <v>3.104503527598812</v>
      </c>
      <c r="AT134" s="479">
        <f t="shared" si="15"/>
        <v>2.3859581920779633</v>
      </c>
      <c r="AU134" s="479">
        <f t="shared" si="16"/>
        <v>2.2237971768234481</v>
      </c>
      <c r="AV134" s="479">
        <f t="shared" si="17"/>
        <v>2.181435717377334</v>
      </c>
      <c r="AW134" s="479">
        <f t="shared" si="18"/>
        <v>2.1194431989890319</v>
      </c>
      <c r="AX134" s="479">
        <f t="shared" si="19"/>
        <v>1.9820520976346545</v>
      </c>
      <c r="AY134" s="479">
        <f t="shared" si="20"/>
        <v>2.2611357149783688</v>
      </c>
      <c r="AZ134" s="479">
        <f t="shared" si="21"/>
        <v>2.0455302281453043</v>
      </c>
      <c r="BA134" s="479">
        <f t="shared" si="22"/>
        <v>2.3708972460281177</v>
      </c>
      <c r="BB134" s="479">
        <f t="shared" si="23"/>
        <v>2.3569958961752469</v>
      </c>
      <c r="BC134" s="479">
        <f t="shared" si="24"/>
        <v>2.9684811951147281</v>
      </c>
      <c r="BD134" s="479">
        <f t="shared" si="25"/>
        <v>3.1667302828888446</v>
      </c>
    </row>
    <row r="135" spans="1:56" ht="15">
      <c r="A135" s="63" t="str">
        <f>VLOOKUP(CONCATENATE($C135," - ",$B135),[2]ACHIEV!$B$12:$C$100,2,FALSE)</f>
        <v>LO20Fast</v>
      </c>
      <c r="B135" s="63" t="str">
        <f>'SC-NR'!$C$7</f>
        <v>NR</v>
      </c>
      <c r="C135" s="63" t="str">
        <f>'SC-NR'!$C$8</f>
        <v>Lighting</v>
      </c>
      <c r="D135" s="63" t="s">
        <v>795</v>
      </c>
      <c r="E135" s="63" t="str">
        <f>'SC-NR'!$A$9</f>
        <v>Lighting</v>
      </c>
      <c r="F135" s="478">
        <f t="shared" si="1"/>
        <v>1.2650011213785653E-2</v>
      </c>
      <c r="G135" s="71">
        <f>'SC-NR'!A93</f>
        <v>48.421429568529426</v>
      </c>
      <c r="H135" s="71">
        <f>'SC-NR'!B93</f>
        <v>-0.28395098554769854</v>
      </c>
      <c r="I135" t="str">
        <f>'SC-NR'!C93</f>
        <v>Single Family</v>
      </c>
      <c r="J135" t="str">
        <f>'SC-NR'!D93</f>
        <v>2016 - LEDThree-Way250 to 664 lumensANY</v>
      </c>
      <c r="K135" s="42">
        <f>'SC-NR'!E93</f>
        <v>6.347806391721696E-3</v>
      </c>
      <c r="L135" s="42">
        <f>'SC-NR'!F93</f>
        <v>0</v>
      </c>
      <c r="M135" s="42">
        <f>'SC-NR'!G93</f>
        <v>0</v>
      </c>
      <c r="N135" s="42">
        <f>'SC-NR'!H93</f>
        <v>0</v>
      </c>
      <c r="O135" s="42">
        <f>'SC-NR'!I93</f>
        <v>0</v>
      </c>
      <c r="P135" s="42">
        <f>'SC-NR'!J93</f>
        <v>0</v>
      </c>
      <c r="Q135" s="42">
        <f>'SC-NR'!K93</f>
        <v>0</v>
      </c>
      <c r="R135" s="42">
        <f>'SC-NR'!L93</f>
        <v>0</v>
      </c>
      <c r="S135" s="42">
        <f>'SC-NR'!M93</f>
        <v>0</v>
      </c>
      <c r="T135" s="42">
        <f>'SC-NR'!N93</f>
        <v>0</v>
      </c>
      <c r="U135" s="42">
        <f>'SC-NR'!O93</f>
        <v>0</v>
      </c>
      <c r="V135" s="42">
        <f>'SC-NR'!P93</f>
        <v>0</v>
      </c>
      <c r="W135" s="42">
        <f>'SC-NR'!Q93</f>
        <v>0</v>
      </c>
      <c r="X135" s="42">
        <f>'SC-NR'!R93</f>
        <v>0</v>
      </c>
      <c r="Y135" s="42">
        <f>'SC-NR'!S93</f>
        <v>0</v>
      </c>
      <c r="Z135" s="42">
        <f>'SC-NR'!T93</f>
        <v>0</v>
      </c>
      <c r="AA135" s="42">
        <f>'SC-NR'!U93</f>
        <v>0</v>
      </c>
      <c r="AB135" s="42">
        <f>'SC-NR'!V93</f>
        <v>0</v>
      </c>
      <c r="AC135" s="42">
        <f>'SC-NR'!W93</f>
        <v>0</v>
      </c>
      <c r="AD135" s="42">
        <f>'SC-NR'!X93</f>
        <v>0</v>
      </c>
      <c r="AE135" s="42">
        <f>'SC-NR'!Y93</f>
        <v>2.8697237177701312E-2</v>
      </c>
      <c r="AF135" s="479">
        <f t="shared" si="2"/>
        <v>3.4644939103037795</v>
      </c>
      <c r="AG135" s="479">
        <f t="shared" si="3"/>
        <v>2.7555012780750743</v>
      </c>
      <c r="AH135" s="479">
        <f t="shared" si="4"/>
        <v>2.783934234202329</v>
      </c>
      <c r="AI135" s="479">
        <f t="shared" si="5"/>
        <v>2.2705029213110808</v>
      </c>
      <c r="AJ135" s="479">
        <f t="shared" si="6"/>
        <v>2.067497928327021</v>
      </c>
      <c r="AK135" s="479">
        <f t="shared" si="7"/>
        <v>2.1243991133706071</v>
      </c>
      <c r="AL135" s="479">
        <f t="shared" si="8"/>
        <v>1.7532461960599572</v>
      </c>
      <c r="AM135" s="479">
        <f t="shared" si="9"/>
        <v>1.9998428163461626</v>
      </c>
      <c r="AN135" s="479">
        <f t="shared" si="10"/>
        <v>2.2021290162976261</v>
      </c>
      <c r="AO135" s="479">
        <f t="shared" si="11"/>
        <v>3.2138162480511396</v>
      </c>
      <c r="AP135" s="479">
        <f t="shared" si="12"/>
        <v>3.2442399549048635</v>
      </c>
      <c r="AQ135" s="479">
        <f t="shared" si="13"/>
        <v>3.5615333877875557</v>
      </c>
      <c r="AR135" s="479"/>
      <c r="AS135" s="479">
        <f t="shared" si="14"/>
        <v>1.8073661878589267</v>
      </c>
      <c r="AT135" s="479">
        <f t="shared" si="15"/>
        <v>1.3890466297334463</v>
      </c>
      <c r="AU135" s="479">
        <f t="shared" si="16"/>
        <v>1.2946404442179886</v>
      </c>
      <c r="AV135" s="479">
        <f t="shared" si="17"/>
        <v>1.2699786363667083</v>
      </c>
      <c r="AW135" s="479">
        <f t="shared" si="18"/>
        <v>1.2338881050984445</v>
      </c>
      <c r="AX135" s="479">
        <f t="shared" si="19"/>
        <v>1.1539023589419051</v>
      </c>
      <c r="AY135" s="479">
        <f t="shared" si="20"/>
        <v>1.3163780298787402</v>
      </c>
      <c r="AZ135" s="479">
        <f t="shared" si="21"/>
        <v>1.1908577773311961</v>
      </c>
      <c r="BA135" s="479">
        <f t="shared" si="22"/>
        <v>1.3802785145080427</v>
      </c>
      <c r="BB135" s="479">
        <f t="shared" si="23"/>
        <v>1.3721854878883859</v>
      </c>
      <c r="BC135" s="479">
        <f t="shared" si="24"/>
        <v>1.7281773055336467</v>
      </c>
      <c r="BD135" s="479">
        <f t="shared" si="25"/>
        <v>1.8435930861347887</v>
      </c>
    </row>
    <row r="136" spans="1:56" ht="15">
      <c r="A136" s="63" t="str">
        <f>VLOOKUP(CONCATENATE($C136," - ",$B136),[2]ACHIEV!$B$12:$C$100,2,FALSE)</f>
        <v>LO20Fast</v>
      </c>
      <c r="B136" s="63" t="str">
        <f>'SC-NR'!$C$7</f>
        <v>NR</v>
      </c>
      <c r="C136" s="63" t="str">
        <f>'SC-NR'!$C$8</f>
        <v>Lighting</v>
      </c>
      <c r="D136" s="63" t="s">
        <v>795</v>
      </c>
      <c r="E136" s="63" t="str">
        <f>'SC-NR'!$A$9</f>
        <v>Lighting</v>
      </c>
      <c r="F136" s="478">
        <f t="shared" si="1"/>
        <v>1.3626103635974879E-2</v>
      </c>
      <c r="G136" s="71">
        <f>'SC-NR'!A94</f>
        <v>52.157694278074032</v>
      </c>
      <c r="H136" s="71">
        <f>'SC-NR'!B94</f>
        <v>-8.9398321624848585</v>
      </c>
      <c r="I136" t="str">
        <f>'SC-NR'!C94</f>
        <v>Single Family</v>
      </c>
      <c r="J136" t="str">
        <f>'SC-NR'!D94</f>
        <v>2016 - LEDThree-Way665 to 1439 lumensANY</v>
      </c>
      <c r="K136" s="42">
        <f>'SC-NR'!E94</f>
        <v>8.4399521313870005E-2</v>
      </c>
      <c r="L136" s="42">
        <f>'SC-NR'!F94</f>
        <v>0</v>
      </c>
      <c r="M136" s="42">
        <f>'SC-NR'!G94</f>
        <v>0</v>
      </c>
      <c r="N136" s="42">
        <f>'SC-NR'!H94</f>
        <v>0</v>
      </c>
      <c r="O136" s="42">
        <f>'SC-NR'!I94</f>
        <v>0</v>
      </c>
      <c r="P136" s="42">
        <f>'SC-NR'!J94</f>
        <v>0</v>
      </c>
      <c r="Q136" s="42">
        <f>'SC-NR'!K94</f>
        <v>0</v>
      </c>
      <c r="R136" s="42">
        <f>'SC-NR'!L94</f>
        <v>0</v>
      </c>
      <c r="S136" s="42">
        <f>'SC-NR'!M94</f>
        <v>0</v>
      </c>
      <c r="T136" s="42">
        <f>'SC-NR'!N94</f>
        <v>0</v>
      </c>
      <c r="U136" s="42">
        <f>'SC-NR'!O94</f>
        <v>0</v>
      </c>
      <c r="V136" s="42">
        <f>'SC-NR'!P94</f>
        <v>0</v>
      </c>
      <c r="W136" s="42">
        <f>'SC-NR'!Q94</f>
        <v>0</v>
      </c>
      <c r="X136" s="42">
        <f>'SC-NR'!R94</f>
        <v>0</v>
      </c>
      <c r="Y136" s="42">
        <f>'SC-NR'!S94</f>
        <v>0</v>
      </c>
      <c r="Z136" s="42">
        <f>'SC-NR'!T94</f>
        <v>0</v>
      </c>
      <c r="AA136" s="42">
        <f>'SC-NR'!U94</f>
        <v>0</v>
      </c>
      <c r="AB136" s="42">
        <f>'SC-NR'!V94</f>
        <v>0</v>
      </c>
      <c r="AC136" s="42">
        <f>'SC-NR'!W94</f>
        <v>0</v>
      </c>
      <c r="AD136" s="42">
        <f>'SC-NR'!X94</f>
        <v>0</v>
      </c>
      <c r="AE136" s="42">
        <f>'SC-NR'!Y94</f>
        <v>0.38155434040761022</v>
      </c>
      <c r="AF136" s="479">
        <f t="shared" si="2"/>
        <v>3.731819068789251</v>
      </c>
      <c r="AG136" s="479">
        <f t="shared" si="3"/>
        <v>2.9681195810478593</v>
      </c>
      <c r="AH136" s="479">
        <f t="shared" si="4"/>
        <v>2.9987464635319547</v>
      </c>
      <c r="AI136" s="479">
        <f t="shared" si="5"/>
        <v>2.44569807794739</v>
      </c>
      <c r="AJ136" s="479">
        <f t="shared" si="6"/>
        <v>2.2270289379543238</v>
      </c>
      <c r="AK136" s="479">
        <f t="shared" si="7"/>
        <v>2.2883206974089516</v>
      </c>
      <c r="AL136" s="479">
        <f t="shared" si="8"/>
        <v>1.8885291058759777</v>
      </c>
      <c r="AM136" s="479">
        <f t="shared" si="9"/>
        <v>2.154153463634584</v>
      </c>
      <c r="AN136" s="479">
        <f t="shared" si="10"/>
        <v>2.3720483475270466</v>
      </c>
      <c r="AO136" s="479">
        <f t="shared" si="11"/>
        <v>3.4617987702020074</v>
      </c>
      <c r="AP136" s="479">
        <f t="shared" si="12"/>
        <v>3.4945700125015868</v>
      </c>
      <c r="AQ136" s="479">
        <f t="shared" si="13"/>
        <v>3.8363462470366358</v>
      </c>
      <c r="AR136" s="479"/>
      <c r="AS136" s="479">
        <f t="shared" si="14"/>
        <v>1.9468250713552193</v>
      </c>
      <c r="AT136" s="479">
        <f t="shared" si="15"/>
        <v>1.4962273955396257</v>
      </c>
      <c r="AU136" s="479">
        <f t="shared" si="16"/>
        <v>1.3945366977235774</v>
      </c>
      <c r="AV136" s="479">
        <f t="shared" si="17"/>
        <v>1.3679719505504024</v>
      </c>
      <c r="AW136" s="479">
        <f t="shared" si="18"/>
        <v>1.3290966237994797</v>
      </c>
      <c r="AX136" s="479">
        <f t="shared" si="19"/>
        <v>1.2429390664573923</v>
      </c>
      <c r="AY136" s="479">
        <f t="shared" si="20"/>
        <v>1.4179515856634783</v>
      </c>
      <c r="AZ136" s="479">
        <f t="shared" si="21"/>
        <v>1.2827460162199764</v>
      </c>
      <c r="BA136" s="479">
        <f t="shared" si="22"/>
        <v>1.4867827203741746</v>
      </c>
      <c r="BB136" s="479">
        <f t="shared" si="23"/>
        <v>1.4780652245882442</v>
      </c>
      <c r="BC136" s="479">
        <f t="shared" si="24"/>
        <v>1.8615258649635777</v>
      </c>
      <c r="BD136" s="479">
        <f t="shared" si="25"/>
        <v>1.98584728738131</v>
      </c>
    </row>
    <row r="137" spans="1:56" ht="15">
      <c r="A137" s="63" t="str">
        <f>VLOOKUP(CONCATENATE($C137," - ",$B137),[2]ACHIEV!$B$12:$C$100,2,FALSE)</f>
        <v>LO20Fast</v>
      </c>
      <c r="B137" s="63" t="str">
        <f>'SC-NR'!$C$7</f>
        <v>NR</v>
      </c>
      <c r="C137" s="63" t="str">
        <f>'SC-NR'!$C$8</f>
        <v>Lighting</v>
      </c>
      <c r="D137" s="63" t="s">
        <v>795</v>
      </c>
      <c r="E137" s="63" t="str">
        <f>'SC-NR'!$A$9</f>
        <v>Lighting</v>
      </c>
      <c r="F137" s="478">
        <f t="shared" si="1"/>
        <v>1.2193310022794003E-2</v>
      </c>
      <c r="G137" s="71">
        <f>'SC-NR'!A95</f>
        <v>46.673278979590322</v>
      </c>
      <c r="H137" s="71">
        <f>'SC-NR'!B95</f>
        <v>-22.011904676498236</v>
      </c>
      <c r="I137" t="str">
        <f>'SC-NR'!C95</f>
        <v>Single Family</v>
      </c>
      <c r="J137" t="str">
        <f>'SC-NR'!D95</f>
        <v>2016 - LEDThree-Way1440 to 2600 lumensANY</v>
      </c>
      <c r="K137" s="42">
        <f>'SC-NR'!E95</f>
        <v>0.29204650727574866</v>
      </c>
      <c r="L137" s="42">
        <f>'SC-NR'!F95</f>
        <v>0</v>
      </c>
      <c r="M137" s="42">
        <f>'SC-NR'!G95</f>
        <v>0</v>
      </c>
      <c r="N137" s="42">
        <f>'SC-NR'!H95</f>
        <v>0</v>
      </c>
      <c r="O137" s="42">
        <f>'SC-NR'!I95</f>
        <v>0</v>
      </c>
      <c r="P137" s="42">
        <f>'SC-NR'!J95</f>
        <v>0</v>
      </c>
      <c r="Q137" s="42">
        <f>'SC-NR'!K95</f>
        <v>0</v>
      </c>
      <c r="R137" s="42">
        <f>'SC-NR'!L95</f>
        <v>0</v>
      </c>
      <c r="S137" s="42">
        <f>'SC-NR'!M95</f>
        <v>0</v>
      </c>
      <c r="T137" s="42">
        <f>'SC-NR'!N95</f>
        <v>0</v>
      </c>
      <c r="U137" s="42">
        <f>'SC-NR'!O95</f>
        <v>0</v>
      </c>
      <c r="V137" s="42">
        <f>'SC-NR'!P95</f>
        <v>0</v>
      </c>
      <c r="W137" s="42">
        <f>'SC-NR'!Q95</f>
        <v>0</v>
      </c>
      <c r="X137" s="42">
        <f>'SC-NR'!R95</f>
        <v>0</v>
      </c>
      <c r="Y137" s="42">
        <f>'SC-NR'!S95</f>
        <v>0</v>
      </c>
      <c r="Z137" s="42">
        <f>'SC-NR'!T95</f>
        <v>0</v>
      </c>
      <c r="AA137" s="42">
        <f>'SC-NR'!U95</f>
        <v>0</v>
      </c>
      <c r="AB137" s="42">
        <f>'SC-NR'!V95</f>
        <v>0</v>
      </c>
      <c r="AC137" s="42">
        <f>'SC-NR'!W95</f>
        <v>0</v>
      </c>
      <c r="AD137" s="42">
        <f>'SC-NR'!X95</f>
        <v>0</v>
      </c>
      <c r="AE137" s="42">
        <f>'SC-NR'!Y95</f>
        <v>1.3202872565775112</v>
      </c>
      <c r="AF137" s="479">
        <f t="shared" si="2"/>
        <v>3.3394158792823707</v>
      </c>
      <c r="AG137" s="479">
        <f t="shared" si="3"/>
        <v>2.6560198867776115</v>
      </c>
      <c r="AH137" s="479">
        <f t="shared" si="4"/>
        <v>2.6834263327534305</v>
      </c>
      <c r="AI137" s="479">
        <f t="shared" si="5"/>
        <v>2.1885313427260153</v>
      </c>
      <c r="AJ137" s="479">
        <f t="shared" si="6"/>
        <v>1.9928554042784474</v>
      </c>
      <c r="AK137" s="479">
        <f t="shared" si="7"/>
        <v>2.0477022955716913</v>
      </c>
      <c r="AL137" s="479">
        <f t="shared" si="8"/>
        <v>1.6899490485467938</v>
      </c>
      <c r="AM137" s="479">
        <f t="shared" si="9"/>
        <v>1.927642833232625</v>
      </c>
      <c r="AN137" s="479">
        <f t="shared" si="10"/>
        <v>2.1226259291094984</v>
      </c>
      <c r="AO137" s="479">
        <f t="shared" si="11"/>
        <v>3.0977883897901326</v>
      </c>
      <c r="AP137" s="479">
        <f t="shared" si="12"/>
        <v>3.127113714759473</v>
      </c>
      <c r="AQ137" s="479">
        <f t="shared" si="13"/>
        <v>3.4329519571097302</v>
      </c>
      <c r="AR137" s="479"/>
      <c r="AS137" s="479">
        <f t="shared" si="14"/>
        <v>1.7421151555393914</v>
      </c>
      <c r="AT137" s="479">
        <f t="shared" si="15"/>
        <v>1.3388981168648673</v>
      </c>
      <c r="AU137" s="479">
        <f t="shared" si="16"/>
        <v>1.2479002617163344</v>
      </c>
      <c r="AV137" s="479">
        <f t="shared" si="17"/>
        <v>1.22412881489536</v>
      </c>
      <c r="AW137" s="479">
        <f t="shared" si="18"/>
        <v>1.1893412539039743</v>
      </c>
      <c r="AX137" s="479">
        <f t="shared" si="19"/>
        <v>1.1122432194588867</v>
      </c>
      <c r="AY137" s="479">
        <f t="shared" si="20"/>
        <v>1.2688530590403191</v>
      </c>
      <c r="AZ137" s="479">
        <f t="shared" si="21"/>
        <v>1.1478644426995133</v>
      </c>
      <c r="BA137" s="479">
        <f t="shared" si="22"/>
        <v>1.330446555403608</v>
      </c>
      <c r="BB137" s="479">
        <f t="shared" si="23"/>
        <v>1.3226457099396403</v>
      </c>
      <c r="BC137" s="479">
        <f t="shared" si="24"/>
        <v>1.6657852158869719</v>
      </c>
      <c r="BD137" s="479">
        <f t="shared" si="25"/>
        <v>1.7770341603036266</v>
      </c>
    </row>
    <row r="138" spans="1:56" ht="15">
      <c r="A138" s="63" t="str">
        <f>VLOOKUP(CONCATENATE($C138," - ",$B138),[2]ACHIEV!$B$12:$C$100,2,FALSE)</f>
        <v>LO20Fast</v>
      </c>
      <c r="B138" s="63" t="str">
        <f>'SC-NR'!$C$7</f>
        <v>NR</v>
      </c>
      <c r="C138" s="63" t="str">
        <f>'SC-NR'!$C$8</f>
        <v>Lighting</v>
      </c>
      <c r="D138" s="63" t="s">
        <v>795</v>
      </c>
      <c r="E138" s="63" t="str">
        <f>'SC-NR'!$A$9</f>
        <v>Lighting</v>
      </c>
      <c r="F138" s="478">
        <f t="shared" si="1"/>
        <v>5.0254466343264623E-3</v>
      </c>
      <c r="G138" s="71">
        <f>'SC-NR'!A96</f>
        <v>19.236292058718274</v>
      </c>
      <c r="H138" s="71">
        <f>'SC-NR'!B96</f>
        <v>-15.059976945801358</v>
      </c>
      <c r="I138" t="str">
        <f>'SC-NR'!C96</f>
        <v>Multifamily - Low Rise</v>
      </c>
      <c r="J138" t="str">
        <f>'SC-NR'!D96</f>
        <v>2016 - LEDDecorative and Mini-Base250 to 664 lumensANY</v>
      </c>
      <c r="K138" s="42">
        <f>'SC-NR'!E96</f>
        <v>8.9146087532912449E-2</v>
      </c>
      <c r="L138" s="42">
        <f>'SC-NR'!F96</f>
        <v>0</v>
      </c>
      <c r="M138" s="42">
        <f>'SC-NR'!G96</f>
        <v>0</v>
      </c>
      <c r="N138" s="42">
        <f>'SC-NR'!H96</f>
        <v>0</v>
      </c>
      <c r="O138" s="42">
        <f>'SC-NR'!I96</f>
        <v>0</v>
      </c>
      <c r="P138" s="42">
        <f>'SC-NR'!J96</f>
        <v>0</v>
      </c>
      <c r="Q138" s="42">
        <f>'SC-NR'!K96</f>
        <v>0</v>
      </c>
      <c r="R138" s="42">
        <f>'SC-NR'!L96</f>
        <v>0</v>
      </c>
      <c r="S138" s="42">
        <f>'SC-NR'!M96</f>
        <v>0</v>
      </c>
      <c r="T138" s="42">
        <f>'SC-NR'!N96</f>
        <v>0</v>
      </c>
      <c r="U138" s="42">
        <f>'SC-NR'!O96</f>
        <v>0</v>
      </c>
      <c r="V138" s="42">
        <f>'SC-NR'!P96</f>
        <v>0</v>
      </c>
      <c r="W138" s="42">
        <f>'SC-NR'!Q96</f>
        <v>0</v>
      </c>
      <c r="X138" s="42">
        <f>'SC-NR'!R96</f>
        <v>0</v>
      </c>
      <c r="Y138" s="42">
        <f>'SC-NR'!S96</f>
        <v>0</v>
      </c>
      <c r="Z138" s="42">
        <f>'SC-NR'!T96</f>
        <v>0</v>
      </c>
      <c r="AA138" s="42">
        <f>'SC-NR'!U96</f>
        <v>0</v>
      </c>
      <c r="AB138" s="42">
        <f>'SC-NR'!V96</f>
        <v>0</v>
      </c>
      <c r="AC138" s="42">
        <f>'SC-NR'!W96</f>
        <v>0</v>
      </c>
      <c r="AD138" s="42">
        <f>'SC-NR'!X96</f>
        <v>0</v>
      </c>
      <c r="AE138" s="42">
        <f>'SC-NR'!Y96</f>
        <v>0.4030126723354972</v>
      </c>
      <c r="AF138" s="479">
        <f t="shared" si="2"/>
        <v>1.3763331088755877</v>
      </c>
      <c r="AG138" s="479">
        <f t="shared" si="3"/>
        <v>1.0946729129136159</v>
      </c>
      <c r="AH138" s="479">
        <f t="shared" si="4"/>
        <v>1.10596842097751</v>
      </c>
      <c r="AI138" s="479">
        <f t="shared" si="5"/>
        <v>0.90199850982713226</v>
      </c>
      <c r="AJ138" s="479">
        <f t="shared" si="6"/>
        <v>0.8213510905085285</v>
      </c>
      <c r="AK138" s="479">
        <f t="shared" si="7"/>
        <v>0.84395611939220683</v>
      </c>
      <c r="AL138" s="479">
        <f t="shared" si="8"/>
        <v>0.69650888416077883</v>
      </c>
      <c r="AM138" s="479">
        <f t="shared" si="9"/>
        <v>0.79447386889558136</v>
      </c>
      <c r="AN138" s="479">
        <f t="shared" si="10"/>
        <v>0.87483573463123632</v>
      </c>
      <c r="AO138" s="479">
        <f t="shared" si="11"/>
        <v>1.2767468561222706</v>
      </c>
      <c r="AP138" s="479">
        <f t="shared" si="12"/>
        <v>1.2888332260572761</v>
      </c>
      <c r="AQ138" s="479">
        <f t="shared" si="13"/>
        <v>1.4148838032011544</v>
      </c>
      <c r="AR138" s="479"/>
      <c r="AS138" s="479">
        <f t="shared" si="14"/>
        <v>0.71800903353135914</v>
      </c>
      <c r="AT138" s="479">
        <f t="shared" si="15"/>
        <v>0.55182399385616432</v>
      </c>
      <c r="AU138" s="479">
        <f t="shared" si="16"/>
        <v>0.5143194225763198</v>
      </c>
      <c r="AV138" s="479">
        <f t="shared" si="17"/>
        <v>0.50452207163582741</v>
      </c>
      <c r="AW138" s="479">
        <f t="shared" si="18"/>
        <v>0.49018445281257317</v>
      </c>
      <c r="AX138" s="479">
        <f t="shared" si="19"/>
        <v>0.45840866289244864</v>
      </c>
      <c r="AY138" s="479">
        <f t="shared" si="20"/>
        <v>0.52295507315804879</v>
      </c>
      <c r="AZ138" s="479">
        <f t="shared" si="21"/>
        <v>0.47308987382783491</v>
      </c>
      <c r="BA138" s="479">
        <f t="shared" si="22"/>
        <v>0.54834070088478171</v>
      </c>
      <c r="BB138" s="479">
        <f t="shared" si="23"/>
        <v>0.54512559911926328</v>
      </c>
      <c r="BC138" s="479">
        <f t="shared" si="24"/>
        <v>0.68654981223644318</v>
      </c>
      <c r="BD138" s="479">
        <f t="shared" si="25"/>
        <v>0.73240082662432637</v>
      </c>
    </row>
    <row r="139" spans="1:56" ht="15">
      <c r="A139" s="63" t="str">
        <f>VLOOKUP(CONCATENATE($C139," - ",$B139),[2]ACHIEV!$B$12:$C$100,2,FALSE)</f>
        <v>LO20Fast</v>
      </c>
      <c r="B139" s="63" t="str">
        <f>'SC-NR'!$C$7</f>
        <v>NR</v>
      </c>
      <c r="C139" s="63" t="str">
        <f>'SC-NR'!$C$8</f>
        <v>Lighting</v>
      </c>
      <c r="D139" s="63" t="s">
        <v>795</v>
      </c>
      <c r="E139" s="63" t="str">
        <f>'SC-NR'!$A$9</f>
        <v>Lighting</v>
      </c>
      <c r="F139" s="478">
        <f t="shared" si="1"/>
        <v>3.7860143455178382E-3</v>
      </c>
      <c r="G139" s="71">
        <f>'SC-NR'!A97</f>
        <v>14.492020906444102</v>
      </c>
      <c r="H139" s="71">
        <f>'SC-NR'!B97</f>
        <v>-3.5286913755547569</v>
      </c>
      <c r="I139" t="str">
        <f>'SC-NR'!C97</f>
        <v>Multifamily - Low Rise</v>
      </c>
      <c r="J139" t="str">
        <f>'SC-NR'!D97</f>
        <v>2016 - LEDDecorative and Mini-Base665 to 1439 lumensANY</v>
      </c>
      <c r="K139" s="37">
        <f>'SC-NR'!E97</f>
        <v>1.8420096313201361E-2</v>
      </c>
      <c r="L139" s="37">
        <f>'SC-NR'!F97</f>
        <v>0</v>
      </c>
      <c r="M139" s="37">
        <f>'SC-NR'!G97</f>
        <v>0</v>
      </c>
      <c r="N139" s="37">
        <f>'SC-NR'!H97</f>
        <v>0</v>
      </c>
      <c r="O139" s="37">
        <f>'SC-NR'!I97</f>
        <v>0</v>
      </c>
      <c r="P139" s="37">
        <f>'SC-NR'!J97</f>
        <v>0</v>
      </c>
      <c r="Q139" s="37">
        <f>'SC-NR'!K97</f>
        <v>0</v>
      </c>
      <c r="R139" s="37">
        <f>'SC-NR'!L97</f>
        <v>0</v>
      </c>
      <c r="S139" s="37">
        <f>'SC-NR'!M97</f>
        <v>0</v>
      </c>
      <c r="T139" s="37">
        <f>'SC-NR'!N97</f>
        <v>0</v>
      </c>
      <c r="U139" s="37">
        <f>'SC-NR'!O97</f>
        <v>0</v>
      </c>
      <c r="V139" s="37">
        <f>'SC-NR'!P97</f>
        <v>0</v>
      </c>
      <c r="W139" s="37">
        <f>'SC-NR'!Q97</f>
        <v>0</v>
      </c>
      <c r="X139" s="37">
        <f>'SC-NR'!R97</f>
        <v>0</v>
      </c>
      <c r="Y139" s="37">
        <f>'SC-NR'!S97</f>
        <v>0</v>
      </c>
      <c r="Z139" s="37">
        <f>'SC-NR'!T97</f>
        <v>0</v>
      </c>
      <c r="AA139" s="37">
        <f>'SC-NR'!U97</f>
        <v>0</v>
      </c>
      <c r="AB139" s="37">
        <f>'SC-NR'!V97</f>
        <v>0</v>
      </c>
      <c r="AC139" s="37">
        <f>'SC-NR'!W97</f>
        <v>0</v>
      </c>
      <c r="AD139" s="37">
        <f>'SC-NR'!X97</f>
        <v>0</v>
      </c>
      <c r="AE139" s="37">
        <f>'SC-NR'!Y97</f>
        <v>8.3273786268183395E-2</v>
      </c>
      <c r="AF139" s="479">
        <f t="shared" si="2"/>
        <v>1.0368863254504586</v>
      </c>
      <c r="AG139" s="479">
        <f t="shared" si="3"/>
        <v>0.8246923414989582</v>
      </c>
      <c r="AH139" s="479">
        <f t="shared" si="4"/>
        <v>0.83320202405686417</v>
      </c>
      <c r="AI139" s="479">
        <f t="shared" si="5"/>
        <v>0.67953747125979169</v>
      </c>
      <c r="AJ139" s="479">
        <f t="shared" si="6"/>
        <v>0.61878022743918382</v>
      </c>
      <c r="AK139" s="479">
        <f t="shared" si="7"/>
        <v>0.63581014932709601</v>
      </c>
      <c r="AL139" s="479">
        <f t="shared" si="8"/>
        <v>0.52472801306878369</v>
      </c>
      <c r="AM139" s="479">
        <f t="shared" si="9"/>
        <v>0.59853176914311479</v>
      </c>
      <c r="AN139" s="479">
        <f t="shared" si="10"/>
        <v>0.65907388582376392</v>
      </c>
      <c r="AO139" s="479">
        <f t="shared" si="11"/>
        <v>0.96186115674901895</v>
      </c>
      <c r="AP139" s="479">
        <f t="shared" si="12"/>
        <v>0.97096664990988701</v>
      </c>
      <c r="AQ139" s="479">
        <f t="shared" si="13"/>
        <v>1.065929213051598</v>
      </c>
      <c r="AR139" s="479"/>
      <c r="AS139" s="479">
        <f t="shared" si="14"/>
        <v>0.5409255532817846</v>
      </c>
      <c r="AT139" s="479">
        <f t="shared" si="15"/>
        <v>0.41572694109812058</v>
      </c>
      <c r="AU139" s="479">
        <f t="shared" si="16"/>
        <v>0.3874721698867219</v>
      </c>
      <c r="AV139" s="479">
        <f t="shared" si="17"/>
        <v>0.38009115205729899</v>
      </c>
      <c r="AW139" s="479">
        <f t="shared" si="18"/>
        <v>0.36928963838195134</v>
      </c>
      <c r="AX139" s="479">
        <f t="shared" si="19"/>
        <v>0.34535075190447584</v>
      </c>
      <c r="AY139" s="479">
        <f t="shared" si="20"/>
        <v>0.39397799899293179</v>
      </c>
      <c r="AZ139" s="479">
        <f t="shared" si="21"/>
        <v>0.35641111713276868</v>
      </c>
      <c r="BA139" s="479">
        <f t="shared" si="22"/>
        <v>0.41310273709817824</v>
      </c>
      <c r="BB139" s="479">
        <f t="shared" si="23"/>
        <v>0.41068057996623142</v>
      </c>
      <c r="BC139" s="479">
        <f t="shared" si="24"/>
        <v>0.51722515970724714</v>
      </c>
      <c r="BD139" s="479">
        <f t="shared" si="25"/>
        <v>0.55176788015787159</v>
      </c>
    </row>
    <row r="140" spans="1:56" ht="15">
      <c r="A140" s="63" t="str">
        <f>VLOOKUP(CONCATENATE($C140," - ",$B140),[2]ACHIEV!$B$12:$C$100,2,FALSE)</f>
        <v>LO20Fast</v>
      </c>
      <c r="B140" s="63" t="str">
        <f>'SC-NR'!$C$7</f>
        <v>NR</v>
      </c>
      <c r="C140" s="63" t="str">
        <f>'SC-NR'!$C$8</f>
        <v>Lighting</v>
      </c>
      <c r="D140" s="63" t="s">
        <v>795</v>
      </c>
      <c r="E140" s="63" t="str">
        <f>'SC-NR'!$A$9</f>
        <v>Lighting</v>
      </c>
      <c r="F140" s="478">
        <f t="shared" ref="F140:F203" si="26">VLOOKUP($J140,MeasureOutput,14,FALSE)</f>
        <v>1.8749503794567041E-3</v>
      </c>
      <c r="G140" s="71">
        <f>'SC-NR'!A98</f>
        <v>7.1768930642853626</v>
      </c>
      <c r="H140" s="71">
        <f>'SC-NR'!B98</f>
        <v>355.22288385759038</v>
      </c>
      <c r="I140" t="str">
        <f>'SC-NR'!C98</f>
        <v>Multifamily - Low Rise</v>
      </c>
      <c r="J140" t="str">
        <f>'SC-NR'!D98</f>
        <v>2016 - LEDDecorative and Mini-Base1440 to 2600 lumensANY</v>
      </c>
      <c r="K140" s="37">
        <f>'SC-NR'!E98</f>
        <v>1.792190213743319E-4</v>
      </c>
      <c r="L140" s="37">
        <f>'SC-NR'!F98</f>
        <v>0</v>
      </c>
      <c r="M140" s="37">
        <f>'SC-NR'!G98</f>
        <v>0</v>
      </c>
      <c r="N140" s="37">
        <f>'SC-NR'!H98</f>
        <v>0</v>
      </c>
      <c r="O140" s="37">
        <f>'SC-NR'!I98</f>
        <v>0</v>
      </c>
      <c r="P140" s="37">
        <f>'SC-NR'!J98</f>
        <v>0</v>
      </c>
      <c r="Q140" s="37">
        <f>'SC-NR'!K98</f>
        <v>0</v>
      </c>
      <c r="R140" s="37">
        <f>'SC-NR'!L98</f>
        <v>0</v>
      </c>
      <c r="S140" s="37">
        <f>'SC-NR'!M98</f>
        <v>0</v>
      </c>
      <c r="T140" s="37">
        <f>'SC-NR'!N98</f>
        <v>0</v>
      </c>
      <c r="U140" s="37">
        <f>'SC-NR'!O98</f>
        <v>0</v>
      </c>
      <c r="V140" s="37">
        <f>'SC-NR'!P98</f>
        <v>0</v>
      </c>
      <c r="W140" s="37">
        <f>'SC-NR'!Q98</f>
        <v>0</v>
      </c>
      <c r="X140" s="37">
        <f>'SC-NR'!R98</f>
        <v>0</v>
      </c>
      <c r="Y140" s="37">
        <f>'SC-NR'!S98</f>
        <v>0</v>
      </c>
      <c r="Z140" s="37">
        <f>'SC-NR'!T98</f>
        <v>0</v>
      </c>
      <c r="AA140" s="37">
        <f>'SC-NR'!U98</f>
        <v>0</v>
      </c>
      <c r="AB140" s="37">
        <f>'SC-NR'!V98</f>
        <v>0</v>
      </c>
      <c r="AC140" s="37">
        <f>'SC-NR'!W98</f>
        <v>0</v>
      </c>
      <c r="AD140" s="37">
        <f>'SC-NR'!X98</f>
        <v>0</v>
      </c>
      <c r="AE140" s="37">
        <f>'SC-NR'!Y98</f>
        <v>8.1021544227340213E-4</v>
      </c>
      <c r="AF140" s="479">
        <f t="shared" ref="AF140:AF203" si="27">VLOOKUP($J140,MeasureOutput,15,FALSE)</f>
        <v>0.51349789829993253</v>
      </c>
      <c r="AG140" s="479">
        <f t="shared" ref="AG140:AG203" si="28">VLOOKUP($J140,MeasureOutput,16,FALSE)</f>
        <v>0.40841293178381172</v>
      </c>
      <c r="AH140" s="479">
        <f t="shared" ref="AH140:AH203" si="29">VLOOKUP($J140,MeasureOutput,17,FALSE)</f>
        <v>0.41262718748516447</v>
      </c>
      <c r="AI140" s="479">
        <f t="shared" ref="AI140:AI203" si="30">VLOOKUP($J140,MeasureOutput,18,FALSE)</f>
        <v>0.33652778973274827</v>
      </c>
      <c r="AJ140" s="479">
        <f t="shared" ref="AJ140:AJ203" si="31">VLOOKUP($J140,MeasureOutput,19,FALSE)</f>
        <v>0.30643893983415893</v>
      </c>
      <c r="AK140" s="479">
        <f t="shared" ref="AK140:AK203" si="32">VLOOKUP($J140,MeasureOutput,20,FALSE)</f>
        <v>0.31487267927406898</v>
      </c>
      <c r="AL140" s="479">
        <f t="shared" ref="AL140:AL203" si="33">VLOOKUP($J140,MeasureOutput,21,FALSE)</f>
        <v>0.25986139972755762</v>
      </c>
      <c r="AM140" s="479">
        <f t="shared" ref="AM140:AM203" si="34">VLOOKUP($J140,MeasureOutput,22,FALSE)</f>
        <v>0.29641128248770077</v>
      </c>
      <c r="AN140" s="479">
        <f t="shared" ref="AN140:AN203" si="35">VLOOKUP($J140,MeasureOutput,23,FALSE)</f>
        <v>0.32639359483099145</v>
      </c>
      <c r="AO140" s="479">
        <f t="shared" ref="AO140:AO203" si="36">VLOOKUP($J140,MeasureOutput,24,FALSE)</f>
        <v>0.47634313455950961</v>
      </c>
      <c r="AP140" s="479">
        <f t="shared" ref="AP140:AP203" si="37">VLOOKUP($J140,MeasureOutput,25,FALSE)</f>
        <v>0.4808524539384289</v>
      </c>
      <c r="AQ140" s="479">
        <f t="shared" ref="AQ140:AQ203" si="38">VLOOKUP($J140,MeasureOutput,26,FALSE)</f>
        <v>0.52788082666700065</v>
      </c>
      <c r="AR140" s="479"/>
      <c r="AS140" s="479">
        <f t="shared" ref="AS140:AS203" si="39">VLOOKUP($J140,MeasureOutput,28,FALSE)</f>
        <v>0.26788291824203048</v>
      </c>
      <c r="AT140" s="479">
        <f t="shared" ref="AT140:AT203" si="40">VLOOKUP($J140,MeasureOutput,29,FALSE)</f>
        <v>0.20588072701971843</v>
      </c>
      <c r="AU140" s="479">
        <f t="shared" ref="AU140:AU203" si="41">VLOOKUP($J140,MeasureOutput,30,FALSE)</f>
        <v>0.19188809805174015</v>
      </c>
      <c r="AV140" s="479">
        <f t="shared" ref="AV140:AV203" si="42">VLOOKUP($J140,MeasureOutput,31,FALSE)</f>
        <v>0.18823279172770654</v>
      </c>
      <c r="AW140" s="479">
        <f t="shared" ref="AW140:AW203" si="43">VLOOKUP($J140,MeasureOutput,32,FALSE)</f>
        <v>0.18288355099166023</v>
      </c>
      <c r="AX140" s="479">
        <f t="shared" ref="AX140:AX203" si="44">VLOOKUP($J140,MeasureOutput,33,FALSE)</f>
        <v>0.17102828046479313</v>
      </c>
      <c r="AY140" s="479">
        <f t="shared" ref="AY140:AY203" si="45">VLOOKUP($J140,MeasureOutput,34,FALSE)</f>
        <v>0.19510998408759461</v>
      </c>
      <c r="AZ140" s="479">
        <f t="shared" ref="AZ140:AZ203" si="46">VLOOKUP($J140,MeasureOutput,35,FALSE)</f>
        <v>0.17650571242599744</v>
      </c>
      <c r="BA140" s="479">
        <f t="shared" ref="BA140:BA203" si="47">VLOOKUP($J140,MeasureOutput,36,FALSE)</f>
        <v>0.20458114074337783</v>
      </c>
      <c r="BB140" s="479">
        <f t="shared" ref="BB140:BB203" si="48">VLOOKUP($J140,MeasureOutput,37,FALSE)</f>
        <v>0.20338161427063109</v>
      </c>
      <c r="BC140" s="479">
        <f t="shared" ref="BC140:BC203" si="49">VLOOKUP($J140,MeasureOutput,38,FALSE)</f>
        <v>0.25614575671266115</v>
      </c>
      <c r="BD140" s="479">
        <f t="shared" ref="BD140:BD203" si="50">VLOOKUP($J140,MeasureOutput,39,FALSE)</f>
        <v>0.27325237092637639</v>
      </c>
    </row>
    <row r="141" spans="1:56" ht="15">
      <c r="A141" s="63" t="str">
        <f>VLOOKUP(CONCATENATE($C141," - ",$B141),[2]ACHIEV!$B$12:$C$100,2,FALSE)</f>
        <v>LO20Fast</v>
      </c>
      <c r="B141" s="63" t="str">
        <f>'SC-NR'!$C$7</f>
        <v>NR</v>
      </c>
      <c r="C141" s="63" t="str">
        <f>'SC-NR'!$C$8</f>
        <v>Lighting</v>
      </c>
      <c r="D141" s="63" t="s">
        <v>795</v>
      </c>
      <c r="E141" s="63" t="str">
        <f>'SC-NR'!$A$9</f>
        <v>Lighting</v>
      </c>
      <c r="F141" s="478">
        <f t="shared" si="26"/>
        <v>4.7955325150829165E-4</v>
      </c>
      <c r="G141" s="71">
        <f>'SC-NR'!A99</f>
        <v>1.835623194306955</v>
      </c>
      <c r="H141" s="71">
        <f>'SC-NR'!B99</f>
        <v>45.354656455601045</v>
      </c>
      <c r="I141" t="str">
        <f>'SC-NR'!C99</f>
        <v>Multifamily - Low Rise</v>
      </c>
      <c r="J141" t="str">
        <f>'SC-NR'!D99</f>
        <v>2016 - LEDGeneral Purpose and Dimmable250 to 664 lumensANY</v>
      </c>
      <c r="K141" s="37">
        <f>'SC-NR'!E99</f>
        <v>7.1035680531391088E-3</v>
      </c>
      <c r="L141" s="37">
        <f>'SC-NR'!F99</f>
        <v>0</v>
      </c>
      <c r="M141" s="37">
        <f>'SC-NR'!G99</f>
        <v>0</v>
      </c>
      <c r="N141" s="37">
        <f>'SC-NR'!H99</f>
        <v>0</v>
      </c>
      <c r="O141" s="37">
        <f>'SC-NR'!I99</f>
        <v>0</v>
      </c>
      <c r="P141" s="37">
        <f>'SC-NR'!J99</f>
        <v>0</v>
      </c>
      <c r="Q141" s="37">
        <f>'SC-NR'!K99</f>
        <v>0</v>
      </c>
      <c r="R141" s="37">
        <f>'SC-NR'!L99</f>
        <v>0</v>
      </c>
      <c r="S141" s="37">
        <f>'SC-NR'!M99</f>
        <v>0</v>
      </c>
      <c r="T141" s="37">
        <f>'SC-NR'!N99</f>
        <v>0</v>
      </c>
      <c r="U141" s="37">
        <f>'SC-NR'!O99</f>
        <v>0</v>
      </c>
      <c r="V141" s="37">
        <f>'SC-NR'!P99</f>
        <v>0</v>
      </c>
      <c r="W141" s="37">
        <f>'SC-NR'!Q99</f>
        <v>0</v>
      </c>
      <c r="X141" s="37">
        <f>'SC-NR'!R99</f>
        <v>0</v>
      </c>
      <c r="Y141" s="37">
        <f>'SC-NR'!S99</f>
        <v>0</v>
      </c>
      <c r="Z141" s="37">
        <f>'SC-NR'!T99</f>
        <v>0</v>
      </c>
      <c r="AA141" s="37">
        <f>'SC-NR'!U99</f>
        <v>0</v>
      </c>
      <c r="AB141" s="37">
        <f>'SC-NR'!V99</f>
        <v>0</v>
      </c>
      <c r="AC141" s="37">
        <f>'SC-NR'!W99</f>
        <v>0</v>
      </c>
      <c r="AD141" s="37">
        <f>'SC-NR'!X99</f>
        <v>0</v>
      </c>
      <c r="AE141" s="37">
        <f>'SC-NR'!Y99</f>
        <v>3.2113893311983104E-2</v>
      </c>
      <c r="AF141" s="479">
        <f t="shared" si="27"/>
        <v>0.13133658867482209</v>
      </c>
      <c r="AG141" s="479">
        <f t="shared" si="28"/>
        <v>0.10445916411489954</v>
      </c>
      <c r="AH141" s="479">
        <f t="shared" si="29"/>
        <v>0.1055370379863439</v>
      </c>
      <c r="AI141" s="479">
        <f t="shared" si="30"/>
        <v>8.6073208953935804E-2</v>
      </c>
      <c r="AJ141" s="479">
        <f t="shared" si="31"/>
        <v>7.837742886230771E-2</v>
      </c>
      <c r="AK141" s="479">
        <f t="shared" si="32"/>
        <v>8.0534513772445179E-2</v>
      </c>
      <c r="AL141" s="479">
        <f t="shared" si="33"/>
        <v>6.6464361161896968E-2</v>
      </c>
      <c r="AM141" s="479">
        <f t="shared" si="34"/>
        <v>7.5812669955515485E-2</v>
      </c>
      <c r="AN141" s="479">
        <f t="shared" si="35"/>
        <v>8.3481201096125474E-2</v>
      </c>
      <c r="AO141" s="479">
        <f t="shared" si="36"/>
        <v>0.12183357037846314</v>
      </c>
      <c r="AP141" s="479">
        <f t="shared" si="37"/>
        <v>0.12298691224496987</v>
      </c>
      <c r="AQ141" s="479">
        <f t="shared" si="38"/>
        <v>0.13501528873014673</v>
      </c>
      <c r="AR141" s="479"/>
      <c r="AS141" s="479">
        <f t="shared" si="39"/>
        <v>6.851601294308389E-2</v>
      </c>
      <c r="AT141" s="479">
        <f t="shared" si="40"/>
        <v>5.2657805319523042E-2</v>
      </c>
      <c r="AU141" s="479">
        <f t="shared" si="41"/>
        <v>4.9078931557174459E-2</v>
      </c>
      <c r="AV141" s="479">
        <f t="shared" si="42"/>
        <v>4.8144019331146884E-2</v>
      </c>
      <c r="AW141" s="479">
        <f t="shared" si="43"/>
        <v>4.6775852036599626E-2</v>
      </c>
      <c r="AX141" s="479">
        <f t="shared" si="44"/>
        <v>4.3743647242829607E-2</v>
      </c>
      <c r="AY141" s="479">
        <f t="shared" si="45"/>
        <v>4.99029885249812E-2</v>
      </c>
      <c r="AZ141" s="479">
        <f t="shared" si="46"/>
        <v>4.5144601815116529E-2</v>
      </c>
      <c r="BA141" s="479">
        <f t="shared" si="47"/>
        <v>5.2325412083273619E-2</v>
      </c>
      <c r="BB141" s="479">
        <f t="shared" si="48"/>
        <v>5.2018610993186824E-2</v>
      </c>
      <c r="BC141" s="479">
        <f t="shared" si="49"/>
        <v>6.5514016710779291E-2</v>
      </c>
      <c r="BD141" s="479">
        <f t="shared" si="50"/>
        <v>6.98893498173878E-2</v>
      </c>
    </row>
    <row r="142" spans="1:56" ht="15">
      <c r="A142" s="63" t="str">
        <f>VLOOKUP(CONCATENATE($C142," - ",$B142),[2]ACHIEV!$B$12:$C$100,2,FALSE)</f>
        <v>LO20Fast</v>
      </c>
      <c r="B142" s="63" t="str">
        <f>'SC-NR'!$C$7</f>
        <v>NR</v>
      </c>
      <c r="C142" s="63" t="str">
        <f>'SC-NR'!$C$8</f>
        <v>Lighting</v>
      </c>
      <c r="D142" s="63" t="s">
        <v>795</v>
      </c>
      <c r="E142" s="63" t="str">
        <f>'SC-NR'!$A$9</f>
        <v>Lighting</v>
      </c>
      <c r="F142" s="478">
        <f t="shared" si="26"/>
        <v>1.8717307205817217E-3</v>
      </c>
      <c r="G142" s="71">
        <f>'SC-NR'!A100</f>
        <v>7.1645689261628798</v>
      </c>
      <c r="H142" s="71">
        <f>'SC-NR'!B100</f>
        <v>56.611757463143533</v>
      </c>
      <c r="I142" t="str">
        <f>'SC-NR'!C100</f>
        <v>Multifamily - Low Rise</v>
      </c>
      <c r="J142" t="str">
        <f>'SC-NR'!D100</f>
        <v>2016 - LEDGeneral Purpose and Dimmable665 to 1439 lumensANY</v>
      </c>
      <c r="K142" s="37">
        <f>'SC-NR'!E100</f>
        <v>0.21394461599713518</v>
      </c>
      <c r="L142" s="37">
        <f>'SC-NR'!F100</f>
        <v>0</v>
      </c>
      <c r="M142" s="37">
        <f>'SC-NR'!G100</f>
        <v>0</v>
      </c>
      <c r="N142" s="37">
        <f>'SC-NR'!H100</f>
        <v>0</v>
      </c>
      <c r="O142" s="37">
        <f>'SC-NR'!I100</f>
        <v>0</v>
      </c>
      <c r="P142" s="37">
        <f>'SC-NR'!J100</f>
        <v>0</v>
      </c>
      <c r="Q142" s="37">
        <f>'SC-NR'!K100</f>
        <v>0</v>
      </c>
      <c r="R142" s="37">
        <f>'SC-NR'!L100</f>
        <v>0</v>
      </c>
      <c r="S142" s="37">
        <f>'SC-NR'!M100</f>
        <v>0</v>
      </c>
      <c r="T142" s="37">
        <f>'SC-NR'!N100</f>
        <v>0</v>
      </c>
      <c r="U142" s="37">
        <f>'SC-NR'!O100</f>
        <v>0</v>
      </c>
      <c r="V142" s="37">
        <f>'SC-NR'!P100</f>
        <v>0</v>
      </c>
      <c r="W142" s="37">
        <f>'SC-NR'!Q100</f>
        <v>0</v>
      </c>
      <c r="X142" s="37">
        <f>'SC-NR'!R100</f>
        <v>0</v>
      </c>
      <c r="Y142" s="37">
        <f>'SC-NR'!S100</f>
        <v>0</v>
      </c>
      <c r="Z142" s="37">
        <f>'SC-NR'!T100</f>
        <v>0</v>
      </c>
      <c r="AA142" s="37">
        <f>'SC-NR'!U100</f>
        <v>0</v>
      </c>
      <c r="AB142" s="37">
        <f>'SC-NR'!V100</f>
        <v>0</v>
      </c>
      <c r="AC142" s="37">
        <f>'SC-NR'!W100</f>
        <v>0</v>
      </c>
      <c r="AD142" s="37">
        <f>'SC-NR'!X100</f>
        <v>0</v>
      </c>
      <c r="AE142" s="37">
        <f>'SC-NR'!Y100</f>
        <v>0.96720331549002847</v>
      </c>
      <c r="AF142" s="479">
        <f t="shared" si="27"/>
        <v>0.5126161213293734</v>
      </c>
      <c r="AG142" s="479">
        <f t="shared" si="28"/>
        <v>0.40771160638614634</v>
      </c>
      <c r="AH142" s="479">
        <f t="shared" si="29"/>
        <v>0.41191862538090729</v>
      </c>
      <c r="AI142" s="479">
        <f t="shared" si="30"/>
        <v>0.33594990527417118</v>
      </c>
      <c r="AJ142" s="479">
        <f t="shared" si="31"/>
        <v>0.3059127238536789</v>
      </c>
      <c r="AK142" s="479">
        <f t="shared" si="32"/>
        <v>0.31433198090283632</v>
      </c>
      <c r="AL142" s="479">
        <f t="shared" si="33"/>
        <v>0.25941516655196784</v>
      </c>
      <c r="AM142" s="479">
        <f t="shared" si="34"/>
        <v>0.2959022859687726</v>
      </c>
      <c r="AN142" s="479">
        <f t="shared" si="35"/>
        <v>0.32583311277992005</v>
      </c>
      <c r="AO142" s="479">
        <f t="shared" si="36"/>
        <v>0.47552515963199937</v>
      </c>
      <c r="AP142" s="479">
        <f t="shared" si="37"/>
        <v>0.48002673562191084</v>
      </c>
      <c r="AQ142" s="479">
        <f t="shared" si="38"/>
        <v>0.52697435137723647</v>
      </c>
      <c r="AR142" s="479"/>
      <c r="AS142" s="479">
        <f t="shared" si="39"/>
        <v>0.26742291054016054</v>
      </c>
      <c r="AT142" s="479">
        <f t="shared" si="40"/>
        <v>0.20552718928496042</v>
      </c>
      <c r="AU142" s="479">
        <f t="shared" si="41"/>
        <v>0.19155858841529055</v>
      </c>
      <c r="AV142" s="479">
        <f t="shared" si="42"/>
        <v>0.18790955897174189</v>
      </c>
      <c r="AW142" s="479">
        <f t="shared" si="43"/>
        <v>0.18256950393500734</v>
      </c>
      <c r="AX142" s="479">
        <f t="shared" si="44"/>
        <v>0.17073459124127832</v>
      </c>
      <c r="AY142" s="479">
        <f t="shared" si="45"/>
        <v>0.19477494183861133</v>
      </c>
      <c r="AZ142" s="479">
        <f t="shared" si="46"/>
        <v>0.17620261737360352</v>
      </c>
      <c r="BA142" s="479">
        <f t="shared" si="47"/>
        <v>0.20422983465407252</v>
      </c>
      <c r="BB142" s="479">
        <f t="shared" si="48"/>
        <v>0.20303236800439955</v>
      </c>
      <c r="BC142" s="479">
        <f t="shared" si="49"/>
        <v>0.25570590402753146</v>
      </c>
      <c r="BD142" s="479">
        <f t="shared" si="50"/>
        <v>0.27278314281730076</v>
      </c>
    </row>
    <row r="143" spans="1:56" ht="15">
      <c r="A143" s="63" t="str">
        <f>VLOOKUP(CONCATENATE($C143," - ",$B143),[2]ACHIEV!$B$12:$C$100,2,FALSE)</f>
        <v>LO20Fast</v>
      </c>
      <c r="B143" s="63" t="str">
        <f>'SC-NR'!$C$7</f>
        <v>NR</v>
      </c>
      <c r="C143" s="63" t="str">
        <f>'SC-NR'!$C$8</f>
        <v>Lighting</v>
      </c>
      <c r="D143" s="63" t="s">
        <v>795</v>
      </c>
      <c r="E143" s="63" t="str">
        <f>'SC-NR'!$A$9</f>
        <v>Lighting</v>
      </c>
      <c r="F143" s="478">
        <f t="shared" si="26"/>
        <v>3.4972440175301935E-3</v>
      </c>
      <c r="G143" s="71">
        <f>'SC-NR'!A101</f>
        <v>13.386672313322151</v>
      </c>
      <c r="H143" s="71">
        <f>'SC-NR'!B101</f>
        <v>91.063681093838966</v>
      </c>
      <c r="I143" t="str">
        <f>'SC-NR'!C101</f>
        <v>Multifamily - Low Rise</v>
      </c>
      <c r="J143" t="str">
        <f>'SC-NR'!D101</f>
        <v>2016 - LEDGeneral Purpose and Dimmable1440 to 2600 lumensANY</v>
      </c>
      <c r="K143" s="37">
        <f>'SC-NR'!E101</f>
        <v>3.9855170601088973E-2</v>
      </c>
      <c r="L143" s="37">
        <f>'SC-NR'!F101</f>
        <v>0</v>
      </c>
      <c r="M143" s="37">
        <f>'SC-NR'!G101</f>
        <v>0</v>
      </c>
      <c r="N143" s="37">
        <f>'SC-NR'!H101</f>
        <v>0</v>
      </c>
      <c r="O143" s="37">
        <f>'SC-NR'!I101</f>
        <v>0</v>
      </c>
      <c r="P143" s="37">
        <f>'SC-NR'!J101</f>
        <v>0</v>
      </c>
      <c r="Q143" s="37">
        <f>'SC-NR'!K101</f>
        <v>0</v>
      </c>
      <c r="R143" s="37">
        <f>'SC-NR'!L101</f>
        <v>0</v>
      </c>
      <c r="S143" s="37">
        <f>'SC-NR'!M101</f>
        <v>0</v>
      </c>
      <c r="T143" s="37">
        <f>'SC-NR'!N101</f>
        <v>0</v>
      </c>
      <c r="U143" s="37">
        <f>'SC-NR'!O101</f>
        <v>0</v>
      </c>
      <c r="V143" s="37">
        <f>'SC-NR'!P101</f>
        <v>0</v>
      </c>
      <c r="W143" s="37">
        <f>'SC-NR'!Q101</f>
        <v>0</v>
      </c>
      <c r="X143" s="37">
        <f>'SC-NR'!R101</f>
        <v>0</v>
      </c>
      <c r="Y143" s="37">
        <f>'SC-NR'!S101</f>
        <v>0</v>
      </c>
      <c r="Z143" s="37">
        <f>'SC-NR'!T101</f>
        <v>0</v>
      </c>
      <c r="AA143" s="37">
        <f>'SC-NR'!U101</f>
        <v>0</v>
      </c>
      <c r="AB143" s="37">
        <f>'SC-NR'!V101</f>
        <v>0</v>
      </c>
      <c r="AC143" s="37">
        <f>'SC-NR'!W101</f>
        <v>0</v>
      </c>
      <c r="AD143" s="37">
        <f>'SC-NR'!X101</f>
        <v>0</v>
      </c>
      <c r="AE143" s="37">
        <f>'SC-NR'!Y101</f>
        <v>0.18017772013159772</v>
      </c>
      <c r="AF143" s="479">
        <f t="shared" si="27"/>
        <v>0.95779998901311492</v>
      </c>
      <c r="AG143" s="479">
        <f t="shared" si="28"/>
        <v>0.76179065750890984</v>
      </c>
      <c r="AH143" s="479">
        <f t="shared" si="29"/>
        <v>0.76965128182269515</v>
      </c>
      <c r="AI143" s="479">
        <f t="shared" si="30"/>
        <v>0.62770717149140953</v>
      </c>
      <c r="AJ143" s="479">
        <f t="shared" si="31"/>
        <v>0.57158405940526624</v>
      </c>
      <c r="AK143" s="479">
        <f t="shared" si="32"/>
        <v>0.58731505960921848</v>
      </c>
      <c r="AL143" s="479">
        <f t="shared" si="33"/>
        <v>0.48470548103121619</v>
      </c>
      <c r="AM143" s="479">
        <f t="shared" si="34"/>
        <v>0.552880009928018</v>
      </c>
      <c r="AN143" s="479">
        <f t="shared" si="35"/>
        <v>0.60880440324699125</v>
      </c>
      <c r="AO143" s="479">
        <f t="shared" si="36"/>
        <v>0.888497208183473</v>
      </c>
      <c r="AP143" s="479">
        <f t="shared" si="37"/>
        <v>0.89690819889226614</v>
      </c>
      <c r="AQ143" s="479">
        <f t="shared" si="38"/>
        <v>0.98462769108855308</v>
      </c>
      <c r="AR143" s="479"/>
      <c r="AS143" s="479">
        <f t="shared" si="39"/>
        <v>0.49966758773207559</v>
      </c>
      <c r="AT143" s="479">
        <f t="shared" si="40"/>
        <v>0.38401823791364159</v>
      </c>
      <c r="AU143" s="479">
        <f t="shared" si="41"/>
        <v>0.35791854029819764</v>
      </c>
      <c r="AV143" s="479">
        <f t="shared" si="42"/>
        <v>0.35110049417066713</v>
      </c>
      <c r="AW143" s="479">
        <f t="shared" si="43"/>
        <v>0.34112284336590948</v>
      </c>
      <c r="AX143" s="479">
        <f t="shared" si="44"/>
        <v>0.31900984540043698</v>
      </c>
      <c r="AY143" s="479">
        <f t="shared" si="45"/>
        <v>0.36392815089243707</v>
      </c>
      <c r="AZ143" s="479">
        <f t="shared" si="46"/>
        <v>0.32922660439717438</v>
      </c>
      <c r="BA143" s="479">
        <f t="shared" si="47"/>
        <v>0.38159418958681945</v>
      </c>
      <c r="BB143" s="479">
        <f t="shared" si="48"/>
        <v>0.37935677742559831</v>
      </c>
      <c r="BC143" s="479">
        <f t="shared" si="49"/>
        <v>0.47777489212203672</v>
      </c>
      <c r="BD143" s="479">
        <f t="shared" si="50"/>
        <v>0.50968293879602289</v>
      </c>
    </row>
    <row r="144" spans="1:56" ht="15">
      <c r="A144" s="63" t="str">
        <f>VLOOKUP(CONCATENATE($C144," - ",$B144),[2]ACHIEV!$B$12:$C$100,2,FALSE)</f>
        <v>LO20Fast</v>
      </c>
      <c r="B144" s="63" t="str">
        <f>'SC-NR'!$C$7</f>
        <v>NR</v>
      </c>
      <c r="C144" s="63" t="str">
        <f>'SC-NR'!$C$8</f>
        <v>Lighting</v>
      </c>
      <c r="D144" s="63" t="s">
        <v>795</v>
      </c>
      <c r="E144" s="63" t="str">
        <f>'SC-NR'!$A$9</f>
        <v>Lighting</v>
      </c>
      <c r="F144" s="478">
        <f t="shared" si="26"/>
        <v>3.7448609823725787E-3</v>
      </c>
      <c r="G144" s="71">
        <f>'SC-NR'!A102</f>
        <v>14.33449498481688</v>
      </c>
      <c r="H144" s="71">
        <f>'SC-NR'!B102</f>
        <v>-37.397069706053522</v>
      </c>
      <c r="I144" t="str">
        <f>'SC-NR'!C102</f>
        <v>Multifamily - Low Rise</v>
      </c>
      <c r="J144" t="str">
        <f>'SC-NR'!D102</f>
        <v>2016 - LEDGlobe250 to 664 lumensANY</v>
      </c>
      <c r="K144" s="37">
        <f>'SC-NR'!E102</f>
        <v>3.6475052955057659E-2</v>
      </c>
      <c r="L144" s="37">
        <f>'SC-NR'!F102</f>
        <v>0</v>
      </c>
      <c r="M144" s="37">
        <f>'SC-NR'!G102</f>
        <v>0</v>
      </c>
      <c r="N144" s="37">
        <f>'SC-NR'!H102</f>
        <v>0</v>
      </c>
      <c r="O144" s="37">
        <f>'SC-NR'!I102</f>
        <v>0</v>
      </c>
      <c r="P144" s="37">
        <f>'SC-NR'!J102</f>
        <v>0</v>
      </c>
      <c r="Q144" s="37">
        <f>'SC-NR'!K102</f>
        <v>0</v>
      </c>
      <c r="R144" s="37">
        <f>'SC-NR'!L102</f>
        <v>0</v>
      </c>
      <c r="S144" s="37">
        <f>'SC-NR'!M102</f>
        <v>0</v>
      </c>
      <c r="T144" s="37">
        <f>'SC-NR'!N102</f>
        <v>0</v>
      </c>
      <c r="U144" s="37">
        <f>'SC-NR'!O102</f>
        <v>0</v>
      </c>
      <c r="V144" s="37">
        <f>'SC-NR'!P102</f>
        <v>0</v>
      </c>
      <c r="W144" s="37">
        <f>'SC-NR'!Q102</f>
        <v>0</v>
      </c>
      <c r="X144" s="37">
        <f>'SC-NR'!R102</f>
        <v>0</v>
      </c>
      <c r="Y144" s="37">
        <f>'SC-NR'!S102</f>
        <v>0</v>
      </c>
      <c r="Z144" s="37">
        <f>'SC-NR'!T102</f>
        <v>0</v>
      </c>
      <c r="AA144" s="37">
        <f>'SC-NR'!U102</f>
        <v>0</v>
      </c>
      <c r="AB144" s="37">
        <f>'SC-NR'!V102</f>
        <v>0</v>
      </c>
      <c r="AC144" s="37">
        <f>'SC-NR'!W102</f>
        <v>0</v>
      </c>
      <c r="AD144" s="37">
        <f>'SC-NR'!X102</f>
        <v>0</v>
      </c>
      <c r="AE144" s="37">
        <f>'SC-NR'!Y102</f>
        <v>0.16489684485109232</v>
      </c>
      <c r="AF144" s="479">
        <f t="shared" si="27"/>
        <v>1.0256155389194634</v>
      </c>
      <c r="AG144" s="479">
        <f t="shared" si="28"/>
        <v>0.81572806922856911</v>
      </c>
      <c r="AH144" s="479">
        <f t="shared" si="29"/>
        <v>0.82414525291441687</v>
      </c>
      <c r="AI144" s="479">
        <f t="shared" si="30"/>
        <v>0.67215100893466262</v>
      </c>
      <c r="AJ144" s="479">
        <f t="shared" si="31"/>
        <v>0.61205418652043819</v>
      </c>
      <c r="AK144" s="479">
        <f t="shared" si="32"/>
        <v>0.62889899591383003</v>
      </c>
      <c r="AL144" s="479">
        <f t="shared" si="33"/>
        <v>0.51902430449729475</v>
      </c>
      <c r="AM144" s="479">
        <f t="shared" si="34"/>
        <v>0.59202582568870554</v>
      </c>
      <c r="AN144" s="479">
        <f t="shared" si="35"/>
        <v>0.65190985936016288</v>
      </c>
      <c r="AO144" s="479">
        <f t="shared" si="36"/>
        <v>0.95140588165850748</v>
      </c>
      <c r="AP144" s="479">
        <f t="shared" si="37"/>
        <v>0.96041239958249891</v>
      </c>
      <c r="AQ144" s="479">
        <f t="shared" si="38"/>
        <v>1.0543427350331549</v>
      </c>
      <c r="AR144" s="479"/>
      <c r="AS144" s="479">
        <f t="shared" si="39"/>
        <v>0.53504578006985537</v>
      </c>
      <c r="AT144" s="479">
        <f t="shared" si="40"/>
        <v>0.4112080565364355</v>
      </c>
      <c r="AU144" s="479">
        <f t="shared" si="41"/>
        <v>0.38326041011489015</v>
      </c>
      <c r="AV144" s="479">
        <f t="shared" si="42"/>
        <v>0.37595962275460831</v>
      </c>
      <c r="AW144" s="479">
        <f t="shared" si="43"/>
        <v>0.36527551978461797</v>
      </c>
      <c r="AX144" s="479">
        <f t="shared" si="44"/>
        <v>0.34159684512849148</v>
      </c>
      <c r="AY144" s="479">
        <f t="shared" si="45"/>
        <v>0.38969552191172535</v>
      </c>
      <c r="AZ144" s="479">
        <f t="shared" si="46"/>
        <v>0.35253698597694333</v>
      </c>
      <c r="BA144" s="479">
        <f t="shared" si="47"/>
        <v>0.40861237720922838</v>
      </c>
      <c r="BB144" s="479">
        <f t="shared" si="48"/>
        <v>0.40621654853326428</v>
      </c>
      <c r="BC144" s="479">
        <f t="shared" si="49"/>
        <v>0.51160300593741348</v>
      </c>
      <c r="BD144" s="479">
        <f t="shared" si="50"/>
        <v>0.54577025260769885</v>
      </c>
    </row>
    <row r="145" spans="1:56" ht="15">
      <c r="A145" s="63" t="str">
        <f>VLOOKUP(CONCATENATE($C145," - ",$B145),[2]ACHIEV!$B$12:$C$100,2,FALSE)</f>
        <v>LO20Fast</v>
      </c>
      <c r="B145" s="63" t="str">
        <f>'SC-NR'!$C$7</f>
        <v>NR</v>
      </c>
      <c r="C145" s="63" t="str">
        <f>'SC-NR'!$C$8</f>
        <v>Lighting</v>
      </c>
      <c r="D145" s="63" t="s">
        <v>795</v>
      </c>
      <c r="E145" s="63" t="str">
        <f>'SC-NR'!$A$9</f>
        <v>Lighting</v>
      </c>
      <c r="F145" s="478">
        <f t="shared" si="26"/>
        <v>2.5791399031027257E-3</v>
      </c>
      <c r="G145" s="71">
        <f>'SC-NR'!A103</f>
        <v>9.8723739493112301</v>
      </c>
      <c r="H145" s="71">
        <f>'SC-NR'!B103</f>
        <v>-94.996719014918995</v>
      </c>
      <c r="I145" t="str">
        <f>'SC-NR'!C103</f>
        <v>Multifamily - Low Rise</v>
      </c>
      <c r="J145" t="str">
        <f>'SC-NR'!D103</f>
        <v>2016 - LEDGlobe665 to 1439 lumensANY</v>
      </c>
      <c r="K145" s="37">
        <f>'SC-NR'!E103</f>
        <v>1.5318080573544156E-2</v>
      </c>
      <c r="L145" s="37">
        <f>'SC-NR'!F103</f>
        <v>0</v>
      </c>
      <c r="M145" s="37">
        <f>'SC-NR'!G103</f>
        <v>0</v>
      </c>
      <c r="N145" s="37">
        <f>'SC-NR'!H103</f>
        <v>0</v>
      </c>
      <c r="O145" s="37">
        <f>'SC-NR'!I103</f>
        <v>0</v>
      </c>
      <c r="P145" s="37">
        <f>'SC-NR'!J103</f>
        <v>0</v>
      </c>
      <c r="Q145" s="37">
        <f>'SC-NR'!K103</f>
        <v>0</v>
      </c>
      <c r="R145" s="37">
        <f>'SC-NR'!L103</f>
        <v>0</v>
      </c>
      <c r="S145" s="37">
        <f>'SC-NR'!M103</f>
        <v>0</v>
      </c>
      <c r="T145" s="37">
        <f>'SC-NR'!N103</f>
        <v>0</v>
      </c>
      <c r="U145" s="37">
        <f>'SC-NR'!O103</f>
        <v>0</v>
      </c>
      <c r="V145" s="37">
        <f>'SC-NR'!P103</f>
        <v>0</v>
      </c>
      <c r="W145" s="37">
        <f>'SC-NR'!Q103</f>
        <v>0</v>
      </c>
      <c r="X145" s="37">
        <f>'SC-NR'!R103</f>
        <v>0</v>
      </c>
      <c r="Y145" s="37">
        <f>'SC-NR'!S103</f>
        <v>0</v>
      </c>
      <c r="Z145" s="37">
        <f>'SC-NR'!T103</f>
        <v>0</v>
      </c>
      <c r="AA145" s="37">
        <f>'SC-NR'!U103</f>
        <v>0</v>
      </c>
      <c r="AB145" s="37">
        <f>'SC-NR'!V103</f>
        <v>0</v>
      </c>
      <c r="AC145" s="37">
        <f>'SC-NR'!W103</f>
        <v>0</v>
      </c>
      <c r="AD145" s="37">
        <f>'SC-NR'!X103</f>
        <v>0</v>
      </c>
      <c r="AE145" s="37">
        <f>'SC-NR'!Y103</f>
        <v>6.9250157329846962E-2</v>
      </c>
      <c r="AF145" s="479">
        <f t="shared" si="27"/>
        <v>0.70635625037101069</v>
      </c>
      <c r="AG145" s="479">
        <f t="shared" si="28"/>
        <v>0.5618037153666039</v>
      </c>
      <c r="AH145" s="479">
        <f t="shared" si="29"/>
        <v>0.5676007514697069</v>
      </c>
      <c r="AI145" s="479">
        <f t="shared" si="30"/>
        <v>0.46292011805357608</v>
      </c>
      <c r="AJ145" s="479">
        <f t="shared" si="31"/>
        <v>0.42153056755549467</v>
      </c>
      <c r="AK145" s="479">
        <f t="shared" si="32"/>
        <v>0.43313183133301719</v>
      </c>
      <c r="AL145" s="479">
        <f t="shared" si="33"/>
        <v>0.35745954274676744</v>
      </c>
      <c r="AM145" s="479">
        <f t="shared" si="34"/>
        <v>0.40773674587345871</v>
      </c>
      <c r="AN145" s="479">
        <f t="shared" si="35"/>
        <v>0.44897974568782045</v>
      </c>
      <c r="AO145" s="479">
        <f t="shared" si="36"/>
        <v>0.65524698646555923</v>
      </c>
      <c r="AP145" s="479">
        <f t="shared" si="37"/>
        <v>0.66144990557927741</v>
      </c>
      <c r="AQ145" s="479">
        <f t="shared" si="38"/>
        <v>0.72614108568261104</v>
      </c>
      <c r="AR145" s="479"/>
      <c r="AS145" s="479">
        <f t="shared" si="39"/>
        <v>0.36849376461782796</v>
      </c>
      <c r="AT145" s="479">
        <f t="shared" si="40"/>
        <v>0.28320493393015522</v>
      </c>
      <c r="AU145" s="479">
        <f t="shared" si="41"/>
        <v>0.26395698576254489</v>
      </c>
      <c r="AV145" s="479">
        <f t="shared" si="42"/>
        <v>0.25892882795011757</v>
      </c>
      <c r="AW145" s="479">
        <f t="shared" si="43"/>
        <v>0.25157053176009392</v>
      </c>
      <c r="AX145" s="479">
        <f t="shared" si="44"/>
        <v>0.2352626861696519</v>
      </c>
      <c r="AY145" s="479">
        <f t="shared" si="45"/>
        <v>0.26838894029817884</v>
      </c>
      <c r="AZ145" s="479">
        <f t="shared" si="46"/>
        <v>0.24279731934845944</v>
      </c>
      <c r="BA145" s="479">
        <f t="shared" si="47"/>
        <v>0.28141725204824536</v>
      </c>
      <c r="BB145" s="479">
        <f t="shared" si="48"/>
        <v>0.27976721019935885</v>
      </c>
      <c r="BC145" s="479">
        <f t="shared" si="49"/>
        <v>0.35234838712878186</v>
      </c>
      <c r="BD145" s="479">
        <f t="shared" si="50"/>
        <v>0.37587986391290973</v>
      </c>
    </row>
    <row r="146" spans="1:56" ht="15">
      <c r="A146" s="63" t="str">
        <f>VLOOKUP(CONCATENATE($C146," - ",$B146),[2]ACHIEV!$B$12:$C$100,2,FALSE)</f>
        <v>LO20Fast</v>
      </c>
      <c r="B146" s="63" t="str">
        <f>'SC-NR'!$C$7</f>
        <v>NR</v>
      </c>
      <c r="C146" s="63" t="str">
        <f>'SC-NR'!$C$8</f>
        <v>Lighting</v>
      </c>
      <c r="D146" s="63" t="s">
        <v>795</v>
      </c>
      <c r="E146" s="63" t="str">
        <f>'SC-NR'!$A$9</f>
        <v>Lighting</v>
      </c>
      <c r="F146" s="478">
        <f t="shared" si="26"/>
        <v>2.7904432298357131E-3</v>
      </c>
      <c r="G146" s="71">
        <f>'SC-NR'!A104</f>
        <v>10.681196090262945</v>
      </c>
      <c r="H146" s="71">
        <f>'SC-NR'!B104</f>
        <v>-99.87829920820603</v>
      </c>
      <c r="I146" t="str">
        <f>'SC-NR'!C104</f>
        <v>Multifamily - Low Rise</v>
      </c>
      <c r="J146" t="str">
        <f>'SC-NR'!D104</f>
        <v>2016 - LEDGlobe1440 to 2600 lumensANY</v>
      </c>
      <c r="K146" s="37">
        <f>'SC-NR'!E104</f>
        <v>1.2487934066347346E-3</v>
      </c>
      <c r="L146" s="37">
        <f>'SC-NR'!F104</f>
        <v>0</v>
      </c>
      <c r="M146" s="37">
        <f>'SC-NR'!G104</f>
        <v>0</v>
      </c>
      <c r="N146" s="37">
        <f>'SC-NR'!H104</f>
        <v>0</v>
      </c>
      <c r="O146" s="37">
        <f>'SC-NR'!I104</f>
        <v>0</v>
      </c>
      <c r="P146" s="37">
        <f>'SC-NR'!J104</f>
        <v>0</v>
      </c>
      <c r="Q146" s="37">
        <f>'SC-NR'!K104</f>
        <v>0</v>
      </c>
      <c r="R146" s="37">
        <f>'SC-NR'!L104</f>
        <v>0</v>
      </c>
      <c r="S146" s="37">
        <f>'SC-NR'!M104</f>
        <v>0</v>
      </c>
      <c r="T146" s="37">
        <f>'SC-NR'!N104</f>
        <v>0</v>
      </c>
      <c r="U146" s="37">
        <f>'SC-NR'!O104</f>
        <v>0</v>
      </c>
      <c r="V146" s="37">
        <f>'SC-NR'!P104</f>
        <v>0</v>
      </c>
      <c r="W146" s="37">
        <f>'SC-NR'!Q104</f>
        <v>0</v>
      </c>
      <c r="X146" s="37">
        <f>'SC-NR'!R104</f>
        <v>0</v>
      </c>
      <c r="Y146" s="37">
        <f>'SC-NR'!S104</f>
        <v>0</v>
      </c>
      <c r="Z146" s="37">
        <f>'SC-NR'!T104</f>
        <v>0</v>
      </c>
      <c r="AA146" s="37">
        <f>'SC-NR'!U104</f>
        <v>0</v>
      </c>
      <c r="AB146" s="37">
        <f>'SC-NR'!V104</f>
        <v>0</v>
      </c>
      <c r="AC146" s="37">
        <f>'SC-NR'!W104</f>
        <v>0</v>
      </c>
      <c r="AD146" s="37">
        <f>'SC-NR'!X104</f>
        <v>0</v>
      </c>
      <c r="AE146" s="37">
        <f>'SC-NR'!Y104</f>
        <v>5.6455597988751263E-3</v>
      </c>
      <c r="AF146" s="479">
        <f t="shared" si="27"/>
        <v>0.7642264827622347</v>
      </c>
      <c r="AG146" s="479">
        <f t="shared" si="28"/>
        <v>0.60783107273682868</v>
      </c>
      <c r="AH146" s="479">
        <f t="shared" si="29"/>
        <v>0.61410304740852306</v>
      </c>
      <c r="AI146" s="479">
        <f t="shared" si="30"/>
        <v>0.50084615721053449</v>
      </c>
      <c r="AJ146" s="479">
        <f t="shared" si="31"/>
        <v>0.45606565079660444</v>
      </c>
      <c r="AK146" s="479">
        <f t="shared" si="32"/>
        <v>0.46861738090111776</v>
      </c>
      <c r="AL146" s="479">
        <f t="shared" si="33"/>
        <v>0.38674542617789825</v>
      </c>
      <c r="AM146" s="479">
        <f t="shared" si="34"/>
        <v>0.44114173128378797</v>
      </c>
      <c r="AN146" s="479">
        <f t="shared" si="35"/>
        <v>0.48576368043499596</v>
      </c>
      <c r="AO146" s="479">
        <f t="shared" si="36"/>
        <v>0.70892994794639019</v>
      </c>
      <c r="AP146" s="479">
        <f t="shared" si="37"/>
        <v>0.71564105874160944</v>
      </c>
      <c r="AQ146" s="479">
        <f t="shared" si="38"/>
        <v>0.78563224663035736</v>
      </c>
      <c r="AR146" s="479"/>
      <c r="AS146" s="479">
        <f t="shared" si="39"/>
        <v>0.39868365786496762</v>
      </c>
      <c r="AT146" s="479">
        <f t="shared" si="40"/>
        <v>0.30640729864664351</v>
      </c>
      <c r="AU146" s="479">
        <f t="shared" si="41"/>
        <v>0.28558240791934209</v>
      </c>
      <c r="AV146" s="479">
        <f t="shared" si="42"/>
        <v>0.28014230406559065</v>
      </c>
      <c r="AW146" s="479">
        <f t="shared" si="43"/>
        <v>0.27218115866131221</v>
      </c>
      <c r="AX146" s="479">
        <f t="shared" si="44"/>
        <v>0.25453724672527844</v>
      </c>
      <c r="AY146" s="479">
        <f t="shared" si="45"/>
        <v>0.29037746285762667</v>
      </c>
      <c r="AZ146" s="479">
        <f t="shared" si="46"/>
        <v>0.26268917602457925</v>
      </c>
      <c r="BA146" s="479">
        <f t="shared" si="47"/>
        <v>0.30447315587351431</v>
      </c>
      <c r="BB146" s="479">
        <f t="shared" si="48"/>
        <v>0.30268792968216585</v>
      </c>
      <c r="BC146" s="479">
        <f t="shared" si="49"/>
        <v>0.3812155246887674</v>
      </c>
      <c r="BD146" s="479">
        <f t="shared" si="50"/>
        <v>0.4066748842222741</v>
      </c>
    </row>
    <row r="147" spans="1:56" ht="15">
      <c r="A147" s="63" t="str">
        <f>VLOOKUP(CONCATENATE($C147," - ",$B147),[2]ACHIEV!$B$12:$C$100,2,FALSE)</f>
        <v>LO20Fast</v>
      </c>
      <c r="B147" s="63" t="str">
        <f>'SC-NR'!$C$7</f>
        <v>NR</v>
      </c>
      <c r="C147" s="63" t="str">
        <f>'SC-NR'!$C$8</f>
        <v>Lighting</v>
      </c>
      <c r="D147" s="63" t="s">
        <v>795</v>
      </c>
      <c r="E147" s="63" t="str">
        <f>'SC-NR'!$A$9</f>
        <v>Lighting</v>
      </c>
      <c r="F147" s="478">
        <f t="shared" si="26"/>
        <v>5.3228772760490119E-3</v>
      </c>
      <c r="G147" s="71">
        <f>'SC-NR'!A105</f>
        <v>20.374790406766845</v>
      </c>
      <c r="H147" s="71">
        <f>'SC-NR'!B105</f>
        <v>-38.377975660533203</v>
      </c>
      <c r="I147" t="str">
        <f>'SC-NR'!C105</f>
        <v>Multifamily - Low Rise</v>
      </c>
      <c r="J147" t="str">
        <f>'SC-NR'!D105</f>
        <v>2016 - LEDReflectors and Outdoor250 to 664 lumensANY</v>
      </c>
      <c r="K147" s="37">
        <f>'SC-NR'!E105</f>
        <v>1.6490799564354074E-2</v>
      </c>
      <c r="L147" s="37">
        <f>'SC-NR'!F105</f>
        <v>0</v>
      </c>
      <c r="M147" s="37">
        <f>'SC-NR'!G105</f>
        <v>0</v>
      </c>
      <c r="N147" s="37">
        <f>'SC-NR'!H105</f>
        <v>0</v>
      </c>
      <c r="O147" s="37">
        <f>'SC-NR'!I105</f>
        <v>0</v>
      </c>
      <c r="P147" s="37">
        <f>'SC-NR'!J105</f>
        <v>0</v>
      </c>
      <c r="Q147" s="37">
        <f>'SC-NR'!K105</f>
        <v>0</v>
      </c>
      <c r="R147" s="37">
        <f>'SC-NR'!L105</f>
        <v>0</v>
      </c>
      <c r="S147" s="37">
        <f>'SC-NR'!M105</f>
        <v>0</v>
      </c>
      <c r="T147" s="37">
        <f>'SC-NR'!N105</f>
        <v>0</v>
      </c>
      <c r="U147" s="37">
        <f>'SC-NR'!O105</f>
        <v>0</v>
      </c>
      <c r="V147" s="37">
        <f>'SC-NR'!P105</f>
        <v>0</v>
      </c>
      <c r="W147" s="37">
        <f>'SC-NR'!Q105</f>
        <v>0</v>
      </c>
      <c r="X147" s="37">
        <f>'SC-NR'!R105</f>
        <v>0</v>
      </c>
      <c r="Y147" s="37">
        <f>'SC-NR'!S105</f>
        <v>0</v>
      </c>
      <c r="Z147" s="37">
        <f>'SC-NR'!T105</f>
        <v>0</v>
      </c>
      <c r="AA147" s="37">
        <f>'SC-NR'!U105</f>
        <v>0</v>
      </c>
      <c r="AB147" s="37">
        <f>'SC-NR'!V105</f>
        <v>0</v>
      </c>
      <c r="AC147" s="37">
        <f>'SC-NR'!W105</f>
        <v>0</v>
      </c>
      <c r="AD147" s="37">
        <f>'SC-NR'!X105</f>
        <v>0</v>
      </c>
      <c r="AE147" s="37">
        <f>'SC-NR'!Y105</f>
        <v>7.4551799022314971E-2</v>
      </c>
      <c r="AF147" s="479">
        <f t="shared" si="27"/>
        <v>1.4577912696290392</v>
      </c>
      <c r="AG147" s="479">
        <f t="shared" si="28"/>
        <v>1.1594610383590722</v>
      </c>
      <c r="AH147" s="479">
        <f t="shared" si="29"/>
        <v>1.1714250701297106</v>
      </c>
      <c r="AI147" s="479">
        <f t="shared" si="30"/>
        <v>0.95538321672624815</v>
      </c>
      <c r="AJ147" s="479">
        <f t="shared" si="31"/>
        <v>0.86996268659250697</v>
      </c>
      <c r="AK147" s="479">
        <f t="shared" si="32"/>
        <v>0.89390559223346777</v>
      </c>
      <c r="AL147" s="479">
        <f t="shared" si="33"/>
        <v>0.73773170462938431</v>
      </c>
      <c r="AM147" s="479">
        <f t="shared" si="34"/>
        <v>0.84149473885037285</v>
      </c>
      <c r="AN147" s="479">
        <f t="shared" si="35"/>
        <v>0.92661281493607173</v>
      </c>
      <c r="AO147" s="479">
        <f t="shared" si="36"/>
        <v>1.3523110127764957</v>
      </c>
      <c r="AP147" s="479">
        <f t="shared" si="37"/>
        <v>1.3651127135124117</v>
      </c>
      <c r="AQ147" s="479">
        <f t="shared" si="38"/>
        <v>1.4986235835968849</v>
      </c>
      <c r="AR147" s="479"/>
      <c r="AS147" s="479">
        <f t="shared" si="39"/>
        <v>0.76050433855501731</v>
      </c>
      <c r="AT147" s="479">
        <f t="shared" si="40"/>
        <v>0.58448365110721312</v>
      </c>
      <c r="AU147" s="479">
        <f t="shared" si="41"/>
        <v>0.54475937489067727</v>
      </c>
      <c r="AV147" s="479">
        <f t="shared" si="42"/>
        <v>0.53438216854837683</v>
      </c>
      <c r="AW147" s="479">
        <f t="shared" si="43"/>
        <v>0.51919597894571268</v>
      </c>
      <c r="AX147" s="479">
        <f t="shared" si="44"/>
        <v>0.48553954153793449</v>
      </c>
      <c r="AY147" s="479">
        <f t="shared" si="45"/>
        <v>0.55390612573495235</v>
      </c>
      <c r="AZ147" s="479">
        <f t="shared" si="46"/>
        <v>0.5010896587233542</v>
      </c>
      <c r="BA147" s="479">
        <f t="shared" si="47"/>
        <v>0.58079419973058355</v>
      </c>
      <c r="BB147" s="479">
        <f t="shared" si="48"/>
        <v>0.57738881243406592</v>
      </c>
      <c r="BC147" s="479">
        <f t="shared" si="49"/>
        <v>0.72718320586024165</v>
      </c>
      <c r="BD147" s="479">
        <f t="shared" si="50"/>
        <v>0.77574790872704857</v>
      </c>
    </row>
    <row r="148" spans="1:56" ht="15">
      <c r="A148" s="63" t="str">
        <f>VLOOKUP(CONCATENATE($C148," - ",$B148),[2]ACHIEV!$B$12:$C$100,2,FALSE)</f>
        <v>LO20Fast</v>
      </c>
      <c r="B148" s="63" t="str">
        <f>'SC-NR'!$C$7</f>
        <v>NR</v>
      </c>
      <c r="C148" s="63" t="str">
        <f>'SC-NR'!$C$8</f>
        <v>Lighting</v>
      </c>
      <c r="D148" s="63" t="s">
        <v>795</v>
      </c>
      <c r="E148" s="63" t="str">
        <f>'SC-NR'!$A$9</f>
        <v>Lighting</v>
      </c>
      <c r="F148" s="478">
        <f t="shared" si="26"/>
        <v>4.0588070052657264E-3</v>
      </c>
      <c r="G148" s="71">
        <f>'SC-NR'!A106</f>
        <v>15.536210538971808</v>
      </c>
      <c r="H148" s="71">
        <f>'SC-NR'!B106</f>
        <v>-47.72588478334999</v>
      </c>
      <c r="I148" t="str">
        <f>'SC-NR'!C106</f>
        <v>Multifamily - Low Rise</v>
      </c>
      <c r="J148" t="str">
        <f>'SC-NR'!D106</f>
        <v>2016 - LEDReflectors and Outdoor665 to 1439 lumensANY</v>
      </c>
      <c r="K148" s="37">
        <f>'SC-NR'!E106</f>
        <v>0.12706240094819746</v>
      </c>
      <c r="L148" s="37">
        <f>'SC-NR'!F106</f>
        <v>0</v>
      </c>
      <c r="M148" s="37">
        <f>'SC-NR'!G106</f>
        <v>0</v>
      </c>
      <c r="N148" s="37">
        <f>'SC-NR'!H106</f>
        <v>0</v>
      </c>
      <c r="O148" s="37">
        <f>'SC-NR'!I106</f>
        <v>0</v>
      </c>
      <c r="P148" s="37">
        <f>'SC-NR'!J106</f>
        <v>0</v>
      </c>
      <c r="Q148" s="37">
        <f>'SC-NR'!K106</f>
        <v>0</v>
      </c>
      <c r="R148" s="37">
        <f>'SC-NR'!L106</f>
        <v>0</v>
      </c>
      <c r="S148" s="37">
        <f>'SC-NR'!M106</f>
        <v>0</v>
      </c>
      <c r="T148" s="37">
        <f>'SC-NR'!N106</f>
        <v>0</v>
      </c>
      <c r="U148" s="37">
        <f>'SC-NR'!O106</f>
        <v>0</v>
      </c>
      <c r="V148" s="37">
        <f>'SC-NR'!P106</f>
        <v>0</v>
      </c>
      <c r="W148" s="37">
        <f>'SC-NR'!Q106</f>
        <v>0</v>
      </c>
      <c r="X148" s="37">
        <f>'SC-NR'!R106</f>
        <v>0</v>
      </c>
      <c r="Y148" s="37">
        <f>'SC-NR'!S106</f>
        <v>0</v>
      </c>
      <c r="Z148" s="37">
        <f>'SC-NR'!T106</f>
        <v>0</v>
      </c>
      <c r="AA148" s="37">
        <f>'SC-NR'!U106</f>
        <v>0</v>
      </c>
      <c r="AB148" s="37">
        <f>'SC-NR'!V106</f>
        <v>0</v>
      </c>
      <c r="AC148" s="37">
        <f>'SC-NR'!W106</f>
        <v>0</v>
      </c>
      <c r="AD148" s="37">
        <f>'SC-NR'!X106</f>
        <v>0</v>
      </c>
      <c r="AE148" s="37">
        <f>'SC-NR'!Y106</f>
        <v>0.57442518428631784</v>
      </c>
      <c r="AF148" s="479">
        <f t="shared" si="27"/>
        <v>1.1115968132516232</v>
      </c>
      <c r="AG148" s="479">
        <f t="shared" si="28"/>
        <v>0.88411367400858021</v>
      </c>
      <c r="AH148" s="479">
        <f t="shared" si="29"/>
        <v>0.89323650240449115</v>
      </c>
      <c r="AI148" s="479">
        <f t="shared" si="30"/>
        <v>0.72849999946647181</v>
      </c>
      <c r="AJ148" s="479">
        <f t="shared" si="31"/>
        <v>0.66336503051642903</v>
      </c>
      <c r="AK148" s="479">
        <f t="shared" si="32"/>
        <v>0.68162200472457402</v>
      </c>
      <c r="AL148" s="479">
        <f t="shared" si="33"/>
        <v>0.5625360975782151</v>
      </c>
      <c r="AM148" s="479">
        <f t="shared" si="34"/>
        <v>0.64165761557353207</v>
      </c>
      <c r="AN148" s="479">
        <f t="shared" si="35"/>
        <v>0.70656195688643419</v>
      </c>
      <c r="AO148" s="479">
        <f t="shared" si="36"/>
        <v>1.0311658765180765</v>
      </c>
      <c r="AP148" s="479">
        <f t="shared" si="37"/>
        <v>1.0409274452959347</v>
      </c>
      <c r="AQ148" s="479">
        <f t="shared" si="38"/>
        <v>1.1427323201173605</v>
      </c>
      <c r="AR148" s="479"/>
      <c r="AS148" s="479">
        <f t="shared" si="39"/>
        <v>0.57990071474149463</v>
      </c>
      <c r="AT148" s="479">
        <f t="shared" si="40"/>
        <v>0.44568120107742304</v>
      </c>
      <c r="AU148" s="479">
        <f t="shared" si="41"/>
        <v>0.41539059653685312</v>
      </c>
      <c r="AV148" s="479">
        <f t="shared" si="42"/>
        <v>0.40747775624148563</v>
      </c>
      <c r="AW148" s="479">
        <f t="shared" si="43"/>
        <v>0.39589796404527355</v>
      </c>
      <c r="AX148" s="479">
        <f t="shared" si="44"/>
        <v>0.3702342155050527</v>
      </c>
      <c r="AY148" s="479">
        <f t="shared" si="45"/>
        <v>0.42236518837446929</v>
      </c>
      <c r="AZ148" s="479">
        <f t="shared" si="46"/>
        <v>0.38209151021460364</v>
      </c>
      <c r="BA148" s="479">
        <f t="shared" si="47"/>
        <v>0.44286791602190761</v>
      </c>
      <c r="BB148" s="479">
        <f t="shared" si="48"/>
        <v>0.44027123586229888</v>
      </c>
      <c r="BC148" s="479">
        <f t="shared" si="49"/>
        <v>0.55449264316834523</v>
      </c>
      <c r="BD148" s="479">
        <f t="shared" si="50"/>
        <v>0.59152426084087517</v>
      </c>
    </row>
    <row r="149" spans="1:56" ht="15">
      <c r="A149" s="63" t="str">
        <f>VLOOKUP(CONCATENATE($C149," - ",$B149),[2]ACHIEV!$B$12:$C$100,2,FALSE)</f>
        <v>LO20Fast</v>
      </c>
      <c r="B149" s="63" t="str">
        <f>'SC-NR'!$C$7</f>
        <v>NR</v>
      </c>
      <c r="C149" s="63" t="str">
        <f>'SC-NR'!$C$8</f>
        <v>Lighting</v>
      </c>
      <c r="D149" s="63" t="s">
        <v>795</v>
      </c>
      <c r="E149" s="63" t="str">
        <f>'SC-NR'!$A$9</f>
        <v>Lighting</v>
      </c>
      <c r="F149" s="478">
        <f t="shared" si="26"/>
        <v>2.1728858656963793E-2</v>
      </c>
      <c r="G149" s="71">
        <f>'SC-NR'!A107</f>
        <v>83.173238448682625</v>
      </c>
      <c r="H149" s="71">
        <f>'SC-NR'!B107</f>
        <v>-27.334459272113147</v>
      </c>
      <c r="I149" t="str">
        <f>'SC-NR'!C107</f>
        <v>Multifamily - Low Rise</v>
      </c>
      <c r="J149" t="str">
        <f>'SC-NR'!D107</f>
        <v>2016 - LEDReflectors and Outdoor1440 to 2600 lumensANY</v>
      </c>
      <c r="K149" s="37">
        <f>'SC-NR'!E107</f>
        <v>5.5899453324655159E-2</v>
      </c>
      <c r="L149" s="37">
        <f>'SC-NR'!F107</f>
        <v>0</v>
      </c>
      <c r="M149" s="37">
        <f>'SC-NR'!G107</f>
        <v>0</v>
      </c>
      <c r="N149" s="37">
        <f>'SC-NR'!H107</f>
        <v>0</v>
      </c>
      <c r="O149" s="37">
        <f>'SC-NR'!I107</f>
        <v>0</v>
      </c>
      <c r="P149" s="37">
        <f>'SC-NR'!J107</f>
        <v>0</v>
      </c>
      <c r="Q149" s="37">
        <f>'SC-NR'!K107</f>
        <v>0</v>
      </c>
      <c r="R149" s="37">
        <f>'SC-NR'!L107</f>
        <v>0</v>
      </c>
      <c r="S149" s="37">
        <f>'SC-NR'!M107</f>
        <v>0</v>
      </c>
      <c r="T149" s="37">
        <f>'SC-NR'!N107</f>
        <v>0</v>
      </c>
      <c r="U149" s="37">
        <f>'SC-NR'!O107</f>
        <v>0</v>
      </c>
      <c r="V149" s="37">
        <f>'SC-NR'!P107</f>
        <v>0</v>
      </c>
      <c r="W149" s="37">
        <f>'SC-NR'!Q107</f>
        <v>0</v>
      </c>
      <c r="X149" s="37">
        <f>'SC-NR'!R107</f>
        <v>0</v>
      </c>
      <c r="Y149" s="37">
        <f>'SC-NR'!S107</f>
        <v>0</v>
      </c>
      <c r="Z149" s="37">
        <f>'SC-NR'!T107</f>
        <v>0</v>
      </c>
      <c r="AA149" s="37">
        <f>'SC-NR'!U107</f>
        <v>0</v>
      </c>
      <c r="AB149" s="37">
        <f>'SC-NR'!V107</f>
        <v>0</v>
      </c>
      <c r="AC149" s="37">
        <f>'SC-NR'!W107</f>
        <v>0</v>
      </c>
      <c r="AD149" s="37">
        <f>'SC-NR'!X107</f>
        <v>0</v>
      </c>
      <c r="AE149" s="37">
        <f>'SC-NR'!Y107</f>
        <v>0.2527109006118225</v>
      </c>
      <c r="AF149" s="479">
        <f t="shared" si="27"/>
        <v>5.9509432223162761</v>
      </c>
      <c r="AG149" s="479">
        <f t="shared" si="28"/>
        <v>4.7331102548847825</v>
      </c>
      <c r="AH149" s="479">
        <f t="shared" si="29"/>
        <v>4.7819493961667678</v>
      </c>
      <c r="AI149" s="479">
        <f t="shared" si="30"/>
        <v>3.9000310927493396</v>
      </c>
      <c r="AJ149" s="479">
        <f t="shared" si="31"/>
        <v>3.5513304691165719</v>
      </c>
      <c r="AK149" s="479">
        <f t="shared" si="32"/>
        <v>3.6490693395674088</v>
      </c>
      <c r="AL149" s="479">
        <f t="shared" si="33"/>
        <v>3.0115418983605462</v>
      </c>
      <c r="AM149" s="479">
        <f t="shared" si="34"/>
        <v>3.4351196341371462</v>
      </c>
      <c r="AN149" s="479">
        <f t="shared" si="35"/>
        <v>3.7825855907055974</v>
      </c>
      <c r="AO149" s="479">
        <f t="shared" si="36"/>
        <v>5.5203555019188597</v>
      </c>
      <c r="AP149" s="479">
        <f t="shared" si="37"/>
        <v>5.5726141453993536</v>
      </c>
      <c r="AQ149" s="479">
        <f t="shared" si="38"/>
        <v>6.1176274295281043</v>
      </c>
      <c r="AR149" s="479"/>
      <c r="AS149" s="479">
        <f t="shared" si="39"/>
        <v>3.104503527598812</v>
      </c>
      <c r="AT149" s="479">
        <f t="shared" si="40"/>
        <v>2.3859581920779633</v>
      </c>
      <c r="AU149" s="479">
        <f t="shared" si="41"/>
        <v>2.2237971768234481</v>
      </c>
      <c r="AV149" s="479">
        <f t="shared" si="42"/>
        <v>2.181435717377334</v>
      </c>
      <c r="AW149" s="479">
        <f t="shared" si="43"/>
        <v>2.1194431989890319</v>
      </c>
      <c r="AX149" s="479">
        <f t="shared" si="44"/>
        <v>1.9820520976346545</v>
      </c>
      <c r="AY149" s="479">
        <f t="shared" si="45"/>
        <v>2.2611357149783688</v>
      </c>
      <c r="AZ149" s="479">
        <f t="shared" si="46"/>
        <v>2.0455302281453043</v>
      </c>
      <c r="BA149" s="479">
        <f t="shared" si="47"/>
        <v>2.3708972460281177</v>
      </c>
      <c r="BB149" s="479">
        <f t="shared" si="48"/>
        <v>2.3569958961752469</v>
      </c>
      <c r="BC149" s="479">
        <f t="shared" si="49"/>
        <v>2.9684811951147281</v>
      </c>
      <c r="BD149" s="479">
        <f t="shared" si="50"/>
        <v>3.1667302828888446</v>
      </c>
    </row>
    <row r="150" spans="1:56" ht="15">
      <c r="A150" s="63" t="str">
        <f>VLOOKUP(CONCATENATE($C150," - ",$B150),[2]ACHIEV!$B$12:$C$100,2,FALSE)</f>
        <v>LO20Fast</v>
      </c>
      <c r="B150" s="63" t="str">
        <f>'SC-NR'!$C$7</f>
        <v>NR</v>
      </c>
      <c r="C150" s="63" t="str">
        <f>'SC-NR'!$C$8</f>
        <v>Lighting</v>
      </c>
      <c r="D150" s="63" t="s">
        <v>795</v>
      </c>
      <c r="E150" s="63" t="str">
        <f>'SC-NR'!$A$9</f>
        <v>Lighting</v>
      </c>
      <c r="F150" s="478">
        <f t="shared" si="26"/>
        <v>1.2650011213785653E-2</v>
      </c>
      <c r="G150" s="71">
        <f>'SC-NR'!A108</f>
        <v>48.421429568529426</v>
      </c>
      <c r="H150" s="71">
        <f>'SC-NR'!B108</f>
        <v>-0.28395098554769854</v>
      </c>
      <c r="I150" t="str">
        <f>'SC-NR'!C108</f>
        <v>Multifamily - Low Rise</v>
      </c>
      <c r="J150" t="str">
        <f>'SC-NR'!D108</f>
        <v>2016 - LEDThree-Way250 to 664 lumensANY</v>
      </c>
      <c r="K150" s="37">
        <f>'SC-NR'!E108</f>
        <v>5.1064848180493757E-4</v>
      </c>
      <c r="L150" s="37">
        <f>'SC-NR'!F108</f>
        <v>0</v>
      </c>
      <c r="M150" s="37">
        <f>'SC-NR'!G108</f>
        <v>0</v>
      </c>
      <c r="N150" s="37">
        <f>'SC-NR'!H108</f>
        <v>0</v>
      </c>
      <c r="O150" s="37">
        <f>'SC-NR'!I108</f>
        <v>0</v>
      </c>
      <c r="P150" s="37">
        <f>'SC-NR'!J108</f>
        <v>0</v>
      </c>
      <c r="Q150" s="37">
        <f>'SC-NR'!K108</f>
        <v>0</v>
      </c>
      <c r="R150" s="37">
        <f>'SC-NR'!L108</f>
        <v>0</v>
      </c>
      <c r="S150" s="37">
        <f>'SC-NR'!M108</f>
        <v>0</v>
      </c>
      <c r="T150" s="37">
        <f>'SC-NR'!N108</f>
        <v>0</v>
      </c>
      <c r="U150" s="37">
        <f>'SC-NR'!O108</f>
        <v>0</v>
      </c>
      <c r="V150" s="37">
        <f>'SC-NR'!P108</f>
        <v>0</v>
      </c>
      <c r="W150" s="37">
        <f>'SC-NR'!Q108</f>
        <v>0</v>
      </c>
      <c r="X150" s="37">
        <f>'SC-NR'!R108</f>
        <v>0</v>
      </c>
      <c r="Y150" s="37">
        <f>'SC-NR'!S108</f>
        <v>0</v>
      </c>
      <c r="Z150" s="37">
        <f>'SC-NR'!T108</f>
        <v>0</v>
      </c>
      <c r="AA150" s="37">
        <f>'SC-NR'!U108</f>
        <v>0</v>
      </c>
      <c r="AB150" s="37">
        <f>'SC-NR'!V108</f>
        <v>0</v>
      </c>
      <c r="AC150" s="37">
        <f>'SC-NR'!W108</f>
        <v>0</v>
      </c>
      <c r="AD150" s="37">
        <f>'SC-NR'!X108</f>
        <v>0</v>
      </c>
      <c r="AE150" s="37">
        <f>'SC-NR'!Y108</f>
        <v>2.3085456128435528E-3</v>
      </c>
      <c r="AF150" s="479">
        <f t="shared" si="27"/>
        <v>3.4644939103037795</v>
      </c>
      <c r="AG150" s="479">
        <f t="shared" si="28"/>
        <v>2.7555012780750743</v>
      </c>
      <c r="AH150" s="479">
        <f t="shared" si="29"/>
        <v>2.783934234202329</v>
      </c>
      <c r="AI150" s="479">
        <f t="shared" si="30"/>
        <v>2.2705029213110808</v>
      </c>
      <c r="AJ150" s="479">
        <f t="shared" si="31"/>
        <v>2.067497928327021</v>
      </c>
      <c r="AK150" s="479">
        <f t="shared" si="32"/>
        <v>2.1243991133706071</v>
      </c>
      <c r="AL150" s="479">
        <f t="shared" si="33"/>
        <v>1.7532461960599572</v>
      </c>
      <c r="AM150" s="479">
        <f t="shared" si="34"/>
        <v>1.9998428163461626</v>
      </c>
      <c r="AN150" s="479">
        <f t="shared" si="35"/>
        <v>2.2021290162976261</v>
      </c>
      <c r="AO150" s="479">
        <f t="shared" si="36"/>
        <v>3.2138162480511396</v>
      </c>
      <c r="AP150" s="479">
        <f t="shared" si="37"/>
        <v>3.2442399549048635</v>
      </c>
      <c r="AQ150" s="479">
        <f t="shared" si="38"/>
        <v>3.5615333877875557</v>
      </c>
      <c r="AR150" s="479"/>
      <c r="AS150" s="479">
        <f t="shared" si="39"/>
        <v>1.8073661878589267</v>
      </c>
      <c r="AT150" s="479">
        <f t="shared" si="40"/>
        <v>1.3890466297334463</v>
      </c>
      <c r="AU150" s="479">
        <f t="shared" si="41"/>
        <v>1.2946404442179886</v>
      </c>
      <c r="AV150" s="479">
        <f t="shared" si="42"/>
        <v>1.2699786363667083</v>
      </c>
      <c r="AW150" s="479">
        <f t="shared" si="43"/>
        <v>1.2338881050984445</v>
      </c>
      <c r="AX150" s="479">
        <f t="shared" si="44"/>
        <v>1.1539023589419051</v>
      </c>
      <c r="AY150" s="479">
        <f t="shared" si="45"/>
        <v>1.3163780298787402</v>
      </c>
      <c r="AZ150" s="479">
        <f t="shared" si="46"/>
        <v>1.1908577773311961</v>
      </c>
      <c r="BA150" s="479">
        <f t="shared" si="47"/>
        <v>1.3802785145080427</v>
      </c>
      <c r="BB150" s="479">
        <f t="shared" si="48"/>
        <v>1.3721854878883859</v>
      </c>
      <c r="BC150" s="479">
        <f t="shared" si="49"/>
        <v>1.7281773055336467</v>
      </c>
      <c r="BD150" s="479">
        <f t="shared" si="50"/>
        <v>1.8435930861347887</v>
      </c>
    </row>
    <row r="151" spans="1:56" ht="15">
      <c r="A151" s="63" t="str">
        <f>VLOOKUP(CONCATENATE($C151," - ",$B151),[2]ACHIEV!$B$12:$C$100,2,FALSE)</f>
        <v>LO20Fast</v>
      </c>
      <c r="B151" s="63" t="str">
        <f>'SC-NR'!$C$7</f>
        <v>NR</v>
      </c>
      <c r="C151" s="63" t="str">
        <f>'SC-NR'!$C$8</f>
        <v>Lighting</v>
      </c>
      <c r="D151" s="63" t="s">
        <v>795</v>
      </c>
      <c r="E151" s="63" t="str">
        <f>'SC-NR'!$A$9</f>
        <v>Lighting</v>
      </c>
      <c r="F151" s="478">
        <f t="shared" si="26"/>
        <v>1.3626103635974879E-2</v>
      </c>
      <c r="G151" s="71">
        <f>'SC-NR'!A109</f>
        <v>52.157694278074032</v>
      </c>
      <c r="H151" s="71">
        <f>'SC-NR'!B109</f>
        <v>-8.9398321624848585</v>
      </c>
      <c r="I151" t="str">
        <f>'SC-NR'!C109</f>
        <v>Multifamily - Low Rise</v>
      </c>
      <c r="J151" t="str">
        <f>'SC-NR'!D109</f>
        <v>2016 - LEDThree-Way665 to 1439 lumensANY</v>
      </c>
      <c r="K151" s="37">
        <f>'SC-NR'!E109</f>
        <v>6.7895088105076416E-3</v>
      </c>
      <c r="L151" s="37">
        <f>'SC-NR'!F109</f>
        <v>0</v>
      </c>
      <c r="M151" s="37">
        <f>'SC-NR'!G109</f>
        <v>0</v>
      </c>
      <c r="N151" s="37">
        <f>'SC-NR'!H109</f>
        <v>0</v>
      </c>
      <c r="O151" s="37">
        <f>'SC-NR'!I109</f>
        <v>0</v>
      </c>
      <c r="P151" s="37">
        <f>'SC-NR'!J109</f>
        <v>0</v>
      </c>
      <c r="Q151" s="37">
        <f>'SC-NR'!K109</f>
        <v>0</v>
      </c>
      <c r="R151" s="37">
        <f>'SC-NR'!L109</f>
        <v>0</v>
      </c>
      <c r="S151" s="37">
        <f>'SC-NR'!M109</f>
        <v>0</v>
      </c>
      <c r="T151" s="37">
        <f>'SC-NR'!N109</f>
        <v>0</v>
      </c>
      <c r="U151" s="37">
        <f>'SC-NR'!O109</f>
        <v>0</v>
      </c>
      <c r="V151" s="37">
        <f>'SC-NR'!P109</f>
        <v>0</v>
      </c>
      <c r="W151" s="37">
        <f>'SC-NR'!Q109</f>
        <v>0</v>
      </c>
      <c r="X151" s="37">
        <f>'SC-NR'!R109</f>
        <v>0</v>
      </c>
      <c r="Y151" s="37">
        <f>'SC-NR'!S109</f>
        <v>0</v>
      </c>
      <c r="Z151" s="37">
        <f>'SC-NR'!T109</f>
        <v>0</v>
      </c>
      <c r="AA151" s="37">
        <f>'SC-NR'!U109</f>
        <v>0</v>
      </c>
      <c r="AB151" s="37">
        <f>'SC-NR'!V109</f>
        <v>0</v>
      </c>
      <c r="AC151" s="37">
        <f>'SC-NR'!W109</f>
        <v>0</v>
      </c>
      <c r="AD151" s="37">
        <f>'SC-NR'!X109</f>
        <v>0</v>
      </c>
      <c r="AE151" s="37">
        <f>'SC-NR'!Y109</f>
        <v>3.0694090624648777E-2</v>
      </c>
      <c r="AF151" s="479">
        <f t="shared" si="27"/>
        <v>3.731819068789251</v>
      </c>
      <c r="AG151" s="479">
        <f t="shared" si="28"/>
        <v>2.9681195810478593</v>
      </c>
      <c r="AH151" s="479">
        <f t="shared" si="29"/>
        <v>2.9987464635319547</v>
      </c>
      <c r="AI151" s="479">
        <f t="shared" si="30"/>
        <v>2.44569807794739</v>
      </c>
      <c r="AJ151" s="479">
        <f t="shared" si="31"/>
        <v>2.2270289379543238</v>
      </c>
      <c r="AK151" s="479">
        <f t="shared" si="32"/>
        <v>2.2883206974089516</v>
      </c>
      <c r="AL151" s="479">
        <f t="shared" si="33"/>
        <v>1.8885291058759777</v>
      </c>
      <c r="AM151" s="479">
        <f t="shared" si="34"/>
        <v>2.154153463634584</v>
      </c>
      <c r="AN151" s="479">
        <f t="shared" si="35"/>
        <v>2.3720483475270466</v>
      </c>
      <c r="AO151" s="479">
        <f t="shared" si="36"/>
        <v>3.4617987702020074</v>
      </c>
      <c r="AP151" s="479">
        <f t="shared" si="37"/>
        <v>3.4945700125015868</v>
      </c>
      <c r="AQ151" s="479">
        <f t="shared" si="38"/>
        <v>3.8363462470366358</v>
      </c>
      <c r="AR151" s="479"/>
      <c r="AS151" s="479">
        <f t="shared" si="39"/>
        <v>1.9468250713552193</v>
      </c>
      <c r="AT151" s="479">
        <f t="shared" si="40"/>
        <v>1.4962273955396257</v>
      </c>
      <c r="AU151" s="479">
        <f t="shared" si="41"/>
        <v>1.3945366977235774</v>
      </c>
      <c r="AV151" s="479">
        <f t="shared" si="42"/>
        <v>1.3679719505504024</v>
      </c>
      <c r="AW151" s="479">
        <f t="shared" si="43"/>
        <v>1.3290966237994797</v>
      </c>
      <c r="AX151" s="479">
        <f t="shared" si="44"/>
        <v>1.2429390664573923</v>
      </c>
      <c r="AY151" s="479">
        <f t="shared" si="45"/>
        <v>1.4179515856634783</v>
      </c>
      <c r="AZ151" s="479">
        <f t="shared" si="46"/>
        <v>1.2827460162199764</v>
      </c>
      <c r="BA151" s="479">
        <f t="shared" si="47"/>
        <v>1.4867827203741746</v>
      </c>
      <c r="BB151" s="479">
        <f t="shared" si="48"/>
        <v>1.4780652245882442</v>
      </c>
      <c r="BC151" s="479">
        <f t="shared" si="49"/>
        <v>1.8615258649635777</v>
      </c>
      <c r="BD151" s="479">
        <f t="shared" si="50"/>
        <v>1.98584728738131</v>
      </c>
    </row>
    <row r="152" spans="1:56" ht="15">
      <c r="A152" s="63" t="str">
        <f>VLOOKUP(CONCATENATE($C152," - ",$B152),[2]ACHIEV!$B$12:$C$100,2,FALSE)</f>
        <v>LO20Fast</v>
      </c>
      <c r="B152" s="63" t="str">
        <f>'SC-NR'!$C$7</f>
        <v>NR</v>
      </c>
      <c r="C152" s="63" t="str">
        <f>'SC-NR'!$C$8</f>
        <v>Lighting</v>
      </c>
      <c r="D152" s="63" t="s">
        <v>795</v>
      </c>
      <c r="E152" s="63" t="str">
        <f>'SC-NR'!$A$9</f>
        <v>Lighting</v>
      </c>
      <c r="F152" s="478">
        <f t="shared" si="26"/>
        <v>1.2193310022794003E-2</v>
      </c>
      <c r="G152" s="71">
        <f>'SC-NR'!A110</f>
        <v>46.673278979590322</v>
      </c>
      <c r="H152" s="71">
        <f>'SC-NR'!B110</f>
        <v>-22.011904676498236</v>
      </c>
      <c r="I152" t="str">
        <f>'SC-NR'!C110</f>
        <v>Multifamily - Low Rise</v>
      </c>
      <c r="J152" t="str">
        <f>'SC-NR'!D110</f>
        <v>2016 - LEDThree-Way1440 to 2600 lumensANY</v>
      </c>
      <c r="K152" s="37">
        <f>'SC-NR'!E110</f>
        <v>2.3493644316449729E-2</v>
      </c>
      <c r="L152" s="37">
        <f>'SC-NR'!F110</f>
        <v>0</v>
      </c>
      <c r="M152" s="37">
        <f>'SC-NR'!G110</f>
        <v>0</v>
      </c>
      <c r="N152" s="37">
        <f>'SC-NR'!H110</f>
        <v>0</v>
      </c>
      <c r="O152" s="37">
        <f>'SC-NR'!I110</f>
        <v>0</v>
      </c>
      <c r="P152" s="37">
        <f>'SC-NR'!J110</f>
        <v>0</v>
      </c>
      <c r="Q152" s="37">
        <f>'SC-NR'!K110</f>
        <v>0</v>
      </c>
      <c r="R152" s="37">
        <f>'SC-NR'!L110</f>
        <v>0</v>
      </c>
      <c r="S152" s="37">
        <f>'SC-NR'!M110</f>
        <v>0</v>
      </c>
      <c r="T152" s="37">
        <f>'SC-NR'!N110</f>
        <v>0</v>
      </c>
      <c r="U152" s="37">
        <f>'SC-NR'!O110</f>
        <v>0</v>
      </c>
      <c r="V152" s="37">
        <f>'SC-NR'!P110</f>
        <v>0</v>
      </c>
      <c r="W152" s="37">
        <f>'SC-NR'!Q110</f>
        <v>0</v>
      </c>
      <c r="X152" s="37">
        <f>'SC-NR'!R110</f>
        <v>0</v>
      </c>
      <c r="Y152" s="37">
        <f>'SC-NR'!S110</f>
        <v>0</v>
      </c>
      <c r="Z152" s="37">
        <f>'SC-NR'!T110</f>
        <v>0</v>
      </c>
      <c r="AA152" s="37">
        <f>'SC-NR'!U110</f>
        <v>0</v>
      </c>
      <c r="AB152" s="37">
        <f>'SC-NR'!V110</f>
        <v>0</v>
      </c>
      <c r="AC152" s="37">
        <f>'SC-NR'!W110</f>
        <v>0</v>
      </c>
      <c r="AD152" s="37">
        <f>'SC-NR'!X110</f>
        <v>0</v>
      </c>
      <c r="AE152" s="37">
        <f>'SC-NR'!Y110</f>
        <v>0.10621034126008531</v>
      </c>
      <c r="AF152" s="479">
        <f t="shared" si="27"/>
        <v>3.3394158792823707</v>
      </c>
      <c r="AG152" s="479">
        <f t="shared" si="28"/>
        <v>2.6560198867776115</v>
      </c>
      <c r="AH152" s="479">
        <f t="shared" si="29"/>
        <v>2.6834263327534305</v>
      </c>
      <c r="AI152" s="479">
        <f t="shared" si="30"/>
        <v>2.1885313427260153</v>
      </c>
      <c r="AJ152" s="479">
        <f t="shared" si="31"/>
        <v>1.9928554042784474</v>
      </c>
      <c r="AK152" s="479">
        <f t="shared" si="32"/>
        <v>2.0477022955716913</v>
      </c>
      <c r="AL152" s="479">
        <f t="shared" si="33"/>
        <v>1.6899490485467938</v>
      </c>
      <c r="AM152" s="479">
        <f t="shared" si="34"/>
        <v>1.927642833232625</v>
      </c>
      <c r="AN152" s="479">
        <f t="shared" si="35"/>
        <v>2.1226259291094984</v>
      </c>
      <c r="AO152" s="479">
        <f t="shared" si="36"/>
        <v>3.0977883897901326</v>
      </c>
      <c r="AP152" s="479">
        <f t="shared" si="37"/>
        <v>3.127113714759473</v>
      </c>
      <c r="AQ152" s="479">
        <f t="shared" si="38"/>
        <v>3.4329519571097302</v>
      </c>
      <c r="AR152" s="479"/>
      <c r="AS152" s="479">
        <f t="shared" si="39"/>
        <v>1.7421151555393914</v>
      </c>
      <c r="AT152" s="479">
        <f t="shared" si="40"/>
        <v>1.3388981168648673</v>
      </c>
      <c r="AU152" s="479">
        <f t="shared" si="41"/>
        <v>1.2479002617163344</v>
      </c>
      <c r="AV152" s="479">
        <f t="shared" si="42"/>
        <v>1.22412881489536</v>
      </c>
      <c r="AW152" s="479">
        <f t="shared" si="43"/>
        <v>1.1893412539039743</v>
      </c>
      <c r="AX152" s="479">
        <f t="shared" si="44"/>
        <v>1.1122432194588867</v>
      </c>
      <c r="AY152" s="479">
        <f t="shared" si="45"/>
        <v>1.2688530590403191</v>
      </c>
      <c r="AZ152" s="479">
        <f t="shared" si="46"/>
        <v>1.1478644426995133</v>
      </c>
      <c r="BA152" s="479">
        <f t="shared" si="47"/>
        <v>1.330446555403608</v>
      </c>
      <c r="BB152" s="479">
        <f t="shared" si="48"/>
        <v>1.3226457099396403</v>
      </c>
      <c r="BC152" s="479">
        <f t="shared" si="49"/>
        <v>1.6657852158869719</v>
      </c>
      <c r="BD152" s="479">
        <f t="shared" si="50"/>
        <v>1.7770341603036266</v>
      </c>
    </row>
    <row r="153" spans="1:56" ht="15">
      <c r="A153" s="63" t="str">
        <f>VLOOKUP(CONCATENATE($C153," - ",$B153),[2]ACHIEV!$B$12:$C$100,2,FALSE)</f>
        <v>LO20Fast</v>
      </c>
      <c r="B153" s="63" t="str">
        <f>'SC-NR'!$C$7</f>
        <v>NR</v>
      </c>
      <c r="C153" s="63" t="str">
        <f>'SC-NR'!$C$8</f>
        <v>Lighting</v>
      </c>
      <c r="D153" s="63" t="s">
        <v>795</v>
      </c>
      <c r="E153" s="63" t="str">
        <f>'SC-NR'!$A$9</f>
        <v>Lighting</v>
      </c>
      <c r="F153" s="478">
        <f t="shared" si="26"/>
        <v>5.0254466343264623E-3</v>
      </c>
      <c r="G153" s="71">
        <f>'SC-NR'!A111</f>
        <v>19.236292058718274</v>
      </c>
      <c r="H153" s="71">
        <f>'SC-NR'!B111</f>
        <v>-15.059976945801358</v>
      </c>
      <c r="I153" t="str">
        <f>'SC-NR'!C111</f>
        <v>Multifamily - High Rise</v>
      </c>
      <c r="J153" t="str">
        <f>'SC-NR'!D111</f>
        <v>2016 - LEDDecorative and Mini-Base250 to 664 lumensANY</v>
      </c>
      <c r="K153" s="42">
        <f>'SC-NR'!E111</f>
        <v>2.0324982406339516E-2</v>
      </c>
      <c r="L153" s="42">
        <f>'SC-NR'!F111</f>
        <v>0</v>
      </c>
      <c r="M153" s="42">
        <f>'SC-NR'!G111</f>
        <v>0</v>
      </c>
      <c r="N153" s="42">
        <f>'SC-NR'!H111</f>
        <v>0</v>
      </c>
      <c r="O153" s="42">
        <f>'SC-NR'!I111</f>
        <v>0</v>
      </c>
      <c r="P153" s="42">
        <f>'SC-NR'!J111</f>
        <v>0</v>
      </c>
      <c r="Q153" s="42">
        <f>'SC-NR'!K111</f>
        <v>0</v>
      </c>
      <c r="R153" s="42">
        <f>'SC-NR'!L111</f>
        <v>0</v>
      </c>
      <c r="S153" s="42">
        <f>'SC-NR'!M111</f>
        <v>0</v>
      </c>
      <c r="T153" s="42">
        <f>'SC-NR'!N111</f>
        <v>0</v>
      </c>
      <c r="U153" s="42">
        <f>'SC-NR'!O111</f>
        <v>0</v>
      </c>
      <c r="V153" s="42">
        <f>'SC-NR'!P111</f>
        <v>0</v>
      </c>
      <c r="W153" s="42">
        <f>'SC-NR'!Q111</f>
        <v>0</v>
      </c>
      <c r="X153" s="42">
        <f>'SC-NR'!R111</f>
        <v>0</v>
      </c>
      <c r="Y153" s="42">
        <f>'SC-NR'!S111</f>
        <v>0</v>
      </c>
      <c r="Z153" s="42">
        <f>'SC-NR'!T111</f>
        <v>0</v>
      </c>
      <c r="AA153" s="42">
        <f>'SC-NR'!U111</f>
        <v>0</v>
      </c>
      <c r="AB153" s="42">
        <f>'SC-NR'!V111</f>
        <v>0</v>
      </c>
      <c r="AC153" s="42">
        <f>'SC-NR'!W111</f>
        <v>0</v>
      </c>
      <c r="AD153" s="42">
        <f>'SC-NR'!X111</f>
        <v>0</v>
      </c>
      <c r="AE153" s="42">
        <f>'SC-NR'!Y111</f>
        <v>9.1885417536991476E-2</v>
      </c>
      <c r="AF153" s="479">
        <f t="shared" si="27"/>
        <v>1.3763331088755877</v>
      </c>
      <c r="AG153" s="479">
        <f t="shared" si="28"/>
        <v>1.0946729129136159</v>
      </c>
      <c r="AH153" s="479">
        <f t="shared" si="29"/>
        <v>1.10596842097751</v>
      </c>
      <c r="AI153" s="479">
        <f t="shared" si="30"/>
        <v>0.90199850982713226</v>
      </c>
      <c r="AJ153" s="479">
        <f t="shared" si="31"/>
        <v>0.8213510905085285</v>
      </c>
      <c r="AK153" s="479">
        <f t="shared" si="32"/>
        <v>0.84395611939220683</v>
      </c>
      <c r="AL153" s="479">
        <f t="shared" si="33"/>
        <v>0.69650888416077883</v>
      </c>
      <c r="AM153" s="479">
        <f t="shared" si="34"/>
        <v>0.79447386889558136</v>
      </c>
      <c r="AN153" s="479">
        <f t="shared" si="35"/>
        <v>0.87483573463123632</v>
      </c>
      <c r="AO153" s="479">
        <f t="shared" si="36"/>
        <v>1.2767468561222706</v>
      </c>
      <c r="AP153" s="479">
        <f t="shared" si="37"/>
        <v>1.2888332260572761</v>
      </c>
      <c r="AQ153" s="479">
        <f t="shared" si="38"/>
        <v>1.4148838032011544</v>
      </c>
      <c r="AR153" s="479"/>
      <c r="AS153" s="479">
        <f t="shared" si="39"/>
        <v>0.71800903353135914</v>
      </c>
      <c r="AT153" s="479">
        <f t="shared" si="40"/>
        <v>0.55182399385616432</v>
      </c>
      <c r="AU153" s="479">
        <f t="shared" si="41"/>
        <v>0.5143194225763198</v>
      </c>
      <c r="AV153" s="479">
        <f t="shared" si="42"/>
        <v>0.50452207163582741</v>
      </c>
      <c r="AW153" s="479">
        <f t="shared" si="43"/>
        <v>0.49018445281257317</v>
      </c>
      <c r="AX153" s="479">
        <f t="shared" si="44"/>
        <v>0.45840866289244864</v>
      </c>
      <c r="AY153" s="479">
        <f t="shared" si="45"/>
        <v>0.52295507315804879</v>
      </c>
      <c r="AZ153" s="479">
        <f t="shared" si="46"/>
        <v>0.47308987382783491</v>
      </c>
      <c r="BA153" s="479">
        <f t="shared" si="47"/>
        <v>0.54834070088478171</v>
      </c>
      <c r="BB153" s="479">
        <f t="shared" si="48"/>
        <v>0.54512559911926328</v>
      </c>
      <c r="BC153" s="479">
        <f t="shared" si="49"/>
        <v>0.68654981223644318</v>
      </c>
      <c r="BD153" s="479">
        <f t="shared" si="50"/>
        <v>0.73240082662432637</v>
      </c>
    </row>
    <row r="154" spans="1:56" ht="15">
      <c r="A154" s="63" t="str">
        <f>VLOOKUP(CONCATENATE($C154," - ",$B154),[2]ACHIEV!$B$12:$C$100,2,FALSE)</f>
        <v>LO20Fast</v>
      </c>
      <c r="B154" s="63" t="str">
        <f>'SC-NR'!$C$7</f>
        <v>NR</v>
      </c>
      <c r="C154" s="63" t="str">
        <f>'SC-NR'!$C$8</f>
        <v>Lighting</v>
      </c>
      <c r="D154" s="63" t="s">
        <v>795</v>
      </c>
      <c r="E154" s="63" t="str">
        <f>'SC-NR'!$A$9</f>
        <v>Lighting</v>
      </c>
      <c r="F154" s="478">
        <f t="shared" si="26"/>
        <v>3.7860143455178382E-3</v>
      </c>
      <c r="G154" s="71">
        <f>'SC-NR'!A112</f>
        <v>14.492020906444102</v>
      </c>
      <c r="H154" s="71">
        <f>'SC-NR'!B112</f>
        <v>-3.5286913755547569</v>
      </c>
      <c r="I154" t="str">
        <f>'SC-NR'!C112</f>
        <v>Multifamily - High Rise</v>
      </c>
      <c r="J154" t="str">
        <f>'SC-NR'!D112</f>
        <v>2016 - LEDDecorative and Mini-Base665 to 1439 lumensANY</v>
      </c>
      <c r="K154" s="42">
        <f>'SC-NR'!E112</f>
        <v>4.1997146913561869E-3</v>
      </c>
      <c r="L154" s="42">
        <f>'SC-NR'!F112</f>
        <v>0</v>
      </c>
      <c r="M154" s="42">
        <f>'SC-NR'!G112</f>
        <v>0</v>
      </c>
      <c r="N154" s="42">
        <f>'SC-NR'!H112</f>
        <v>0</v>
      </c>
      <c r="O154" s="42">
        <f>'SC-NR'!I112</f>
        <v>0</v>
      </c>
      <c r="P154" s="42">
        <f>'SC-NR'!J112</f>
        <v>0</v>
      </c>
      <c r="Q154" s="42">
        <f>'SC-NR'!K112</f>
        <v>0</v>
      </c>
      <c r="R154" s="42">
        <f>'SC-NR'!L112</f>
        <v>0</v>
      </c>
      <c r="S154" s="42">
        <f>'SC-NR'!M112</f>
        <v>0</v>
      </c>
      <c r="T154" s="42">
        <f>'SC-NR'!N112</f>
        <v>0</v>
      </c>
      <c r="U154" s="42">
        <f>'SC-NR'!O112</f>
        <v>0</v>
      </c>
      <c r="V154" s="42">
        <f>'SC-NR'!P112</f>
        <v>0</v>
      </c>
      <c r="W154" s="42">
        <f>'SC-NR'!Q112</f>
        <v>0</v>
      </c>
      <c r="X154" s="42">
        <f>'SC-NR'!R112</f>
        <v>0</v>
      </c>
      <c r="Y154" s="42">
        <f>'SC-NR'!S112</f>
        <v>0</v>
      </c>
      <c r="Z154" s="42">
        <f>'SC-NR'!T112</f>
        <v>0</v>
      </c>
      <c r="AA154" s="42">
        <f>'SC-NR'!U112</f>
        <v>0</v>
      </c>
      <c r="AB154" s="42">
        <f>'SC-NR'!V112</f>
        <v>0</v>
      </c>
      <c r="AC154" s="42">
        <f>'SC-NR'!W112</f>
        <v>0</v>
      </c>
      <c r="AD154" s="42">
        <f>'SC-NR'!X112</f>
        <v>0</v>
      </c>
      <c r="AE154" s="42">
        <f>'SC-NR'!Y112</f>
        <v>1.8986119162943908E-2</v>
      </c>
      <c r="AF154" s="479">
        <f t="shared" si="27"/>
        <v>1.0368863254504586</v>
      </c>
      <c r="AG154" s="479">
        <f t="shared" si="28"/>
        <v>0.8246923414989582</v>
      </c>
      <c r="AH154" s="479">
        <f t="shared" si="29"/>
        <v>0.83320202405686417</v>
      </c>
      <c r="AI154" s="479">
        <f t="shared" si="30"/>
        <v>0.67953747125979169</v>
      </c>
      <c r="AJ154" s="479">
        <f t="shared" si="31"/>
        <v>0.61878022743918382</v>
      </c>
      <c r="AK154" s="479">
        <f t="shared" si="32"/>
        <v>0.63581014932709601</v>
      </c>
      <c r="AL154" s="479">
        <f t="shared" si="33"/>
        <v>0.52472801306878369</v>
      </c>
      <c r="AM154" s="479">
        <f t="shared" si="34"/>
        <v>0.59853176914311479</v>
      </c>
      <c r="AN154" s="479">
        <f t="shared" si="35"/>
        <v>0.65907388582376392</v>
      </c>
      <c r="AO154" s="479">
        <f t="shared" si="36"/>
        <v>0.96186115674901895</v>
      </c>
      <c r="AP154" s="479">
        <f t="shared" si="37"/>
        <v>0.97096664990988701</v>
      </c>
      <c r="AQ154" s="479">
        <f t="shared" si="38"/>
        <v>1.065929213051598</v>
      </c>
      <c r="AR154" s="479"/>
      <c r="AS154" s="479">
        <f t="shared" si="39"/>
        <v>0.5409255532817846</v>
      </c>
      <c r="AT154" s="479">
        <f t="shared" si="40"/>
        <v>0.41572694109812058</v>
      </c>
      <c r="AU154" s="479">
        <f t="shared" si="41"/>
        <v>0.3874721698867219</v>
      </c>
      <c r="AV154" s="479">
        <f t="shared" si="42"/>
        <v>0.38009115205729899</v>
      </c>
      <c r="AW154" s="479">
        <f t="shared" si="43"/>
        <v>0.36928963838195134</v>
      </c>
      <c r="AX154" s="479">
        <f t="shared" si="44"/>
        <v>0.34535075190447584</v>
      </c>
      <c r="AY154" s="479">
        <f t="shared" si="45"/>
        <v>0.39397799899293179</v>
      </c>
      <c r="AZ154" s="479">
        <f t="shared" si="46"/>
        <v>0.35641111713276868</v>
      </c>
      <c r="BA154" s="479">
        <f t="shared" si="47"/>
        <v>0.41310273709817824</v>
      </c>
      <c r="BB154" s="479">
        <f t="shared" si="48"/>
        <v>0.41068057996623142</v>
      </c>
      <c r="BC154" s="479">
        <f t="shared" si="49"/>
        <v>0.51722515970724714</v>
      </c>
      <c r="BD154" s="479">
        <f t="shared" si="50"/>
        <v>0.55176788015787159</v>
      </c>
    </row>
    <row r="155" spans="1:56" ht="15">
      <c r="A155" s="63" t="str">
        <f>VLOOKUP(CONCATENATE($C155," - ",$B155),[2]ACHIEV!$B$12:$C$100,2,FALSE)</f>
        <v>LO20Fast</v>
      </c>
      <c r="B155" s="63" t="str">
        <f>'SC-NR'!$C$7</f>
        <v>NR</v>
      </c>
      <c r="C155" s="63" t="str">
        <f>'SC-NR'!$C$8</f>
        <v>Lighting</v>
      </c>
      <c r="D155" s="63" t="s">
        <v>795</v>
      </c>
      <c r="E155" s="63" t="str">
        <f>'SC-NR'!$A$9</f>
        <v>Lighting</v>
      </c>
      <c r="F155" s="478">
        <f t="shared" si="26"/>
        <v>1.8749503794567041E-3</v>
      </c>
      <c r="G155" s="71">
        <f>'SC-NR'!A113</f>
        <v>7.1768930642853626</v>
      </c>
      <c r="H155" s="71">
        <f>'SC-NR'!B113</f>
        <v>355.22288385759038</v>
      </c>
      <c r="I155" t="str">
        <f>'SC-NR'!C113</f>
        <v>Multifamily - High Rise</v>
      </c>
      <c r="J155" t="str">
        <f>'SC-NR'!D113</f>
        <v>2016 - LEDDecorative and Mini-Base1440 to 2600 lumensANY</v>
      </c>
      <c r="K155" s="42">
        <f>'SC-NR'!E113</f>
        <v>4.0861282386283486E-5</v>
      </c>
      <c r="L155" s="42">
        <f>'SC-NR'!F113</f>
        <v>0</v>
      </c>
      <c r="M155" s="42">
        <f>'SC-NR'!G113</f>
        <v>0</v>
      </c>
      <c r="N155" s="42">
        <f>'SC-NR'!H113</f>
        <v>0</v>
      </c>
      <c r="O155" s="42">
        <f>'SC-NR'!I113</f>
        <v>0</v>
      </c>
      <c r="P155" s="42">
        <f>'SC-NR'!J113</f>
        <v>0</v>
      </c>
      <c r="Q155" s="42">
        <f>'SC-NR'!K113</f>
        <v>0</v>
      </c>
      <c r="R155" s="42">
        <f>'SC-NR'!L113</f>
        <v>0</v>
      </c>
      <c r="S155" s="42">
        <f>'SC-NR'!M113</f>
        <v>0</v>
      </c>
      <c r="T155" s="42">
        <f>'SC-NR'!N113</f>
        <v>0</v>
      </c>
      <c r="U155" s="42">
        <f>'SC-NR'!O113</f>
        <v>0</v>
      </c>
      <c r="V155" s="42">
        <f>'SC-NR'!P113</f>
        <v>0</v>
      </c>
      <c r="W155" s="42">
        <f>'SC-NR'!Q113</f>
        <v>0</v>
      </c>
      <c r="X155" s="42">
        <f>'SC-NR'!R113</f>
        <v>0</v>
      </c>
      <c r="Y155" s="42">
        <f>'SC-NR'!S113</f>
        <v>0</v>
      </c>
      <c r="Z155" s="42">
        <f>'SC-NR'!T113</f>
        <v>0</v>
      </c>
      <c r="AA155" s="42">
        <f>'SC-NR'!U113</f>
        <v>0</v>
      </c>
      <c r="AB155" s="42">
        <f>'SC-NR'!V113</f>
        <v>0</v>
      </c>
      <c r="AC155" s="42">
        <f>'SC-NR'!W113</f>
        <v>0</v>
      </c>
      <c r="AD155" s="42">
        <f>'SC-NR'!X113</f>
        <v>0</v>
      </c>
      <c r="AE155" s="42">
        <f>'SC-NR'!Y113</f>
        <v>1.847261620255818E-4</v>
      </c>
      <c r="AF155" s="479">
        <f t="shared" si="27"/>
        <v>0.51349789829993253</v>
      </c>
      <c r="AG155" s="479">
        <f t="shared" si="28"/>
        <v>0.40841293178381172</v>
      </c>
      <c r="AH155" s="479">
        <f t="shared" si="29"/>
        <v>0.41262718748516447</v>
      </c>
      <c r="AI155" s="479">
        <f t="shared" si="30"/>
        <v>0.33652778973274827</v>
      </c>
      <c r="AJ155" s="479">
        <f t="shared" si="31"/>
        <v>0.30643893983415893</v>
      </c>
      <c r="AK155" s="479">
        <f t="shared" si="32"/>
        <v>0.31487267927406898</v>
      </c>
      <c r="AL155" s="479">
        <f t="shared" si="33"/>
        <v>0.25986139972755762</v>
      </c>
      <c r="AM155" s="479">
        <f t="shared" si="34"/>
        <v>0.29641128248770077</v>
      </c>
      <c r="AN155" s="479">
        <f t="shared" si="35"/>
        <v>0.32639359483099145</v>
      </c>
      <c r="AO155" s="479">
        <f t="shared" si="36"/>
        <v>0.47634313455950961</v>
      </c>
      <c r="AP155" s="479">
        <f t="shared" si="37"/>
        <v>0.4808524539384289</v>
      </c>
      <c r="AQ155" s="479">
        <f t="shared" si="38"/>
        <v>0.52788082666700065</v>
      </c>
      <c r="AR155" s="479"/>
      <c r="AS155" s="479">
        <f t="shared" si="39"/>
        <v>0.26788291824203048</v>
      </c>
      <c r="AT155" s="479">
        <f t="shared" si="40"/>
        <v>0.20588072701971843</v>
      </c>
      <c r="AU155" s="479">
        <f t="shared" si="41"/>
        <v>0.19188809805174015</v>
      </c>
      <c r="AV155" s="479">
        <f t="shared" si="42"/>
        <v>0.18823279172770654</v>
      </c>
      <c r="AW155" s="479">
        <f t="shared" si="43"/>
        <v>0.18288355099166023</v>
      </c>
      <c r="AX155" s="479">
        <f t="shared" si="44"/>
        <v>0.17102828046479313</v>
      </c>
      <c r="AY155" s="479">
        <f t="shared" si="45"/>
        <v>0.19510998408759461</v>
      </c>
      <c r="AZ155" s="479">
        <f t="shared" si="46"/>
        <v>0.17650571242599744</v>
      </c>
      <c r="BA155" s="479">
        <f t="shared" si="47"/>
        <v>0.20458114074337783</v>
      </c>
      <c r="BB155" s="479">
        <f t="shared" si="48"/>
        <v>0.20338161427063109</v>
      </c>
      <c r="BC155" s="479">
        <f t="shared" si="49"/>
        <v>0.25614575671266115</v>
      </c>
      <c r="BD155" s="479">
        <f t="shared" si="50"/>
        <v>0.27325237092637639</v>
      </c>
    </row>
    <row r="156" spans="1:56" ht="15">
      <c r="A156" s="63" t="str">
        <f>VLOOKUP(CONCATENATE($C156," - ",$B156),[2]ACHIEV!$B$12:$C$100,2,FALSE)</f>
        <v>LO20Fast</v>
      </c>
      <c r="B156" s="63" t="str">
        <f>'SC-NR'!$C$7</f>
        <v>NR</v>
      </c>
      <c r="C156" s="63" t="str">
        <f>'SC-NR'!$C$8</f>
        <v>Lighting</v>
      </c>
      <c r="D156" s="63" t="s">
        <v>795</v>
      </c>
      <c r="E156" s="63" t="str">
        <f>'SC-NR'!$A$9</f>
        <v>Lighting</v>
      </c>
      <c r="F156" s="478">
        <f t="shared" si="26"/>
        <v>4.7955325150829165E-4</v>
      </c>
      <c r="G156" s="71">
        <f>'SC-NR'!A114</f>
        <v>1.835623194306955</v>
      </c>
      <c r="H156" s="71">
        <f>'SC-NR'!B114</f>
        <v>45.354656455601045</v>
      </c>
      <c r="I156" t="str">
        <f>'SC-NR'!C114</f>
        <v>Multifamily - High Rise</v>
      </c>
      <c r="J156" t="str">
        <f>'SC-NR'!D114</f>
        <v>2016 - LEDGeneral Purpose and Dimmable250 to 664 lumensANY</v>
      </c>
      <c r="K156" s="42">
        <f>'SC-NR'!E114</f>
        <v>1.6195875747096948E-3</v>
      </c>
      <c r="L156" s="42">
        <f>'SC-NR'!F114</f>
        <v>0</v>
      </c>
      <c r="M156" s="42">
        <f>'SC-NR'!G114</f>
        <v>0</v>
      </c>
      <c r="N156" s="42">
        <f>'SC-NR'!H114</f>
        <v>0</v>
      </c>
      <c r="O156" s="42">
        <f>'SC-NR'!I114</f>
        <v>0</v>
      </c>
      <c r="P156" s="42">
        <f>'SC-NR'!J114</f>
        <v>0</v>
      </c>
      <c r="Q156" s="42">
        <f>'SC-NR'!K114</f>
        <v>0</v>
      </c>
      <c r="R156" s="42">
        <f>'SC-NR'!L114</f>
        <v>0</v>
      </c>
      <c r="S156" s="42">
        <f>'SC-NR'!M114</f>
        <v>0</v>
      </c>
      <c r="T156" s="42">
        <f>'SC-NR'!N114</f>
        <v>0</v>
      </c>
      <c r="U156" s="42">
        <f>'SC-NR'!O114</f>
        <v>0</v>
      </c>
      <c r="V156" s="42">
        <f>'SC-NR'!P114</f>
        <v>0</v>
      </c>
      <c r="W156" s="42">
        <f>'SC-NR'!Q114</f>
        <v>0</v>
      </c>
      <c r="X156" s="42">
        <f>'SC-NR'!R114</f>
        <v>0</v>
      </c>
      <c r="Y156" s="42">
        <f>'SC-NR'!S114</f>
        <v>0</v>
      </c>
      <c r="Z156" s="42">
        <f>'SC-NR'!T114</f>
        <v>0</v>
      </c>
      <c r="AA156" s="42">
        <f>'SC-NR'!U114</f>
        <v>0</v>
      </c>
      <c r="AB156" s="42">
        <f>'SC-NR'!V114</f>
        <v>0</v>
      </c>
      <c r="AC156" s="42">
        <f>'SC-NR'!W114</f>
        <v>0</v>
      </c>
      <c r="AD156" s="42">
        <f>'SC-NR'!X114</f>
        <v>0</v>
      </c>
      <c r="AE156" s="42">
        <f>'SC-NR'!Y114</f>
        <v>7.3218503989212159E-3</v>
      </c>
      <c r="AF156" s="479">
        <f t="shared" si="27"/>
        <v>0.13133658867482209</v>
      </c>
      <c r="AG156" s="479">
        <f t="shared" si="28"/>
        <v>0.10445916411489954</v>
      </c>
      <c r="AH156" s="479">
        <f t="shared" si="29"/>
        <v>0.1055370379863439</v>
      </c>
      <c r="AI156" s="479">
        <f t="shared" si="30"/>
        <v>8.6073208953935804E-2</v>
      </c>
      <c r="AJ156" s="479">
        <f t="shared" si="31"/>
        <v>7.837742886230771E-2</v>
      </c>
      <c r="AK156" s="479">
        <f t="shared" si="32"/>
        <v>8.0534513772445179E-2</v>
      </c>
      <c r="AL156" s="479">
        <f t="shared" si="33"/>
        <v>6.6464361161896968E-2</v>
      </c>
      <c r="AM156" s="479">
        <f t="shared" si="34"/>
        <v>7.5812669955515485E-2</v>
      </c>
      <c r="AN156" s="479">
        <f t="shared" si="35"/>
        <v>8.3481201096125474E-2</v>
      </c>
      <c r="AO156" s="479">
        <f t="shared" si="36"/>
        <v>0.12183357037846314</v>
      </c>
      <c r="AP156" s="479">
        <f t="shared" si="37"/>
        <v>0.12298691224496987</v>
      </c>
      <c r="AQ156" s="479">
        <f t="shared" si="38"/>
        <v>0.13501528873014673</v>
      </c>
      <c r="AR156" s="479"/>
      <c r="AS156" s="479">
        <f t="shared" si="39"/>
        <v>6.851601294308389E-2</v>
      </c>
      <c r="AT156" s="479">
        <f t="shared" si="40"/>
        <v>5.2657805319523042E-2</v>
      </c>
      <c r="AU156" s="479">
        <f t="shared" si="41"/>
        <v>4.9078931557174459E-2</v>
      </c>
      <c r="AV156" s="479">
        <f t="shared" si="42"/>
        <v>4.8144019331146884E-2</v>
      </c>
      <c r="AW156" s="479">
        <f t="shared" si="43"/>
        <v>4.6775852036599626E-2</v>
      </c>
      <c r="AX156" s="479">
        <f t="shared" si="44"/>
        <v>4.3743647242829607E-2</v>
      </c>
      <c r="AY156" s="479">
        <f t="shared" si="45"/>
        <v>4.99029885249812E-2</v>
      </c>
      <c r="AZ156" s="479">
        <f t="shared" si="46"/>
        <v>4.5144601815116529E-2</v>
      </c>
      <c r="BA156" s="479">
        <f t="shared" si="47"/>
        <v>5.2325412083273619E-2</v>
      </c>
      <c r="BB156" s="479">
        <f t="shared" si="48"/>
        <v>5.2018610993186824E-2</v>
      </c>
      <c r="BC156" s="479">
        <f t="shared" si="49"/>
        <v>6.5514016710779291E-2</v>
      </c>
      <c r="BD156" s="479">
        <f t="shared" si="50"/>
        <v>6.98893498173878E-2</v>
      </c>
    </row>
    <row r="157" spans="1:56" ht="15">
      <c r="A157" s="63" t="str">
        <f>VLOOKUP(CONCATENATE($C157," - ",$B157),[2]ACHIEV!$B$12:$C$100,2,FALSE)</f>
        <v>LO20Fast</v>
      </c>
      <c r="B157" s="63" t="str">
        <f>'SC-NR'!$C$7</f>
        <v>NR</v>
      </c>
      <c r="C157" s="63" t="str">
        <f>'SC-NR'!$C$8</f>
        <v>Lighting</v>
      </c>
      <c r="D157" s="63" t="s">
        <v>795</v>
      </c>
      <c r="E157" s="63" t="str">
        <f>'SC-NR'!$A$9</f>
        <v>Lighting</v>
      </c>
      <c r="F157" s="478">
        <f t="shared" si="26"/>
        <v>1.8717307205817217E-3</v>
      </c>
      <c r="G157" s="71">
        <f>'SC-NR'!A115</f>
        <v>7.1645689261628798</v>
      </c>
      <c r="H157" s="71">
        <f>'SC-NR'!B115</f>
        <v>56.611757463143533</v>
      </c>
      <c r="I157" t="str">
        <f>'SC-NR'!C115</f>
        <v>Multifamily - High Rise</v>
      </c>
      <c r="J157" t="str">
        <f>'SC-NR'!D115</f>
        <v>2016 - LEDGeneral Purpose and Dimmable665 to 1439 lumensANY</v>
      </c>
      <c r="K157" s="42">
        <f>'SC-NR'!E115</f>
        <v>4.8778591146441654E-2</v>
      </c>
      <c r="L157" s="42">
        <f>'SC-NR'!F115</f>
        <v>0</v>
      </c>
      <c r="M157" s="42">
        <f>'SC-NR'!G115</f>
        <v>0</v>
      </c>
      <c r="N157" s="42">
        <f>'SC-NR'!H115</f>
        <v>0</v>
      </c>
      <c r="O157" s="42">
        <f>'SC-NR'!I115</f>
        <v>0</v>
      </c>
      <c r="P157" s="42">
        <f>'SC-NR'!J115</f>
        <v>0</v>
      </c>
      <c r="Q157" s="42">
        <f>'SC-NR'!K115</f>
        <v>0</v>
      </c>
      <c r="R157" s="42">
        <f>'SC-NR'!L115</f>
        <v>0</v>
      </c>
      <c r="S157" s="42">
        <f>'SC-NR'!M115</f>
        <v>0</v>
      </c>
      <c r="T157" s="42">
        <f>'SC-NR'!N115</f>
        <v>0</v>
      </c>
      <c r="U157" s="42">
        <f>'SC-NR'!O115</f>
        <v>0</v>
      </c>
      <c r="V157" s="42">
        <f>'SC-NR'!P115</f>
        <v>0</v>
      </c>
      <c r="W157" s="42">
        <f>'SC-NR'!Q115</f>
        <v>0</v>
      </c>
      <c r="X157" s="42">
        <f>'SC-NR'!R115</f>
        <v>0</v>
      </c>
      <c r="Y157" s="42">
        <f>'SC-NR'!S115</f>
        <v>0</v>
      </c>
      <c r="Z157" s="42">
        <f>'SC-NR'!T115</f>
        <v>0</v>
      </c>
      <c r="AA157" s="42">
        <f>'SC-NR'!U115</f>
        <v>0</v>
      </c>
      <c r="AB157" s="42">
        <f>'SC-NR'!V115</f>
        <v>0</v>
      </c>
      <c r="AC157" s="42">
        <f>'SC-NR'!W115</f>
        <v>0</v>
      </c>
      <c r="AD157" s="42">
        <f>'SC-NR'!X115</f>
        <v>0</v>
      </c>
      <c r="AE157" s="42">
        <f>'SC-NR'!Y115</f>
        <v>0.22051882381748111</v>
      </c>
      <c r="AF157" s="479">
        <f t="shared" si="27"/>
        <v>0.5126161213293734</v>
      </c>
      <c r="AG157" s="479">
        <f t="shared" si="28"/>
        <v>0.40771160638614634</v>
      </c>
      <c r="AH157" s="479">
        <f t="shared" si="29"/>
        <v>0.41191862538090729</v>
      </c>
      <c r="AI157" s="479">
        <f t="shared" si="30"/>
        <v>0.33594990527417118</v>
      </c>
      <c r="AJ157" s="479">
        <f t="shared" si="31"/>
        <v>0.3059127238536789</v>
      </c>
      <c r="AK157" s="479">
        <f t="shared" si="32"/>
        <v>0.31433198090283632</v>
      </c>
      <c r="AL157" s="479">
        <f t="shared" si="33"/>
        <v>0.25941516655196784</v>
      </c>
      <c r="AM157" s="479">
        <f t="shared" si="34"/>
        <v>0.2959022859687726</v>
      </c>
      <c r="AN157" s="479">
        <f t="shared" si="35"/>
        <v>0.32583311277992005</v>
      </c>
      <c r="AO157" s="479">
        <f t="shared" si="36"/>
        <v>0.47552515963199937</v>
      </c>
      <c r="AP157" s="479">
        <f t="shared" si="37"/>
        <v>0.48002673562191084</v>
      </c>
      <c r="AQ157" s="479">
        <f t="shared" si="38"/>
        <v>0.52697435137723647</v>
      </c>
      <c r="AR157" s="479"/>
      <c r="AS157" s="479">
        <f t="shared" si="39"/>
        <v>0.26742291054016054</v>
      </c>
      <c r="AT157" s="479">
        <f t="shared" si="40"/>
        <v>0.20552718928496042</v>
      </c>
      <c r="AU157" s="479">
        <f t="shared" si="41"/>
        <v>0.19155858841529055</v>
      </c>
      <c r="AV157" s="479">
        <f t="shared" si="42"/>
        <v>0.18790955897174189</v>
      </c>
      <c r="AW157" s="479">
        <f t="shared" si="43"/>
        <v>0.18256950393500734</v>
      </c>
      <c r="AX157" s="479">
        <f t="shared" si="44"/>
        <v>0.17073459124127832</v>
      </c>
      <c r="AY157" s="479">
        <f t="shared" si="45"/>
        <v>0.19477494183861133</v>
      </c>
      <c r="AZ157" s="479">
        <f t="shared" si="46"/>
        <v>0.17620261737360352</v>
      </c>
      <c r="BA157" s="479">
        <f t="shared" si="47"/>
        <v>0.20422983465407252</v>
      </c>
      <c r="BB157" s="479">
        <f t="shared" si="48"/>
        <v>0.20303236800439955</v>
      </c>
      <c r="BC157" s="479">
        <f t="shared" si="49"/>
        <v>0.25570590402753146</v>
      </c>
      <c r="BD157" s="479">
        <f t="shared" si="50"/>
        <v>0.27278314281730076</v>
      </c>
    </row>
    <row r="158" spans="1:56" ht="15">
      <c r="A158" s="63" t="str">
        <f>VLOOKUP(CONCATENATE($C158," - ",$B158),[2]ACHIEV!$B$12:$C$100,2,FALSE)</f>
        <v>LO20Fast</v>
      </c>
      <c r="B158" s="63" t="str">
        <f>'SC-NR'!$C$7</f>
        <v>NR</v>
      </c>
      <c r="C158" s="63" t="str">
        <f>'SC-NR'!$C$8</f>
        <v>Lighting</v>
      </c>
      <c r="D158" s="63" t="s">
        <v>795</v>
      </c>
      <c r="E158" s="63" t="str">
        <f>'SC-NR'!$A$9</f>
        <v>Lighting</v>
      </c>
      <c r="F158" s="478">
        <f t="shared" si="26"/>
        <v>3.4972440175301935E-3</v>
      </c>
      <c r="G158" s="71">
        <f>'SC-NR'!A116</f>
        <v>13.386672313322151</v>
      </c>
      <c r="H158" s="71">
        <f>'SC-NR'!B116</f>
        <v>91.063681093838966</v>
      </c>
      <c r="I158" t="str">
        <f>'SC-NR'!C116</f>
        <v>Multifamily - High Rise</v>
      </c>
      <c r="J158" t="str">
        <f>'SC-NR'!D116</f>
        <v>2016 - LEDGeneral Purpose and Dimmable1440 to 2600 lumensANY</v>
      </c>
      <c r="K158" s="42">
        <f>'SC-NR'!E116</f>
        <v>9.0868333505912235E-3</v>
      </c>
      <c r="L158" s="42">
        <f>'SC-NR'!F116</f>
        <v>0</v>
      </c>
      <c r="M158" s="42">
        <f>'SC-NR'!G116</f>
        <v>0</v>
      </c>
      <c r="N158" s="42">
        <f>'SC-NR'!H116</f>
        <v>0</v>
      </c>
      <c r="O158" s="42">
        <f>'SC-NR'!I116</f>
        <v>0</v>
      </c>
      <c r="P158" s="42">
        <f>'SC-NR'!J116</f>
        <v>0</v>
      </c>
      <c r="Q158" s="42">
        <f>'SC-NR'!K116</f>
        <v>0</v>
      </c>
      <c r="R158" s="42">
        <f>'SC-NR'!L116</f>
        <v>0</v>
      </c>
      <c r="S158" s="42">
        <f>'SC-NR'!M116</f>
        <v>0</v>
      </c>
      <c r="T158" s="42">
        <f>'SC-NR'!N116</f>
        <v>0</v>
      </c>
      <c r="U158" s="42">
        <f>'SC-NR'!O116</f>
        <v>0</v>
      </c>
      <c r="V158" s="42">
        <f>'SC-NR'!P116</f>
        <v>0</v>
      </c>
      <c r="W158" s="42">
        <f>'SC-NR'!Q116</f>
        <v>0</v>
      </c>
      <c r="X158" s="42">
        <f>'SC-NR'!R116</f>
        <v>0</v>
      </c>
      <c r="Y158" s="42">
        <f>'SC-NR'!S116</f>
        <v>0</v>
      </c>
      <c r="Z158" s="42">
        <f>'SC-NR'!T116</f>
        <v>0</v>
      </c>
      <c r="AA158" s="42">
        <f>'SC-NR'!U116</f>
        <v>0</v>
      </c>
      <c r="AB158" s="42">
        <f>'SC-NR'!V116</f>
        <v>0</v>
      </c>
      <c r="AC158" s="42">
        <f>'SC-NR'!W116</f>
        <v>0</v>
      </c>
      <c r="AD158" s="42">
        <f>'SC-NR'!X116</f>
        <v>0</v>
      </c>
      <c r="AE158" s="42">
        <f>'SC-NR'!Y116</f>
        <v>4.1079862201883498E-2</v>
      </c>
      <c r="AF158" s="479">
        <f t="shared" si="27"/>
        <v>0.95779998901311492</v>
      </c>
      <c r="AG158" s="479">
        <f t="shared" si="28"/>
        <v>0.76179065750890984</v>
      </c>
      <c r="AH158" s="479">
        <f t="shared" si="29"/>
        <v>0.76965128182269515</v>
      </c>
      <c r="AI158" s="479">
        <f t="shared" si="30"/>
        <v>0.62770717149140953</v>
      </c>
      <c r="AJ158" s="479">
        <f t="shared" si="31"/>
        <v>0.57158405940526624</v>
      </c>
      <c r="AK158" s="479">
        <f t="shared" si="32"/>
        <v>0.58731505960921848</v>
      </c>
      <c r="AL158" s="479">
        <f t="shared" si="33"/>
        <v>0.48470548103121619</v>
      </c>
      <c r="AM158" s="479">
        <f t="shared" si="34"/>
        <v>0.552880009928018</v>
      </c>
      <c r="AN158" s="479">
        <f t="shared" si="35"/>
        <v>0.60880440324699125</v>
      </c>
      <c r="AO158" s="479">
        <f t="shared" si="36"/>
        <v>0.888497208183473</v>
      </c>
      <c r="AP158" s="479">
        <f t="shared" si="37"/>
        <v>0.89690819889226614</v>
      </c>
      <c r="AQ158" s="479">
        <f t="shared" si="38"/>
        <v>0.98462769108855308</v>
      </c>
      <c r="AR158" s="479"/>
      <c r="AS158" s="479">
        <f t="shared" si="39"/>
        <v>0.49966758773207559</v>
      </c>
      <c r="AT158" s="479">
        <f t="shared" si="40"/>
        <v>0.38401823791364159</v>
      </c>
      <c r="AU158" s="479">
        <f t="shared" si="41"/>
        <v>0.35791854029819764</v>
      </c>
      <c r="AV158" s="479">
        <f t="shared" si="42"/>
        <v>0.35110049417066713</v>
      </c>
      <c r="AW158" s="479">
        <f t="shared" si="43"/>
        <v>0.34112284336590948</v>
      </c>
      <c r="AX158" s="479">
        <f t="shared" si="44"/>
        <v>0.31900984540043698</v>
      </c>
      <c r="AY158" s="479">
        <f t="shared" si="45"/>
        <v>0.36392815089243707</v>
      </c>
      <c r="AZ158" s="479">
        <f t="shared" si="46"/>
        <v>0.32922660439717438</v>
      </c>
      <c r="BA158" s="479">
        <f t="shared" si="47"/>
        <v>0.38159418958681945</v>
      </c>
      <c r="BB158" s="479">
        <f t="shared" si="48"/>
        <v>0.37935677742559831</v>
      </c>
      <c r="BC158" s="479">
        <f t="shared" si="49"/>
        <v>0.47777489212203672</v>
      </c>
      <c r="BD158" s="479">
        <f t="shared" si="50"/>
        <v>0.50968293879602289</v>
      </c>
    </row>
    <row r="159" spans="1:56" ht="15">
      <c r="A159" s="63" t="str">
        <f>VLOOKUP(CONCATENATE($C159," - ",$B159),[2]ACHIEV!$B$12:$C$100,2,FALSE)</f>
        <v>LO20Fast</v>
      </c>
      <c r="B159" s="63" t="str">
        <f>'SC-NR'!$C$7</f>
        <v>NR</v>
      </c>
      <c r="C159" s="63" t="str">
        <f>'SC-NR'!$C$8</f>
        <v>Lighting</v>
      </c>
      <c r="D159" s="63" t="s">
        <v>795</v>
      </c>
      <c r="E159" s="63" t="str">
        <f>'SC-NR'!$A$9</f>
        <v>Lighting</v>
      </c>
      <c r="F159" s="478">
        <f t="shared" si="26"/>
        <v>3.7448609823725787E-3</v>
      </c>
      <c r="G159" s="71">
        <f>'SC-NR'!A117</f>
        <v>14.33449498481688</v>
      </c>
      <c r="H159" s="71">
        <f>'SC-NR'!B117</f>
        <v>-37.397069706053522</v>
      </c>
      <c r="I159" t="str">
        <f>'SC-NR'!C117</f>
        <v>Multifamily - High Rise</v>
      </c>
      <c r="J159" t="str">
        <f>'SC-NR'!D117</f>
        <v>2016 - LEDGlobe250 to 664 lumensANY</v>
      </c>
      <c r="K159" s="42">
        <f>'SC-NR'!E117</f>
        <v>8.3161788710933975E-3</v>
      </c>
      <c r="L159" s="42">
        <f>'SC-NR'!F117</f>
        <v>0</v>
      </c>
      <c r="M159" s="42">
        <f>'SC-NR'!G117</f>
        <v>0</v>
      </c>
      <c r="N159" s="42">
        <f>'SC-NR'!H117</f>
        <v>0</v>
      </c>
      <c r="O159" s="42">
        <f>'SC-NR'!I117</f>
        <v>0</v>
      </c>
      <c r="P159" s="42">
        <f>'SC-NR'!J117</f>
        <v>0</v>
      </c>
      <c r="Q159" s="42">
        <f>'SC-NR'!K117</f>
        <v>0</v>
      </c>
      <c r="R159" s="42">
        <f>'SC-NR'!L117</f>
        <v>0</v>
      </c>
      <c r="S159" s="42">
        <f>'SC-NR'!M117</f>
        <v>0</v>
      </c>
      <c r="T159" s="42">
        <f>'SC-NR'!N117</f>
        <v>0</v>
      </c>
      <c r="U159" s="42">
        <f>'SC-NR'!O117</f>
        <v>0</v>
      </c>
      <c r="V159" s="42">
        <f>'SC-NR'!P117</f>
        <v>0</v>
      </c>
      <c r="W159" s="42">
        <f>'SC-NR'!Q117</f>
        <v>0</v>
      </c>
      <c r="X159" s="42">
        <f>'SC-NR'!R117</f>
        <v>0</v>
      </c>
      <c r="Y159" s="42">
        <f>'SC-NR'!S117</f>
        <v>0</v>
      </c>
      <c r="Z159" s="42">
        <f>'SC-NR'!T117</f>
        <v>0</v>
      </c>
      <c r="AA159" s="42">
        <f>'SC-NR'!U117</f>
        <v>0</v>
      </c>
      <c r="AB159" s="42">
        <f>'SC-NR'!V117</f>
        <v>0</v>
      </c>
      <c r="AC159" s="42">
        <f>'SC-NR'!W117</f>
        <v>0</v>
      </c>
      <c r="AD159" s="42">
        <f>'SC-NR'!X117</f>
        <v>0</v>
      </c>
      <c r="AE159" s="42">
        <f>'SC-NR'!Y117</f>
        <v>3.7595878441911153E-2</v>
      </c>
      <c r="AF159" s="479">
        <f t="shared" si="27"/>
        <v>1.0256155389194634</v>
      </c>
      <c r="AG159" s="479">
        <f t="shared" si="28"/>
        <v>0.81572806922856911</v>
      </c>
      <c r="AH159" s="479">
        <f t="shared" si="29"/>
        <v>0.82414525291441687</v>
      </c>
      <c r="AI159" s="479">
        <f t="shared" si="30"/>
        <v>0.67215100893466262</v>
      </c>
      <c r="AJ159" s="479">
        <f t="shared" si="31"/>
        <v>0.61205418652043819</v>
      </c>
      <c r="AK159" s="479">
        <f t="shared" si="32"/>
        <v>0.62889899591383003</v>
      </c>
      <c r="AL159" s="479">
        <f t="shared" si="33"/>
        <v>0.51902430449729475</v>
      </c>
      <c r="AM159" s="479">
        <f t="shared" si="34"/>
        <v>0.59202582568870554</v>
      </c>
      <c r="AN159" s="479">
        <f t="shared" si="35"/>
        <v>0.65190985936016288</v>
      </c>
      <c r="AO159" s="479">
        <f t="shared" si="36"/>
        <v>0.95140588165850748</v>
      </c>
      <c r="AP159" s="479">
        <f t="shared" si="37"/>
        <v>0.96041239958249891</v>
      </c>
      <c r="AQ159" s="479">
        <f t="shared" si="38"/>
        <v>1.0543427350331549</v>
      </c>
      <c r="AR159" s="479"/>
      <c r="AS159" s="479">
        <f t="shared" si="39"/>
        <v>0.53504578006985537</v>
      </c>
      <c r="AT159" s="479">
        <f t="shared" si="40"/>
        <v>0.4112080565364355</v>
      </c>
      <c r="AU159" s="479">
        <f t="shared" si="41"/>
        <v>0.38326041011489015</v>
      </c>
      <c r="AV159" s="479">
        <f t="shared" si="42"/>
        <v>0.37595962275460831</v>
      </c>
      <c r="AW159" s="479">
        <f t="shared" si="43"/>
        <v>0.36527551978461797</v>
      </c>
      <c r="AX159" s="479">
        <f t="shared" si="44"/>
        <v>0.34159684512849148</v>
      </c>
      <c r="AY159" s="479">
        <f t="shared" si="45"/>
        <v>0.38969552191172535</v>
      </c>
      <c r="AZ159" s="479">
        <f t="shared" si="46"/>
        <v>0.35253698597694333</v>
      </c>
      <c r="BA159" s="479">
        <f t="shared" si="47"/>
        <v>0.40861237720922838</v>
      </c>
      <c r="BB159" s="479">
        <f t="shared" si="48"/>
        <v>0.40621654853326428</v>
      </c>
      <c r="BC159" s="479">
        <f t="shared" si="49"/>
        <v>0.51160300593741348</v>
      </c>
      <c r="BD159" s="479">
        <f t="shared" si="50"/>
        <v>0.54577025260769885</v>
      </c>
    </row>
    <row r="160" spans="1:56" ht="15">
      <c r="A160" s="63" t="str">
        <f>VLOOKUP(CONCATENATE($C160," - ",$B160),[2]ACHIEV!$B$12:$C$100,2,FALSE)</f>
        <v>LO20Fast</v>
      </c>
      <c r="B160" s="63" t="str">
        <f>'SC-NR'!$C$7</f>
        <v>NR</v>
      </c>
      <c r="C160" s="63" t="str">
        <f>'SC-NR'!$C$8</f>
        <v>Lighting</v>
      </c>
      <c r="D160" s="63" t="s">
        <v>795</v>
      </c>
      <c r="E160" s="63" t="str">
        <f>'SC-NR'!$A$9</f>
        <v>Lighting</v>
      </c>
      <c r="F160" s="478">
        <f t="shared" si="26"/>
        <v>2.5791399031027257E-3</v>
      </c>
      <c r="G160" s="71">
        <f>'SC-NR'!A118</f>
        <v>9.8723739493112301</v>
      </c>
      <c r="H160" s="71">
        <f>'SC-NR'!B118</f>
        <v>-94.996719014918995</v>
      </c>
      <c r="I160" t="str">
        <f>'SC-NR'!C118</f>
        <v>Multifamily - High Rise</v>
      </c>
      <c r="J160" t="str">
        <f>'SC-NR'!D118</f>
        <v>2016 - LEDGlobe665 to 1439 lumensANY</v>
      </c>
      <c r="K160" s="42">
        <f>'SC-NR'!E118</f>
        <v>3.4924664309157762E-3</v>
      </c>
      <c r="L160" s="42">
        <f>'SC-NR'!F118</f>
        <v>0</v>
      </c>
      <c r="M160" s="42">
        <f>'SC-NR'!G118</f>
        <v>0</v>
      </c>
      <c r="N160" s="42">
        <f>'SC-NR'!H118</f>
        <v>0</v>
      </c>
      <c r="O160" s="42">
        <f>'SC-NR'!I118</f>
        <v>0</v>
      </c>
      <c r="P160" s="42">
        <f>'SC-NR'!J118</f>
        <v>0</v>
      </c>
      <c r="Q160" s="42">
        <f>'SC-NR'!K118</f>
        <v>0</v>
      </c>
      <c r="R160" s="42">
        <f>'SC-NR'!L118</f>
        <v>0</v>
      </c>
      <c r="S160" s="42">
        <f>'SC-NR'!M118</f>
        <v>0</v>
      </c>
      <c r="T160" s="42">
        <f>'SC-NR'!N118</f>
        <v>0</v>
      </c>
      <c r="U160" s="42">
        <f>'SC-NR'!O118</f>
        <v>0</v>
      </c>
      <c r="V160" s="42">
        <f>'SC-NR'!P118</f>
        <v>0</v>
      </c>
      <c r="W160" s="42">
        <f>'SC-NR'!Q118</f>
        <v>0</v>
      </c>
      <c r="X160" s="42">
        <f>'SC-NR'!R118</f>
        <v>0</v>
      </c>
      <c r="Y160" s="42">
        <f>'SC-NR'!S118</f>
        <v>0</v>
      </c>
      <c r="Z160" s="42">
        <f>'SC-NR'!T118</f>
        <v>0</v>
      </c>
      <c r="AA160" s="42">
        <f>'SC-NR'!U118</f>
        <v>0</v>
      </c>
      <c r="AB160" s="42">
        <f>'SC-NR'!V118</f>
        <v>0</v>
      </c>
      <c r="AC160" s="42">
        <f>'SC-NR'!W118</f>
        <v>0</v>
      </c>
      <c r="AD160" s="42">
        <f>'SC-NR'!X118</f>
        <v>0</v>
      </c>
      <c r="AE160" s="42">
        <f>'SC-NR'!Y118</f>
        <v>1.5788782977668371E-2</v>
      </c>
      <c r="AF160" s="479">
        <f t="shared" si="27"/>
        <v>0.70635625037101069</v>
      </c>
      <c r="AG160" s="479">
        <f t="shared" si="28"/>
        <v>0.5618037153666039</v>
      </c>
      <c r="AH160" s="479">
        <f t="shared" si="29"/>
        <v>0.5676007514697069</v>
      </c>
      <c r="AI160" s="479">
        <f t="shared" si="30"/>
        <v>0.46292011805357608</v>
      </c>
      <c r="AJ160" s="479">
        <f t="shared" si="31"/>
        <v>0.42153056755549467</v>
      </c>
      <c r="AK160" s="479">
        <f t="shared" si="32"/>
        <v>0.43313183133301719</v>
      </c>
      <c r="AL160" s="479">
        <f t="shared" si="33"/>
        <v>0.35745954274676744</v>
      </c>
      <c r="AM160" s="479">
        <f t="shared" si="34"/>
        <v>0.40773674587345871</v>
      </c>
      <c r="AN160" s="479">
        <f t="shared" si="35"/>
        <v>0.44897974568782045</v>
      </c>
      <c r="AO160" s="479">
        <f t="shared" si="36"/>
        <v>0.65524698646555923</v>
      </c>
      <c r="AP160" s="479">
        <f t="shared" si="37"/>
        <v>0.66144990557927741</v>
      </c>
      <c r="AQ160" s="479">
        <f t="shared" si="38"/>
        <v>0.72614108568261104</v>
      </c>
      <c r="AR160" s="479"/>
      <c r="AS160" s="479">
        <f t="shared" si="39"/>
        <v>0.36849376461782796</v>
      </c>
      <c r="AT160" s="479">
        <f t="shared" si="40"/>
        <v>0.28320493393015522</v>
      </c>
      <c r="AU160" s="479">
        <f t="shared" si="41"/>
        <v>0.26395698576254489</v>
      </c>
      <c r="AV160" s="479">
        <f t="shared" si="42"/>
        <v>0.25892882795011757</v>
      </c>
      <c r="AW160" s="479">
        <f t="shared" si="43"/>
        <v>0.25157053176009392</v>
      </c>
      <c r="AX160" s="479">
        <f t="shared" si="44"/>
        <v>0.2352626861696519</v>
      </c>
      <c r="AY160" s="479">
        <f t="shared" si="45"/>
        <v>0.26838894029817884</v>
      </c>
      <c r="AZ160" s="479">
        <f t="shared" si="46"/>
        <v>0.24279731934845944</v>
      </c>
      <c r="BA160" s="479">
        <f t="shared" si="47"/>
        <v>0.28141725204824536</v>
      </c>
      <c r="BB160" s="479">
        <f t="shared" si="48"/>
        <v>0.27976721019935885</v>
      </c>
      <c r="BC160" s="479">
        <f t="shared" si="49"/>
        <v>0.35234838712878186</v>
      </c>
      <c r="BD160" s="479">
        <f t="shared" si="50"/>
        <v>0.37587986391290973</v>
      </c>
    </row>
    <row r="161" spans="1:56" ht="15">
      <c r="A161" s="63" t="str">
        <f>VLOOKUP(CONCATENATE($C161," - ",$B161),[2]ACHIEV!$B$12:$C$100,2,FALSE)</f>
        <v>LO20Fast</v>
      </c>
      <c r="B161" s="63" t="str">
        <f>'SC-NR'!$C$7</f>
        <v>NR</v>
      </c>
      <c r="C161" s="63" t="str">
        <f>'SC-NR'!$C$8</f>
        <v>Lighting</v>
      </c>
      <c r="D161" s="63" t="s">
        <v>795</v>
      </c>
      <c r="E161" s="63" t="str">
        <f>'SC-NR'!$A$9</f>
        <v>Lighting</v>
      </c>
      <c r="F161" s="478">
        <f t="shared" si="26"/>
        <v>2.7904432298357131E-3</v>
      </c>
      <c r="G161" s="71">
        <f>'SC-NR'!A119</f>
        <v>10.681196090262945</v>
      </c>
      <c r="H161" s="71">
        <f>'SC-NR'!B119</f>
        <v>-99.87829920820603</v>
      </c>
      <c r="I161" t="str">
        <f>'SC-NR'!C119</f>
        <v>Multifamily - High Rise</v>
      </c>
      <c r="J161" t="str">
        <f>'SC-NR'!D119</f>
        <v>2016 - LEDGlobe1440 to 2600 lumensANY</v>
      </c>
      <c r="K161" s="42">
        <f>'SC-NR'!E119</f>
        <v>2.8472033626414541E-4</v>
      </c>
      <c r="L161" s="42">
        <f>'SC-NR'!F119</f>
        <v>0</v>
      </c>
      <c r="M161" s="42">
        <f>'SC-NR'!G119</f>
        <v>0</v>
      </c>
      <c r="N161" s="42">
        <f>'SC-NR'!H119</f>
        <v>0</v>
      </c>
      <c r="O161" s="42">
        <f>'SC-NR'!I119</f>
        <v>0</v>
      </c>
      <c r="P161" s="42">
        <f>'SC-NR'!J119</f>
        <v>0</v>
      </c>
      <c r="Q161" s="42">
        <f>'SC-NR'!K119</f>
        <v>0</v>
      </c>
      <c r="R161" s="42">
        <f>'SC-NR'!L119</f>
        <v>0</v>
      </c>
      <c r="S161" s="42">
        <f>'SC-NR'!M119</f>
        <v>0</v>
      </c>
      <c r="T161" s="42">
        <f>'SC-NR'!N119</f>
        <v>0</v>
      </c>
      <c r="U161" s="42">
        <f>'SC-NR'!O119</f>
        <v>0</v>
      </c>
      <c r="V161" s="42">
        <f>'SC-NR'!P119</f>
        <v>0</v>
      </c>
      <c r="W161" s="42">
        <f>'SC-NR'!Q119</f>
        <v>0</v>
      </c>
      <c r="X161" s="42">
        <f>'SC-NR'!R119</f>
        <v>0</v>
      </c>
      <c r="Y161" s="42">
        <f>'SC-NR'!S119</f>
        <v>0</v>
      </c>
      <c r="Z161" s="42">
        <f>'SC-NR'!T119</f>
        <v>0</v>
      </c>
      <c r="AA161" s="42">
        <f>'SC-NR'!U119</f>
        <v>0</v>
      </c>
      <c r="AB161" s="42">
        <f>'SC-NR'!V119</f>
        <v>0</v>
      </c>
      <c r="AC161" s="42">
        <f>'SC-NR'!W119</f>
        <v>0</v>
      </c>
      <c r="AD161" s="42">
        <f>'SC-NR'!X119</f>
        <v>0</v>
      </c>
      <c r="AE161" s="42">
        <f>'SC-NR'!Y119</f>
        <v>1.2871670172144207E-3</v>
      </c>
      <c r="AF161" s="479">
        <f t="shared" si="27"/>
        <v>0.7642264827622347</v>
      </c>
      <c r="AG161" s="479">
        <f t="shared" si="28"/>
        <v>0.60783107273682868</v>
      </c>
      <c r="AH161" s="479">
        <f t="shared" si="29"/>
        <v>0.61410304740852306</v>
      </c>
      <c r="AI161" s="479">
        <f t="shared" si="30"/>
        <v>0.50084615721053449</v>
      </c>
      <c r="AJ161" s="479">
        <f t="shared" si="31"/>
        <v>0.45606565079660444</v>
      </c>
      <c r="AK161" s="479">
        <f t="shared" si="32"/>
        <v>0.46861738090111776</v>
      </c>
      <c r="AL161" s="479">
        <f t="shared" si="33"/>
        <v>0.38674542617789825</v>
      </c>
      <c r="AM161" s="479">
        <f t="shared" si="34"/>
        <v>0.44114173128378797</v>
      </c>
      <c r="AN161" s="479">
        <f t="shared" si="35"/>
        <v>0.48576368043499596</v>
      </c>
      <c r="AO161" s="479">
        <f t="shared" si="36"/>
        <v>0.70892994794639019</v>
      </c>
      <c r="AP161" s="479">
        <f t="shared" si="37"/>
        <v>0.71564105874160944</v>
      </c>
      <c r="AQ161" s="479">
        <f t="shared" si="38"/>
        <v>0.78563224663035736</v>
      </c>
      <c r="AR161" s="479"/>
      <c r="AS161" s="479">
        <f t="shared" si="39"/>
        <v>0.39868365786496762</v>
      </c>
      <c r="AT161" s="479">
        <f t="shared" si="40"/>
        <v>0.30640729864664351</v>
      </c>
      <c r="AU161" s="479">
        <f t="shared" si="41"/>
        <v>0.28558240791934209</v>
      </c>
      <c r="AV161" s="479">
        <f t="shared" si="42"/>
        <v>0.28014230406559065</v>
      </c>
      <c r="AW161" s="479">
        <f t="shared" si="43"/>
        <v>0.27218115866131221</v>
      </c>
      <c r="AX161" s="479">
        <f t="shared" si="44"/>
        <v>0.25453724672527844</v>
      </c>
      <c r="AY161" s="479">
        <f t="shared" si="45"/>
        <v>0.29037746285762667</v>
      </c>
      <c r="AZ161" s="479">
        <f t="shared" si="46"/>
        <v>0.26268917602457925</v>
      </c>
      <c r="BA161" s="479">
        <f t="shared" si="47"/>
        <v>0.30447315587351431</v>
      </c>
      <c r="BB161" s="479">
        <f t="shared" si="48"/>
        <v>0.30268792968216585</v>
      </c>
      <c r="BC161" s="479">
        <f t="shared" si="49"/>
        <v>0.3812155246887674</v>
      </c>
      <c r="BD161" s="479">
        <f t="shared" si="50"/>
        <v>0.4066748842222741</v>
      </c>
    </row>
    <row r="162" spans="1:56" ht="15">
      <c r="A162" s="63" t="str">
        <f>VLOOKUP(CONCATENATE($C162," - ",$B162),[2]ACHIEV!$B$12:$C$100,2,FALSE)</f>
        <v>LO20Fast</v>
      </c>
      <c r="B162" s="63" t="str">
        <f>'SC-NR'!$C$7</f>
        <v>NR</v>
      </c>
      <c r="C162" s="63" t="str">
        <f>'SC-NR'!$C$8</f>
        <v>Lighting</v>
      </c>
      <c r="D162" s="63" t="s">
        <v>795</v>
      </c>
      <c r="E162" s="63" t="str">
        <f>'SC-NR'!$A$9</f>
        <v>Lighting</v>
      </c>
      <c r="F162" s="478">
        <f t="shared" si="26"/>
        <v>5.3228772760490119E-3</v>
      </c>
      <c r="G162" s="71">
        <f>'SC-NR'!A120</f>
        <v>20.374790406766845</v>
      </c>
      <c r="H162" s="71">
        <f>'SC-NR'!B120</f>
        <v>-38.377975660533203</v>
      </c>
      <c r="I162" t="str">
        <f>'SC-NR'!C120</f>
        <v>Multifamily - High Rise</v>
      </c>
      <c r="J162" t="str">
        <f>'SC-NR'!D120</f>
        <v>2016 - LEDReflectors and Outdoor250 to 664 lumensANY</v>
      </c>
      <c r="K162" s="42">
        <f>'SC-NR'!E120</f>
        <v>3.7598420781867997E-3</v>
      </c>
      <c r="L162" s="42">
        <f>'SC-NR'!F120</f>
        <v>0</v>
      </c>
      <c r="M162" s="42">
        <f>'SC-NR'!G120</f>
        <v>0</v>
      </c>
      <c r="N162" s="42">
        <f>'SC-NR'!H120</f>
        <v>0</v>
      </c>
      <c r="O162" s="42">
        <f>'SC-NR'!I120</f>
        <v>0</v>
      </c>
      <c r="P162" s="42">
        <f>'SC-NR'!J120</f>
        <v>0</v>
      </c>
      <c r="Q162" s="42">
        <f>'SC-NR'!K120</f>
        <v>0</v>
      </c>
      <c r="R162" s="42">
        <f>'SC-NR'!L120</f>
        <v>0</v>
      </c>
      <c r="S162" s="42">
        <f>'SC-NR'!M120</f>
        <v>0</v>
      </c>
      <c r="T162" s="42">
        <f>'SC-NR'!N120</f>
        <v>0</v>
      </c>
      <c r="U162" s="42">
        <f>'SC-NR'!O120</f>
        <v>0</v>
      </c>
      <c r="V162" s="42">
        <f>'SC-NR'!P120</f>
        <v>0</v>
      </c>
      <c r="W162" s="42">
        <f>'SC-NR'!Q120</f>
        <v>0</v>
      </c>
      <c r="X162" s="42">
        <f>'SC-NR'!R120</f>
        <v>0</v>
      </c>
      <c r="Y162" s="42">
        <f>'SC-NR'!S120</f>
        <v>0</v>
      </c>
      <c r="Z162" s="42">
        <f>'SC-NR'!T120</f>
        <v>0</v>
      </c>
      <c r="AA162" s="42">
        <f>'SC-NR'!U120</f>
        <v>0</v>
      </c>
      <c r="AB162" s="42">
        <f>'SC-NR'!V120</f>
        <v>0</v>
      </c>
      <c r="AC162" s="42">
        <f>'SC-NR'!W120</f>
        <v>0</v>
      </c>
      <c r="AD162" s="42">
        <f>'SC-NR'!X120</f>
        <v>0</v>
      </c>
      <c r="AE162" s="42">
        <f>'SC-NR'!Y120</f>
        <v>1.6997537922570975E-2</v>
      </c>
      <c r="AF162" s="479">
        <f t="shared" si="27"/>
        <v>1.4577912696290392</v>
      </c>
      <c r="AG162" s="479">
        <f t="shared" si="28"/>
        <v>1.1594610383590722</v>
      </c>
      <c r="AH162" s="479">
        <f t="shared" si="29"/>
        <v>1.1714250701297106</v>
      </c>
      <c r="AI162" s="479">
        <f t="shared" si="30"/>
        <v>0.95538321672624815</v>
      </c>
      <c r="AJ162" s="479">
        <f t="shared" si="31"/>
        <v>0.86996268659250697</v>
      </c>
      <c r="AK162" s="479">
        <f t="shared" si="32"/>
        <v>0.89390559223346777</v>
      </c>
      <c r="AL162" s="479">
        <f t="shared" si="33"/>
        <v>0.73773170462938431</v>
      </c>
      <c r="AM162" s="479">
        <f t="shared" si="34"/>
        <v>0.84149473885037285</v>
      </c>
      <c r="AN162" s="479">
        <f t="shared" si="35"/>
        <v>0.92661281493607173</v>
      </c>
      <c r="AO162" s="479">
        <f t="shared" si="36"/>
        <v>1.3523110127764957</v>
      </c>
      <c r="AP162" s="479">
        <f t="shared" si="37"/>
        <v>1.3651127135124117</v>
      </c>
      <c r="AQ162" s="479">
        <f t="shared" si="38"/>
        <v>1.4986235835968849</v>
      </c>
      <c r="AR162" s="479"/>
      <c r="AS162" s="479">
        <f t="shared" si="39"/>
        <v>0.76050433855501731</v>
      </c>
      <c r="AT162" s="479">
        <f t="shared" si="40"/>
        <v>0.58448365110721312</v>
      </c>
      <c r="AU162" s="479">
        <f t="shared" si="41"/>
        <v>0.54475937489067727</v>
      </c>
      <c r="AV162" s="479">
        <f t="shared" si="42"/>
        <v>0.53438216854837683</v>
      </c>
      <c r="AW162" s="479">
        <f t="shared" si="43"/>
        <v>0.51919597894571268</v>
      </c>
      <c r="AX162" s="479">
        <f t="shared" si="44"/>
        <v>0.48553954153793449</v>
      </c>
      <c r="AY162" s="479">
        <f t="shared" si="45"/>
        <v>0.55390612573495235</v>
      </c>
      <c r="AZ162" s="479">
        <f t="shared" si="46"/>
        <v>0.5010896587233542</v>
      </c>
      <c r="BA162" s="479">
        <f t="shared" si="47"/>
        <v>0.58079419973058355</v>
      </c>
      <c r="BB162" s="479">
        <f t="shared" si="48"/>
        <v>0.57738881243406592</v>
      </c>
      <c r="BC162" s="479">
        <f t="shared" si="49"/>
        <v>0.72718320586024165</v>
      </c>
      <c r="BD162" s="479">
        <f t="shared" si="50"/>
        <v>0.77574790872704857</v>
      </c>
    </row>
    <row r="163" spans="1:56" ht="15">
      <c r="A163" s="63" t="str">
        <f>VLOOKUP(CONCATENATE($C163," - ",$B163),[2]ACHIEV!$B$12:$C$100,2,FALSE)</f>
        <v>LO20Fast</v>
      </c>
      <c r="B163" s="63" t="str">
        <f>'SC-NR'!$C$7</f>
        <v>NR</v>
      </c>
      <c r="C163" s="63" t="str">
        <f>'SC-NR'!$C$8</f>
        <v>Lighting</v>
      </c>
      <c r="D163" s="63" t="s">
        <v>795</v>
      </c>
      <c r="E163" s="63" t="str">
        <f>'SC-NR'!$A$9</f>
        <v>Lighting</v>
      </c>
      <c r="F163" s="478">
        <f t="shared" si="26"/>
        <v>4.0588070052657264E-3</v>
      </c>
      <c r="G163" s="71">
        <f>'SC-NR'!A121</f>
        <v>15.536210538971808</v>
      </c>
      <c r="H163" s="71">
        <f>'SC-NR'!B121</f>
        <v>-47.72588478334999</v>
      </c>
      <c r="I163" t="str">
        <f>'SC-NR'!C121</f>
        <v>Multifamily - High Rise</v>
      </c>
      <c r="J163" t="str">
        <f>'SC-NR'!D121</f>
        <v>2016 - LEDReflectors and Outdoor665 to 1439 lumensANY</v>
      </c>
      <c r="K163" s="42">
        <f>'SC-NR'!E121</f>
        <v>2.8969763399048828E-2</v>
      </c>
      <c r="L163" s="42">
        <f>'SC-NR'!F121</f>
        <v>0</v>
      </c>
      <c r="M163" s="42">
        <f>'SC-NR'!G121</f>
        <v>0</v>
      </c>
      <c r="N163" s="42">
        <f>'SC-NR'!H121</f>
        <v>0</v>
      </c>
      <c r="O163" s="42">
        <f>'SC-NR'!I121</f>
        <v>0</v>
      </c>
      <c r="P163" s="42">
        <f>'SC-NR'!J121</f>
        <v>0</v>
      </c>
      <c r="Q163" s="42">
        <f>'SC-NR'!K121</f>
        <v>0</v>
      </c>
      <c r="R163" s="42">
        <f>'SC-NR'!L121</f>
        <v>0</v>
      </c>
      <c r="S163" s="42">
        <f>'SC-NR'!M121</f>
        <v>0</v>
      </c>
      <c r="T163" s="42">
        <f>'SC-NR'!N121</f>
        <v>0</v>
      </c>
      <c r="U163" s="42">
        <f>'SC-NR'!O121</f>
        <v>0</v>
      </c>
      <c r="V163" s="42">
        <f>'SC-NR'!P121</f>
        <v>0</v>
      </c>
      <c r="W163" s="42">
        <f>'SC-NR'!Q121</f>
        <v>0</v>
      </c>
      <c r="X163" s="42">
        <f>'SC-NR'!R121</f>
        <v>0</v>
      </c>
      <c r="Y163" s="42">
        <f>'SC-NR'!S121</f>
        <v>0</v>
      </c>
      <c r="Z163" s="42">
        <f>'SC-NR'!T121</f>
        <v>0</v>
      </c>
      <c r="AA163" s="42">
        <f>'SC-NR'!U121</f>
        <v>0</v>
      </c>
      <c r="AB163" s="42">
        <f>'SC-NR'!V121</f>
        <v>0</v>
      </c>
      <c r="AC163" s="42">
        <f>'SC-NR'!W121</f>
        <v>0</v>
      </c>
      <c r="AD163" s="42">
        <f>'SC-NR'!X121</f>
        <v>0</v>
      </c>
      <c r="AE163" s="42">
        <f>'SC-NR'!Y121</f>
        <v>0.1309668442831807</v>
      </c>
      <c r="AF163" s="479">
        <f t="shared" si="27"/>
        <v>1.1115968132516232</v>
      </c>
      <c r="AG163" s="479">
        <f t="shared" si="28"/>
        <v>0.88411367400858021</v>
      </c>
      <c r="AH163" s="479">
        <f t="shared" si="29"/>
        <v>0.89323650240449115</v>
      </c>
      <c r="AI163" s="479">
        <f t="shared" si="30"/>
        <v>0.72849999946647181</v>
      </c>
      <c r="AJ163" s="479">
        <f t="shared" si="31"/>
        <v>0.66336503051642903</v>
      </c>
      <c r="AK163" s="479">
        <f t="shared" si="32"/>
        <v>0.68162200472457402</v>
      </c>
      <c r="AL163" s="479">
        <f t="shared" si="33"/>
        <v>0.5625360975782151</v>
      </c>
      <c r="AM163" s="479">
        <f t="shared" si="34"/>
        <v>0.64165761557353207</v>
      </c>
      <c r="AN163" s="479">
        <f t="shared" si="35"/>
        <v>0.70656195688643419</v>
      </c>
      <c r="AO163" s="479">
        <f t="shared" si="36"/>
        <v>1.0311658765180765</v>
      </c>
      <c r="AP163" s="479">
        <f t="shared" si="37"/>
        <v>1.0409274452959347</v>
      </c>
      <c r="AQ163" s="479">
        <f t="shared" si="38"/>
        <v>1.1427323201173605</v>
      </c>
      <c r="AR163" s="479"/>
      <c r="AS163" s="479">
        <f t="shared" si="39"/>
        <v>0.57990071474149463</v>
      </c>
      <c r="AT163" s="479">
        <f t="shared" si="40"/>
        <v>0.44568120107742304</v>
      </c>
      <c r="AU163" s="479">
        <f t="shared" si="41"/>
        <v>0.41539059653685312</v>
      </c>
      <c r="AV163" s="479">
        <f t="shared" si="42"/>
        <v>0.40747775624148563</v>
      </c>
      <c r="AW163" s="479">
        <f t="shared" si="43"/>
        <v>0.39589796404527355</v>
      </c>
      <c r="AX163" s="479">
        <f t="shared" si="44"/>
        <v>0.3702342155050527</v>
      </c>
      <c r="AY163" s="479">
        <f t="shared" si="45"/>
        <v>0.42236518837446929</v>
      </c>
      <c r="AZ163" s="479">
        <f t="shared" si="46"/>
        <v>0.38209151021460364</v>
      </c>
      <c r="BA163" s="479">
        <f t="shared" si="47"/>
        <v>0.44286791602190761</v>
      </c>
      <c r="BB163" s="479">
        <f t="shared" si="48"/>
        <v>0.44027123586229888</v>
      </c>
      <c r="BC163" s="479">
        <f t="shared" si="49"/>
        <v>0.55449264316834523</v>
      </c>
      <c r="BD163" s="479">
        <f t="shared" si="50"/>
        <v>0.59152426084087517</v>
      </c>
    </row>
    <row r="164" spans="1:56" ht="15">
      <c r="A164" s="63" t="str">
        <f>VLOOKUP(CONCATENATE($C164," - ",$B164),[2]ACHIEV!$B$12:$C$100,2,FALSE)</f>
        <v>LO20Fast</v>
      </c>
      <c r="B164" s="63" t="str">
        <f>'SC-NR'!$C$7</f>
        <v>NR</v>
      </c>
      <c r="C164" s="63" t="str">
        <f>'SC-NR'!$C$8</f>
        <v>Lighting</v>
      </c>
      <c r="D164" s="63" t="s">
        <v>795</v>
      </c>
      <c r="E164" s="63" t="str">
        <f>'SC-NR'!$A$9</f>
        <v>Lighting</v>
      </c>
      <c r="F164" s="478">
        <f t="shared" si="26"/>
        <v>2.1728858656963793E-2</v>
      </c>
      <c r="G164" s="71">
        <f>'SC-NR'!A122</f>
        <v>83.173238448682625</v>
      </c>
      <c r="H164" s="71">
        <f>'SC-NR'!B122</f>
        <v>-27.334459272113147</v>
      </c>
      <c r="I164" t="str">
        <f>'SC-NR'!C122</f>
        <v>Multifamily - High Rise</v>
      </c>
      <c r="J164" t="str">
        <f>'SC-NR'!D122</f>
        <v>2016 - LEDReflectors and Outdoor1440 to 2600 lumensANY</v>
      </c>
      <c r="K164" s="42">
        <f>'SC-NR'!E122</f>
        <v>1.274487121970606E-2</v>
      </c>
      <c r="L164" s="42">
        <f>'SC-NR'!F122</f>
        <v>0</v>
      </c>
      <c r="M164" s="42">
        <f>'SC-NR'!G122</f>
        <v>0</v>
      </c>
      <c r="N164" s="42">
        <f>'SC-NR'!H122</f>
        <v>0</v>
      </c>
      <c r="O164" s="42">
        <f>'SC-NR'!I122</f>
        <v>0</v>
      </c>
      <c r="P164" s="42">
        <f>'SC-NR'!J122</f>
        <v>0</v>
      </c>
      <c r="Q164" s="42">
        <f>'SC-NR'!K122</f>
        <v>0</v>
      </c>
      <c r="R164" s="42">
        <f>'SC-NR'!L122</f>
        <v>0</v>
      </c>
      <c r="S164" s="42">
        <f>'SC-NR'!M122</f>
        <v>0</v>
      </c>
      <c r="T164" s="42">
        <f>'SC-NR'!N122</f>
        <v>0</v>
      </c>
      <c r="U164" s="42">
        <f>'SC-NR'!O122</f>
        <v>0</v>
      </c>
      <c r="V164" s="42">
        <f>'SC-NR'!P122</f>
        <v>0</v>
      </c>
      <c r="W164" s="42">
        <f>'SC-NR'!Q122</f>
        <v>0</v>
      </c>
      <c r="X164" s="42">
        <f>'SC-NR'!R122</f>
        <v>0</v>
      </c>
      <c r="Y164" s="42">
        <f>'SC-NR'!S122</f>
        <v>0</v>
      </c>
      <c r="Z164" s="42">
        <f>'SC-NR'!T122</f>
        <v>0</v>
      </c>
      <c r="AA164" s="42">
        <f>'SC-NR'!U122</f>
        <v>0</v>
      </c>
      <c r="AB164" s="42">
        <f>'SC-NR'!V122</f>
        <v>0</v>
      </c>
      <c r="AC164" s="42">
        <f>'SC-NR'!W122</f>
        <v>0</v>
      </c>
      <c r="AD164" s="42">
        <f>'SC-NR'!X122</f>
        <v>0</v>
      </c>
      <c r="AE164" s="42">
        <f>'SC-NR'!Y122</f>
        <v>5.7617162468618519E-2</v>
      </c>
      <c r="AF164" s="479">
        <f t="shared" si="27"/>
        <v>5.9509432223162761</v>
      </c>
      <c r="AG164" s="479">
        <f t="shared" si="28"/>
        <v>4.7331102548847825</v>
      </c>
      <c r="AH164" s="479">
        <f t="shared" si="29"/>
        <v>4.7819493961667678</v>
      </c>
      <c r="AI164" s="479">
        <f t="shared" si="30"/>
        <v>3.9000310927493396</v>
      </c>
      <c r="AJ164" s="479">
        <f t="shared" si="31"/>
        <v>3.5513304691165719</v>
      </c>
      <c r="AK164" s="479">
        <f t="shared" si="32"/>
        <v>3.6490693395674088</v>
      </c>
      <c r="AL164" s="479">
        <f t="shared" si="33"/>
        <v>3.0115418983605462</v>
      </c>
      <c r="AM164" s="479">
        <f t="shared" si="34"/>
        <v>3.4351196341371462</v>
      </c>
      <c r="AN164" s="479">
        <f t="shared" si="35"/>
        <v>3.7825855907055974</v>
      </c>
      <c r="AO164" s="479">
        <f t="shared" si="36"/>
        <v>5.5203555019188597</v>
      </c>
      <c r="AP164" s="479">
        <f t="shared" si="37"/>
        <v>5.5726141453993536</v>
      </c>
      <c r="AQ164" s="479">
        <f t="shared" si="38"/>
        <v>6.1176274295281043</v>
      </c>
      <c r="AR164" s="479"/>
      <c r="AS164" s="479">
        <f t="shared" si="39"/>
        <v>3.104503527598812</v>
      </c>
      <c r="AT164" s="479">
        <f t="shared" si="40"/>
        <v>2.3859581920779633</v>
      </c>
      <c r="AU164" s="479">
        <f t="shared" si="41"/>
        <v>2.2237971768234481</v>
      </c>
      <c r="AV164" s="479">
        <f t="shared" si="42"/>
        <v>2.181435717377334</v>
      </c>
      <c r="AW164" s="479">
        <f t="shared" si="43"/>
        <v>2.1194431989890319</v>
      </c>
      <c r="AX164" s="479">
        <f t="shared" si="44"/>
        <v>1.9820520976346545</v>
      </c>
      <c r="AY164" s="479">
        <f t="shared" si="45"/>
        <v>2.2611357149783688</v>
      </c>
      <c r="AZ164" s="479">
        <f t="shared" si="46"/>
        <v>2.0455302281453043</v>
      </c>
      <c r="BA164" s="479">
        <f t="shared" si="47"/>
        <v>2.3708972460281177</v>
      </c>
      <c r="BB164" s="479">
        <f t="shared" si="48"/>
        <v>2.3569958961752469</v>
      </c>
      <c r="BC164" s="479">
        <f t="shared" si="49"/>
        <v>2.9684811951147281</v>
      </c>
      <c r="BD164" s="479">
        <f t="shared" si="50"/>
        <v>3.1667302828888446</v>
      </c>
    </row>
    <row r="165" spans="1:56" ht="15">
      <c r="A165" s="63" t="str">
        <f>VLOOKUP(CONCATENATE($C165," - ",$B165),[2]ACHIEV!$B$12:$C$100,2,FALSE)</f>
        <v>LO20Fast</v>
      </c>
      <c r="B165" s="63" t="str">
        <f>'SC-NR'!$C$7</f>
        <v>NR</v>
      </c>
      <c r="C165" s="63" t="str">
        <f>'SC-NR'!$C$8</f>
        <v>Lighting</v>
      </c>
      <c r="D165" s="63" t="s">
        <v>795</v>
      </c>
      <c r="E165" s="63" t="str">
        <f>'SC-NR'!$A$9</f>
        <v>Lighting</v>
      </c>
      <c r="F165" s="478">
        <f t="shared" si="26"/>
        <v>1.2650011213785653E-2</v>
      </c>
      <c r="G165" s="71">
        <f>'SC-NR'!A123</f>
        <v>48.421429568529426</v>
      </c>
      <c r="H165" s="71">
        <f>'SC-NR'!B123</f>
        <v>-0.28395098554769854</v>
      </c>
      <c r="I165" t="str">
        <f>'SC-NR'!C123</f>
        <v>Multifamily - High Rise</v>
      </c>
      <c r="J165" t="str">
        <f>'SC-NR'!D123</f>
        <v>2016 - LEDThree-Way250 to 664 lumensANY</v>
      </c>
      <c r="K165" s="37">
        <f>'SC-NR'!E123</f>
        <v>1.1642598902254096E-4</v>
      </c>
      <c r="L165" s="37">
        <f>'SC-NR'!F123</f>
        <v>0</v>
      </c>
      <c r="M165" s="37">
        <f>'SC-NR'!G123</f>
        <v>0</v>
      </c>
      <c r="N165" s="37">
        <f>'SC-NR'!H123</f>
        <v>0</v>
      </c>
      <c r="O165" s="37">
        <f>'SC-NR'!I123</f>
        <v>0</v>
      </c>
      <c r="P165" s="37">
        <f>'SC-NR'!J123</f>
        <v>0</v>
      </c>
      <c r="Q165" s="37">
        <f>'SC-NR'!K123</f>
        <v>0</v>
      </c>
      <c r="R165" s="37">
        <f>'SC-NR'!L123</f>
        <v>0</v>
      </c>
      <c r="S165" s="37">
        <f>'SC-NR'!M123</f>
        <v>0</v>
      </c>
      <c r="T165" s="37">
        <f>'SC-NR'!N123</f>
        <v>0</v>
      </c>
      <c r="U165" s="37">
        <f>'SC-NR'!O123</f>
        <v>0</v>
      </c>
      <c r="V165" s="37">
        <f>'SC-NR'!P123</f>
        <v>0</v>
      </c>
      <c r="W165" s="37">
        <f>'SC-NR'!Q123</f>
        <v>0</v>
      </c>
      <c r="X165" s="37">
        <f>'SC-NR'!R123</f>
        <v>0</v>
      </c>
      <c r="Y165" s="37">
        <f>'SC-NR'!S123</f>
        <v>0</v>
      </c>
      <c r="Z165" s="37">
        <f>'SC-NR'!T123</f>
        <v>0</v>
      </c>
      <c r="AA165" s="37">
        <f>'SC-NR'!U123</f>
        <v>0</v>
      </c>
      <c r="AB165" s="37">
        <f>'SC-NR'!V123</f>
        <v>0</v>
      </c>
      <c r="AC165" s="37">
        <f>'SC-NR'!W123</f>
        <v>0</v>
      </c>
      <c r="AD165" s="37">
        <f>'SC-NR'!X123</f>
        <v>0</v>
      </c>
      <c r="AE165" s="37">
        <f>'SC-NR'!Y123</f>
        <v>5.2633996918770374E-4</v>
      </c>
      <c r="AF165" s="479">
        <f t="shared" si="27"/>
        <v>3.4644939103037795</v>
      </c>
      <c r="AG165" s="479">
        <f t="shared" si="28"/>
        <v>2.7555012780750743</v>
      </c>
      <c r="AH165" s="479">
        <f t="shared" si="29"/>
        <v>2.783934234202329</v>
      </c>
      <c r="AI165" s="479">
        <f t="shared" si="30"/>
        <v>2.2705029213110808</v>
      </c>
      <c r="AJ165" s="479">
        <f t="shared" si="31"/>
        <v>2.067497928327021</v>
      </c>
      <c r="AK165" s="479">
        <f t="shared" si="32"/>
        <v>2.1243991133706071</v>
      </c>
      <c r="AL165" s="479">
        <f t="shared" si="33"/>
        <v>1.7532461960599572</v>
      </c>
      <c r="AM165" s="479">
        <f t="shared" si="34"/>
        <v>1.9998428163461626</v>
      </c>
      <c r="AN165" s="479">
        <f t="shared" si="35"/>
        <v>2.2021290162976261</v>
      </c>
      <c r="AO165" s="479">
        <f t="shared" si="36"/>
        <v>3.2138162480511396</v>
      </c>
      <c r="AP165" s="479">
        <f t="shared" si="37"/>
        <v>3.2442399549048635</v>
      </c>
      <c r="AQ165" s="479">
        <f t="shared" si="38"/>
        <v>3.5615333877875557</v>
      </c>
      <c r="AR165" s="479"/>
      <c r="AS165" s="479">
        <f t="shared" si="39"/>
        <v>1.8073661878589267</v>
      </c>
      <c r="AT165" s="479">
        <f t="shared" si="40"/>
        <v>1.3890466297334463</v>
      </c>
      <c r="AU165" s="479">
        <f t="shared" si="41"/>
        <v>1.2946404442179886</v>
      </c>
      <c r="AV165" s="479">
        <f t="shared" si="42"/>
        <v>1.2699786363667083</v>
      </c>
      <c r="AW165" s="479">
        <f t="shared" si="43"/>
        <v>1.2338881050984445</v>
      </c>
      <c r="AX165" s="479">
        <f t="shared" si="44"/>
        <v>1.1539023589419051</v>
      </c>
      <c r="AY165" s="479">
        <f t="shared" si="45"/>
        <v>1.3163780298787402</v>
      </c>
      <c r="AZ165" s="479">
        <f t="shared" si="46"/>
        <v>1.1908577773311961</v>
      </c>
      <c r="BA165" s="479">
        <f t="shared" si="47"/>
        <v>1.3802785145080427</v>
      </c>
      <c r="BB165" s="479">
        <f t="shared" si="48"/>
        <v>1.3721854878883859</v>
      </c>
      <c r="BC165" s="479">
        <f t="shared" si="49"/>
        <v>1.7281773055336467</v>
      </c>
      <c r="BD165" s="479">
        <f t="shared" si="50"/>
        <v>1.8435930861347887</v>
      </c>
    </row>
    <row r="166" spans="1:56" ht="15">
      <c r="A166" s="63" t="str">
        <f>VLOOKUP(CONCATENATE($C166," - ",$B166),[2]ACHIEV!$B$12:$C$100,2,FALSE)</f>
        <v>LO20Fast</v>
      </c>
      <c r="B166" s="63" t="str">
        <f>'SC-NR'!$C$7</f>
        <v>NR</v>
      </c>
      <c r="C166" s="63" t="str">
        <f>'SC-NR'!$C$8</f>
        <v>Lighting</v>
      </c>
      <c r="D166" s="63" t="s">
        <v>795</v>
      </c>
      <c r="E166" s="63" t="str">
        <f>'SC-NR'!$A$9</f>
        <v>Lighting</v>
      </c>
      <c r="F166" s="478">
        <f t="shared" si="26"/>
        <v>1.3626103635974879E-2</v>
      </c>
      <c r="G166" s="71">
        <f>'SC-NR'!A124</f>
        <v>52.157694278074032</v>
      </c>
      <c r="H166" s="71">
        <f>'SC-NR'!B124</f>
        <v>-8.9398321624848585</v>
      </c>
      <c r="I166" t="str">
        <f>'SC-NR'!C124</f>
        <v>Multifamily - High Rise</v>
      </c>
      <c r="J166" t="str">
        <f>'SC-NR'!D124</f>
        <v>2016 - LEDThree-Way665 to 1439 lumensANY</v>
      </c>
      <c r="K166" s="37">
        <f>'SC-NR'!E124</f>
        <v>1.5479832142976217E-3</v>
      </c>
      <c r="L166" s="37">
        <f>'SC-NR'!F124</f>
        <v>0</v>
      </c>
      <c r="M166" s="37">
        <f>'SC-NR'!G124</f>
        <v>0</v>
      </c>
      <c r="N166" s="37">
        <f>'SC-NR'!H124</f>
        <v>0</v>
      </c>
      <c r="O166" s="37">
        <f>'SC-NR'!I124</f>
        <v>0</v>
      </c>
      <c r="P166" s="37">
        <f>'SC-NR'!J124</f>
        <v>0</v>
      </c>
      <c r="Q166" s="37">
        <f>'SC-NR'!K124</f>
        <v>0</v>
      </c>
      <c r="R166" s="37">
        <f>'SC-NR'!L124</f>
        <v>0</v>
      </c>
      <c r="S166" s="37">
        <f>'SC-NR'!M124</f>
        <v>0</v>
      </c>
      <c r="T166" s="37">
        <f>'SC-NR'!N124</f>
        <v>0</v>
      </c>
      <c r="U166" s="37">
        <f>'SC-NR'!O124</f>
        <v>0</v>
      </c>
      <c r="V166" s="37">
        <f>'SC-NR'!P124</f>
        <v>0</v>
      </c>
      <c r="W166" s="37">
        <f>'SC-NR'!Q124</f>
        <v>0</v>
      </c>
      <c r="X166" s="37">
        <f>'SC-NR'!R124</f>
        <v>0</v>
      </c>
      <c r="Y166" s="37">
        <f>'SC-NR'!S124</f>
        <v>0</v>
      </c>
      <c r="Z166" s="37">
        <f>'SC-NR'!T124</f>
        <v>0</v>
      </c>
      <c r="AA166" s="37">
        <f>'SC-NR'!U124</f>
        <v>0</v>
      </c>
      <c r="AB166" s="37">
        <f>'SC-NR'!V124</f>
        <v>0</v>
      </c>
      <c r="AC166" s="37">
        <f>'SC-NR'!W124</f>
        <v>0</v>
      </c>
      <c r="AD166" s="37">
        <f>'SC-NR'!X124</f>
        <v>0</v>
      </c>
      <c r="AE166" s="37">
        <f>'SC-NR'!Y124</f>
        <v>6.9981405711636076E-3</v>
      </c>
      <c r="AF166" s="479">
        <f t="shared" si="27"/>
        <v>3.731819068789251</v>
      </c>
      <c r="AG166" s="479">
        <f t="shared" si="28"/>
        <v>2.9681195810478593</v>
      </c>
      <c r="AH166" s="479">
        <f t="shared" si="29"/>
        <v>2.9987464635319547</v>
      </c>
      <c r="AI166" s="479">
        <f t="shared" si="30"/>
        <v>2.44569807794739</v>
      </c>
      <c r="AJ166" s="479">
        <f t="shared" si="31"/>
        <v>2.2270289379543238</v>
      </c>
      <c r="AK166" s="479">
        <f t="shared" si="32"/>
        <v>2.2883206974089516</v>
      </c>
      <c r="AL166" s="479">
        <f t="shared" si="33"/>
        <v>1.8885291058759777</v>
      </c>
      <c r="AM166" s="479">
        <f t="shared" si="34"/>
        <v>2.154153463634584</v>
      </c>
      <c r="AN166" s="479">
        <f t="shared" si="35"/>
        <v>2.3720483475270466</v>
      </c>
      <c r="AO166" s="479">
        <f t="shared" si="36"/>
        <v>3.4617987702020074</v>
      </c>
      <c r="AP166" s="479">
        <f t="shared" si="37"/>
        <v>3.4945700125015868</v>
      </c>
      <c r="AQ166" s="479">
        <f t="shared" si="38"/>
        <v>3.8363462470366358</v>
      </c>
      <c r="AR166" s="479"/>
      <c r="AS166" s="479">
        <f t="shared" si="39"/>
        <v>1.9468250713552193</v>
      </c>
      <c r="AT166" s="479">
        <f t="shared" si="40"/>
        <v>1.4962273955396257</v>
      </c>
      <c r="AU166" s="479">
        <f t="shared" si="41"/>
        <v>1.3945366977235774</v>
      </c>
      <c r="AV166" s="479">
        <f t="shared" si="42"/>
        <v>1.3679719505504024</v>
      </c>
      <c r="AW166" s="479">
        <f t="shared" si="43"/>
        <v>1.3290966237994797</v>
      </c>
      <c r="AX166" s="479">
        <f t="shared" si="44"/>
        <v>1.2429390664573923</v>
      </c>
      <c r="AY166" s="479">
        <f t="shared" si="45"/>
        <v>1.4179515856634783</v>
      </c>
      <c r="AZ166" s="479">
        <f t="shared" si="46"/>
        <v>1.2827460162199764</v>
      </c>
      <c r="BA166" s="479">
        <f t="shared" si="47"/>
        <v>1.4867827203741746</v>
      </c>
      <c r="BB166" s="479">
        <f t="shared" si="48"/>
        <v>1.4780652245882442</v>
      </c>
      <c r="BC166" s="479">
        <f t="shared" si="49"/>
        <v>1.8615258649635777</v>
      </c>
      <c r="BD166" s="479">
        <f t="shared" si="50"/>
        <v>1.98584728738131</v>
      </c>
    </row>
    <row r="167" spans="1:56" ht="15">
      <c r="A167" s="63" t="str">
        <f>VLOOKUP(CONCATENATE($C167," - ",$B167),[2]ACHIEV!$B$12:$C$100,2,FALSE)</f>
        <v>LO20Fast</v>
      </c>
      <c r="B167" s="63" t="str">
        <f>'SC-NR'!$C$7</f>
        <v>NR</v>
      </c>
      <c r="C167" s="63" t="str">
        <f>'SC-NR'!$C$8</f>
        <v>Lighting</v>
      </c>
      <c r="D167" s="63" t="s">
        <v>795</v>
      </c>
      <c r="E167" s="63" t="str">
        <f>'SC-NR'!$A$9</f>
        <v>Lighting</v>
      </c>
      <c r="F167" s="478">
        <f t="shared" si="26"/>
        <v>1.2193310022794003E-2</v>
      </c>
      <c r="G167" s="71">
        <f>'SC-NR'!A125</f>
        <v>46.673278979590322</v>
      </c>
      <c r="H167" s="71">
        <f>'SC-NR'!B125</f>
        <v>-22.011904676498236</v>
      </c>
      <c r="I167" t="str">
        <f>'SC-NR'!C125</f>
        <v>Multifamily - High Rise</v>
      </c>
      <c r="J167" t="str">
        <f>'SC-NR'!D125</f>
        <v>2016 - LEDThree-Way1440 to 2600 lumensANY</v>
      </c>
      <c r="K167" s="37">
        <f>'SC-NR'!E125</f>
        <v>5.356465108088391E-3</v>
      </c>
      <c r="L167" s="37">
        <f>'SC-NR'!F125</f>
        <v>0</v>
      </c>
      <c r="M167" s="37">
        <f>'SC-NR'!G125</f>
        <v>0</v>
      </c>
      <c r="N167" s="37">
        <f>'SC-NR'!H125</f>
        <v>0</v>
      </c>
      <c r="O167" s="37">
        <f>'SC-NR'!I125</f>
        <v>0</v>
      </c>
      <c r="P167" s="37">
        <f>'SC-NR'!J125</f>
        <v>0</v>
      </c>
      <c r="Q167" s="37">
        <f>'SC-NR'!K125</f>
        <v>0</v>
      </c>
      <c r="R167" s="37">
        <f>'SC-NR'!L125</f>
        <v>0</v>
      </c>
      <c r="S167" s="37">
        <f>'SC-NR'!M125</f>
        <v>0</v>
      </c>
      <c r="T167" s="37">
        <f>'SC-NR'!N125</f>
        <v>0</v>
      </c>
      <c r="U167" s="37">
        <f>'SC-NR'!O125</f>
        <v>0</v>
      </c>
      <c r="V167" s="37">
        <f>'SC-NR'!P125</f>
        <v>0</v>
      </c>
      <c r="W167" s="37">
        <f>'SC-NR'!Q125</f>
        <v>0</v>
      </c>
      <c r="X167" s="37">
        <f>'SC-NR'!R125</f>
        <v>0</v>
      </c>
      <c r="Y167" s="37">
        <f>'SC-NR'!S125</f>
        <v>0</v>
      </c>
      <c r="Z167" s="37">
        <f>'SC-NR'!T125</f>
        <v>0</v>
      </c>
      <c r="AA167" s="37">
        <f>'SC-NR'!U125</f>
        <v>0</v>
      </c>
      <c r="AB167" s="37">
        <f>'SC-NR'!V125</f>
        <v>0</v>
      </c>
      <c r="AC167" s="37">
        <f>'SC-NR'!W125</f>
        <v>0</v>
      </c>
      <c r="AD167" s="37">
        <f>'SC-NR'!X125</f>
        <v>0</v>
      </c>
      <c r="AE167" s="37">
        <f>'SC-NR'!Y125</f>
        <v>2.4215569939460956E-2</v>
      </c>
      <c r="AF167" s="479">
        <f t="shared" si="27"/>
        <v>3.3394158792823707</v>
      </c>
      <c r="AG167" s="479">
        <f t="shared" si="28"/>
        <v>2.6560198867776115</v>
      </c>
      <c r="AH167" s="479">
        <f t="shared" si="29"/>
        <v>2.6834263327534305</v>
      </c>
      <c r="AI167" s="479">
        <f t="shared" si="30"/>
        <v>2.1885313427260153</v>
      </c>
      <c r="AJ167" s="479">
        <f t="shared" si="31"/>
        <v>1.9928554042784474</v>
      </c>
      <c r="AK167" s="479">
        <f t="shared" si="32"/>
        <v>2.0477022955716913</v>
      </c>
      <c r="AL167" s="479">
        <f t="shared" si="33"/>
        <v>1.6899490485467938</v>
      </c>
      <c r="AM167" s="479">
        <f t="shared" si="34"/>
        <v>1.927642833232625</v>
      </c>
      <c r="AN167" s="479">
        <f t="shared" si="35"/>
        <v>2.1226259291094984</v>
      </c>
      <c r="AO167" s="479">
        <f t="shared" si="36"/>
        <v>3.0977883897901326</v>
      </c>
      <c r="AP167" s="479">
        <f t="shared" si="37"/>
        <v>3.127113714759473</v>
      </c>
      <c r="AQ167" s="479">
        <f t="shared" si="38"/>
        <v>3.4329519571097302</v>
      </c>
      <c r="AR167" s="479"/>
      <c r="AS167" s="479">
        <f t="shared" si="39"/>
        <v>1.7421151555393914</v>
      </c>
      <c r="AT167" s="479">
        <f t="shared" si="40"/>
        <v>1.3388981168648673</v>
      </c>
      <c r="AU167" s="479">
        <f t="shared" si="41"/>
        <v>1.2479002617163344</v>
      </c>
      <c r="AV167" s="479">
        <f t="shared" si="42"/>
        <v>1.22412881489536</v>
      </c>
      <c r="AW167" s="479">
        <f t="shared" si="43"/>
        <v>1.1893412539039743</v>
      </c>
      <c r="AX167" s="479">
        <f t="shared" si="44"/>
        <v>1.1122432194588867</v>
      </c>
      <c r="AY167" s="479">
        <f t="shared" si="45"/>
        <v>1.2688530590403191</v>
      </c>
      <c r="AZ167" s="479">
        <f t="shared" si="46"/>
        <v>1.1478644426995133</v>
      </c>
      <c r="BA167" s="479">
        <f t="shared" si="47"/>
        <v>1.330446555403608</v>
      </c>
      <c r="BB167" s="479">
        <f t="shared" si="48"/>
        <v>1.3226457099396403</v>
      </c>
      <c r="BC167" s="479">
        <f t="shared" si="49"/>
        <v>1.6657852158869719</v>
      </c>
      <c r="BD167" s="479">
        <f t="shared" si="50"/>
        <v>1.7770341603036266</v>
      </c>
    </row>
    <row r="168" spans="1:56" ht="15">
      <c r="A168" s="63" t="str">
        <f>VLOOKUP(CONCATENATE($C168," - ",$B168),[2]ACHIEV!$B$12:$C$100,2,FALSE)</f>
        <v>LO20Fast</v>
      </c>
      <c r="B168" s="63" t="str">
        <f>'SC-NR'!$C$7</f>
        <v>NR</v>
      </c>
      <c r="C168" s="63" t="str">
        <f>'SC-NR'!$C$8</f>
        <v>Lighting</v>
      </c>
      <c r="D168" s="63" t="s">
        <v>795</v>
      </c>
      <c r="E168" s="63" t="str">
        <f>'SC-NR'!$A$9</f>
        <v>Lighting</v>
      </c>
      <c r="F168" s="478">
        <f t="shared" si="26"/>
        <v>5.0254466343264623E-3</v>
      </c>
      <c r="G168" s="71">
        <f>'SC-NR'!A126</f>
        <v>19.236292058718274</v>
      </c>
      <c r="H168" s="71">
        <f>'SC-NR'!B126</f>
        <v>-15.059976945801358</v>
      </c>
      <c r="I168" t="str">
        <f>'SC-NR'!C126</f>
        <v>Manufactured</v>
      </c>
      <c r="J168" t="str">
        <f>'SC-NR'!D126</f>
        <v>2016 - LEDDecorative and Mini-Base250 to 664 lumensANY</v>
      </c>
      <c r="K168" s="37">
        <f>'SC-NR'!E126</f>
        <v>8.2578943223394666E-2</v>
      </c>
      <c r="L168" s="37">
        <f>'SC-NR'!F126</f>
        <v>0</v>
      </c>
      <c r="M168" s="37">
        <f>'SC-NR'!G126</f>
        <v>0</v>
      </c>
      <c r="N168" s="37">
        <f>'SC-NR'!H126</f>
        <v>0</v>
      </c>
      <c r="O168" s="37">
        <f>'SC-NR'!I126</f>
        <v>0</v>
      </c>
      <c r="P168" s="37">
        <f>'SC-NR'!J126</f>
        <v>0</v>
      </c>
      <c r="Q168" s="37">
        <f>'SC-NR'!K126</f>
        <v>0</v>
      </c>
      <c r="R168" s="37">
        <f>'SC-NR'!L126</f>
        <v>0</v>
      </c>
      <c r="S168" s="37">
        <f>'SC-NR'!M126</f>
        <v>0</v>
      </c>
      <c r="T168" s="37">
        <f>'SC-NR'!N126</f>
        <v>0</v>
      </c>
      <c r="U168" s="37">
        <f>'SC-NR'!O126</f>
        <v>0</v>
      </c>
      <c r="V168" s="37">
        <f>'SC-NR'!P126</f>
        <v>0</v>
      </c>
      <c r="W168" s="37">
        <f>'SC-NR'!Q126</f>
        <v>0</v>
      </c>
      <c r="X168" s="37">
        <f>'SC-NR'!R126</f>
        <v>0</v>
      </c>
      <c r="Y168" s="37">
        <f>'SC-NR'!S126</f>
        <v>0</v>
      </c>
      <c r="Z168" s="37">
        <f>'SC-NR'!T126</f>
        <v>0</v>
      </c>
      <c r="AA168" s="37">
        <f>'SC-NR'!U126</f>
        <v>0</v>
      </c>
      <c r="AB168" s="37">
        <f>'SC-NR'!V126</f>
        <v>0</v>
      </c>
      <c r="AC168" s="37">
        <f>'SC-NR'!W126</f>
        <v>0</v>
      </c>
      <c r="AD168" s="37">
        <f>'SC-NR'!X126</f>
        <v>0</v>
      </c>
      <c r="AE168" s="37">
        <f>'SC-NR'!Y126</f>
        <v>0.37332384974062455</v>
      </c>
      <c r="AF168" s="479">
        <f t="shared" si="27"/>
        <v>1.3763331088755877</v>
      </c>
      <c r="AG168" s="479">
        <f t="shared" si="28"/>
        <v>1.0946729129136159</v>
      </c>
      <c r="AH168" s="479">
        <f t="shared" si="29"/>
        <v>1.10596842097751</v>
      </c>
      <c r="AI168" s="479">
        <f t="shared" si="30"/>
        <v>0.90199850982713226</v>
      </c>
      <c r="AJ168" s="479">
        <f t="shared" si="31"/>
        <v>0.8213510905085285</v>
      </c>
      <c r="AK168" s="479">
        <f t="shared" si="32"/>
        <v>0.84395611939220683</v>
      </c>
      <c r="AL168" s="479">
        <f t="shared" si="33"/>
        <v>0.69650888416077883</v>
      </c>
      <c r="AM168" s="479">
        <f t="shared" si="34"/>
        <v>0.79447386889558136</v>
      </c>
      <c r="AN168" s="479">
        <f t="shared" si="35"/>
        <v>0.87483573463123632</v>
      </c>
      <c r="AO168" s="479">
        <f t="shared" si="36"/>
        <v>1.2767468561222706</v>
      </c>
      <c r="AP168" s="479">
        <f t="shared" si="37"/>
        <v>1.2888332260572761</v>
      </c>
      <c r="AQ168" s="479">
        <f t="shared" si="38"/>
        <v>1.4148838032011544</v>
      </c>
      <c r="AR168" s="479"/>
      <c r="AS168" s="479">
        <f t="shared" si="39"/>
        <v>0.71800903353135914</v>
      </c>
      <c r="AT168" s="479">
        <f t="shared" si="40"/>
        <v>0.55182399385616432</v>
      </c>
      <c r="AU168" s="479">
        <f t="shared" si="41"/>
        <v>0.5143194225763198</v>
      </c>
      <c r="AV168" s="479">
        <f t="shared" si="42"/>
        <v>0.50452207163582741</v>
      </c>
      <c r="AW168" s="479">
        <f t="shared" si="43"/>
        <v>0.49018445281257317</v>
      </c>
      <c r="AX168" s="479">
        <f t="shared" si="44"/>
        <v>0.45840866289244864</v>
      </c>
      <c r="AY168" s="479">
        <f t="shared" si="45"/>
        <v>0.52295507315804879</v>
      </c>
      <c r="AZ168" s="479">
        <f t="shared" si="46"/>
        <v>0.47308987382783491</v>
      </c>
      <c r="BA168" s="479">
        <f t="shared" si="47"/>
        <v>0.54834070088478171</v>
      </c>
      <c r="BB168" s="479">
        <f t="shared" si="48"/>
        <v>0.54512559911926328</v>
      </c>
      <c r="BC168" s="479">
        <f t="shared" si="49"/>
        <v>0.68654981223644318</v>
      </c>
      <c r="BD168" s="479">
        <f t="shared" si="50"/>
        <v>0.73240082662432637</v>
      </c>
    </row>
    <row r="169" spans="1:56" ht="15">
      <c r="A169" s="63" t="str">
        <f>VLOOKUP(CONCATENATE($C169," - ",$B169),[2]ACHIEV!$B$12:$C$100,2,FALSE)</f>
        <v>LO20Fast</v>
      </c>
      <c r="B169" s="63" t="str">
        <f>'SC-NR'!$C$7</f>
        <v>NR</v>
      </c>
      <c r="C169" s="63" t="str">
        <f>'SC-NR'!$C$8</f>
        <v>Lighting</v>
      </c>
      <c r="D169" s="63" t="s">
        <v>795</v>
      </c>
      <c r="E169" s="63" t="str">
        <f>'SC-NR'!$A$9</f>
        <v>Lighting</v>
      </c>
      <c r="F169" s="478">
        <f t="shared" si="26"/>
        <v>3.7860143455178382E-3</v>
      </c>
      <c r="G169" s="71">
        <f>'SC-NR'!A127</f>
        <v>14.492020906444102</v>
      </c>
      <c r="H169" s="71">
        <f>'SC-NR'!B127</f>
        <v>-3.5286913755547569</v>
      </c>
      <c r="I169" t="str">
        <f>'SC-NR'!C127</f>
        <v>Manufactured</v>
      </c>
      <c r="J169" t="str">
        <f>'SC-NR'!D127</f>
        <v>2016 - LEDDecorative and Mini-Base665 to 1439 lumensANY</v>
      </c>
      <c r="K169" s="37">
        <f>'SC-NR'!E127</f>
        <v>1.7063139053138214E-2</v>
      </c>
      <c r="L169" s="37">
        <f>'SC-NR'!F127</f>
        <v>0</v>
      </c>
      <c r="M169" s="37">
        <f>'SC-NR'!G127</f>
        <v>0</v>
      </c>
      <c r="N169" s="37">
        <f>'SC-NR'!H127</f>
        <v>0</v>
      </c>
      <c r="O169" s="37">
        <f>'SC-NR'!I127</f>
        <v>0</v>
      </c>
      <c r="P169" s="37">
        <f>'SC-NR'!J127</f>
        <v>0</v>
      </c>
      <c r="Q169" s="37">
        <f>'SC-NR'!K127</f>
        <v>0</v>
      </c>
      <c r="R169" s="37">
        <f>'SC-NR'!L127</f>
        <v>0</v>
      </c>
      <c r="S169" s="37">
        <f>'SC-NR'!M127</f>
        <v>0</v>
      </c>
      <c r="T169" s="37">
        <f>'SC-NR'!N127</f>
        <v>0</v>
      </c>
      <c r="U169" s="37">
        <f>'SC-NR'!O127</f>
        <v>0</v>
      </c>
      <c r="V169" s="37">
        <f>'SC-NR'!P127</f>
        <v>0</v>
      </c>
      <c r="W169" s="37">
        <f>'SC-NR'!Q127</f>
        <v>0</v>
      </c>
      <c r="X169" s="37">
        <f>'SC-NR'!R127</f>
        <v>0</v>
      </c>
      <c r="Y169" s="37">
        <f>'SC-NR'!S127</f>
        <v>0</v>
      </c>
      <c r="Z169" s="37">
        <f>'SC-NR'!T127</f>
        <v>0</v>
      </c>
      <c r="AA169" s="37">
        <f>'SC-NR'!U127</f>
        <v>0</v>
      </c>
      <c r="AB169" s="37">
        <f>'SC-NR'!V127</f>
        <v>0</v>
      </c>
      <c r="AC169" s="37">
        <f>'SC-NR'!W127</f>
        <v>0</v>
      </c>
      <c r="AD169" s="37">
        <f>'SC-NR'!X127</f>
        <v>0</v>
      </c>
      <c r="AE169" s="37">
        <f>'SC-NR'!Y127</f>
        <v>7.7139238059085583E-2</v>
      </c>
      <c r="AF169" s="479">
        <f t="shared" si="27"/>
        <v>1.0368863254504586</v>
      </c>
      <c r="AG169" s="479">
        <f t="shared" si="28"/>
        <v>0.8246923414989582</v>
      </c>
      <c r="AH169" s="479">
        <f t="shared" si="29"/>
        <v>0.83320202405686417</v>
      </c>
      <c r="AI169" s="479">
        <f t="shared" si="30"/>
        <v>0.67953747125979169</v>
      </c>
      <c r="AJ169" s="479">
        <f t="shared" si="31"/>
        <v>0.61878022743918382</v>
      </c>
      <c r="AK169" s="479">
        <f t="shared" si="32"/>
        <v>0.63581014932709601</v>
      </c>
      <c r="AL169" s="479">
        <f t="shared" si="33"/>
        <v>0.52472801306878369</v>
      </c>
      <c r="AM169" s="479">
        <f t="shared" si="34"/>
        <v>0.59853176914311479</v>
      </c>
      <c r="AN169" s="479">
        <f t="shared" si="35"/>
        <v>0.65907388582376392</v>
      </c>
      <c r="AO169" s="479">
        <f t="shared" si="36"/>
        <v>0.96186115674901895</v>
      </c>
      <c r="AP169" s="479">
        <f t="shared" si="37"/>
        <v>0.97096664990988701</v>
      </c>
      <c r="AQ169" s="479">
        <f t="shared" si="38"/>
        <v>1.065929213051598</v>
      </c>
      <c r="AR169" s="479"/>
      <c r="AS169" s="479">
        <f t="shared" si="39"/>
        <v>0.5409255532817846</v>
      </c>
      <c r="AT169" s="479">
        <f t="shared" si="40"/>
        <v>0.41572694109812058</v>
      </c>
      <c r="AU169" s="479">
        <f t="shared" si="41"/>
        <v>0.3874721698867219</v>
      </c>
      <c r="AV169" s="479">
        <f t="shared" si="42"/>
        <v>0.38009115205729899</v>
      </c>
      <c r="AW169" s="479">
        <f t="shared" si="43"/>
        <v>0.36928963838195134</v>
      </c>
      <c r="AX169" s="479">
        <f t="shared" si="44"/>
        <v>0.34535075190447584</v>
      </c>
      <c r="AY169" s="479">
        <f t="shared" si="45"/>
        <v>0.39397799899293179</v>
      </c>
      <c r="AZ169" s="479">
        <f t="shared" si="46"/>
        <v>0.35641111713276868</v>
      </c>
      <c r="BA169" s="479">
        <f t="shared" si="47"/>
        <v>0.41310273709817824</v>
      </c>
      <c r="BB169" s="479">
        <f t="shared" si="48"/>
        <v>0.41068057996623142</v>
      </c>
      <c r="BC169" s="479">
        <f t="shared" si="49"/>
        <v>0.51722515970724714</v>
      </c>
      <c r="BD169" s="479">
        <f t="shared" si="50"/>
        <v>0.55176788015787159</v>
      </c>
    </row>
    <row r="170" spans="1:56" ht="15">
      <c r="A170" s="63" t="str">
        <f>VLOOKUP(CONCATENATE($C170," - ",$B170),[2]ACHIEV!$B$12:$C$100,2,FALSE)</f>
        <v>LO20Fast</v>
      </c>
      <c r="B170" s="63" t="str">
        <f>'SC-NR'!$C$7</f>
        <v>NR</v>
      </c>
      <c r="C170" s="63" t="str">
        <f>'SC-NR'!$C$8</f>
        <v>Lighting</v>
      </c>
      <c r="D170" s="63" t="s">
        <v>795</v>
      </c>
      <c r="E170" s="63" t="str">
        <f>'SC-NR'!$A$9</f>
        <v>Lighting</v>
      </c>
      <c r="F170" s="478">
        <f t="shared" si="26"/>
        <v>1.8749503794567041E-3</v>
      </c>
      <c r="G170" s="71">
        <f>'SC-NR'!A128</f>
        <v>7.1768930642853626</v>
      </c>
      <c r="H170" s="71">
        <f>'SC-NR'!B128</f>
        <v>355.22288385759038</v>
      </c>
      <c r="I170" t="str">
        <f>'SC-NR'!C128</f>
        <v>Manufactured</v>
      </c>
      <c r="J170" t="str">
        <f>'SC-NR'!D128</f>
        <v>2016 - LEDDecorative and Mini-Base1440 to 2600 lumensANY</v>
      </c>
      <c r="K170" s="37">
        <f>'SC-NR'!E128</f>
        <v>1.6601645456576315E-4</v>
      </c>
      <c r="L170" s="37">
        <f>'SC-NR'!F128</f>
        <v>0</v>
      </c>
      <c r="M170" s="37">
        <f>'SC-NR'!G128</f>
        <v>0</v>
      </c>
      <c r="N170" s="37">
        <f>'SC-NR'!H128</f>
        <v>0</v>
      </c>
      <c r="O170" s="37">
        <f>'SC-NR'!I128</f>
        <v>0</v>
      </c>
      <c r="P170" s="37">
        <f>'SC-NR'!J128</f>
        <v>0</v>
      </c>
      <c r="Q170" s="37">
        <f>'SC-NR'!K128</f>
        <v>0</v>
      </c>
      <c r="R170" s="37">
        <f>'SC-NR'!L128</f>
        <v>0</v>
      </c>
      <c r="S170" s="37">
        <f>'SC-NR'!M128</f>
        <v>0</v>
      </c>
      <c r="T170" s="37">
        <f>'SC-NR'!N128</f>
        <v>0</v>
      </c>
      <c r="U170" s="37">
        <f>'SC-NR'!O128</f>
        <v>0</v>
      </c>
      <c r="V170" s="37">
        <f>'SC-NR'!P128</f>
        <v>0</v>
      </c>
      <c r="W170" s="37">
        <f>'SC-NR'!Q128</f>
        <v>0</v>
      </c>
      <c r="X170" s="37">
        <f>'SC-NR'!R128</f>
        <v>0</v>
      </c>
      <c r="Y170" s="37">
        <f>'SC-NR'!S128</f>
        <v>0</v>
      </c>
      <c r="Z170" s="37">
        <f>'SC-NR'!T128</f>
        <v>0</v>
      </c>
      <c r="AA170" s="37">
        <f>'SC-NR'!U128</f>
        <v>0</v>
      </c>
      <c r="AB170" s="37">
        <f>'SC-NR'!V128</f>
        <v>0</v>
      </c>
      <c r="AC170" s="37">
        <f>'SC-NR'!W128</f>
        <v>0</v>
      </c>
      <c r="AD170" s="37">
        <f>'SC-NR'!X128</f>
        <v>0</v>
      </c>
      <c r="AE170" s="37">
        <f>'SC-NR'!Y128</f>
        <v>7.5052912424800576E-4</v>
      </c>
      <c r="AF170" s="479">
        <f t="shared" si="27"/>
        <v>0.51349789829993253</v>
      </c>
      <c r="AG170" s="479">
        <f t="shared" si="28"/>
        <v>0.40841293178381172</v>
      </c>
      <c r="AH170" s="479">
        <f t="shared" si="29"/>
        <v>0.41262718748516447</v>
      </c>
      <c r="AI170" s="479">
        <f t="shared" si="30"/>
        <v>0.33652778973274827</v>
      </c>
      <c r="AJ170" s="479">
        <f t="shared" si="31"/>
        <v>0.30643893983415893</v>
      </c>
      <c r="AK170" s="479">
        <f t="shared" si="32"/>
        <v>0.31487267927406898</v>
      </c>
      <c r="AL170" s="479">
        <f t="shared" si="33"/>
        <v>0.25986139972755762</v>
      </c>
      <c r="AM170" s="479">
        <f t="shared" si="34"/>
        <v>0.29641128248770077</v>
      </c>
      <c r="AN170" s="479">
        <f t="shared" si="35"/>
        <v>0.32639359483099145</v>
      </c>
      <c r="AO170" s="479">
        <f t="shared" si="36"/>
        <v>0.47634313455950961</v>
      </c>
      <c r="AP170" s="479">
        <f t="shared" si="37"/>
        <v>0.4808524539384289</v>
      </c>
      <c r="AQ170" s="479">
        <f t="shared" si="38"/>
        <v>0.52788082666700065</v>
      </c>
      <c r="AR170" s="479"/>
      <c r="AS170" s="479">
        <f t="shared" si="39"/>
        <v>0.26788291824203048</v>
      </c>
      <c r="AT170" s="479">
        <f t="shared" si="40"/>
        <v>0.20588072701971843</v>
      </c>
      <c r="AU170" s="479">
        <f t="shared" si="41"/>
        <v>0.19188809805174015</v>
      </c>
      <c r="AV170" s="479">
        <f t="shared" si="42"/>
        <v>0.18823279172770654</v>
      </c>
      <c r="AW170" s="479">
        <f t="shared" si="43"/>
        <v>0.18288355099166023</v>
      </c>
      <c r="AX170" s="479">
        <f t="shared" si="44"/>
        <v>0.17102828046479313</v>
      </c>
      <c r="AY170" s="479">
        <f t="shared" si="45"/>
        <v>0.19510998408759461</v>
      </c>
      <c r="AZ170" s="479">
        <f t="shared" si="46"/>
        <v>0.17650571242599744</v>
      </c>
      <c r="BA170" s="479">
        <f t="shared" si="47"/>
        <v>0.20458114074337783</v>
      </c>
      <c r="BB170" s="479">
        <f t="shared" si="48"/>
        <v>0.20338161427063109</v>
      </c>
      <c r="BC170" s="479">
        <f t="shared" si="49"/>
        <v>0.25614575671266115</v>
      </c>
      <c r="BD170" s="479">
        <f t="shared" si="50"/>
        <v>0.27325237092637639</v>
      </c>
    </row>
    <row r="171" spans="1:56" ht="15">
      <c r="A171" s="63" t="str">
        <f>VLOOKUP(CONCATENATE($C171," - ",$B171),[2]ACHIEV!$B$12:$C$100,2,FALSE)</f>
        <v>LO20Fast</v>
      </c>
      <c r="B171" s="63" t="str">
        <f>'SC-NR'!$C$7</f>
        <v>NR</v>
      </c>
      <c r="C171" s="63" t="str">
        <f>'SC-NR'!$C$8</f>
        <v>Lighting</v>
      </c>
      <c r="D171" s="63" t="s">
        <v>795</v>
      </c>
      <c r="E171" s="63" t="str">
        <f>'SC-NR'!$A$9</f>
        <v>Lighting</v>
      </c>
      <c r="F171" s="478">
        <f t="shared" si="26"/>
        <v>4.7955325150829165E-4</v>
      </c>
      <c r="G171" s="71">
        <f>'SC-NR'!A129</f>
        <v>1.835623194306955</v>
      </c>
      <c r="H171" s="71">
        <f>'SC-NR'!B129</f>
        <v>45.354656455601045</v>
      </c>
      <c r="I171" t="str">
        <f>'SC-NR'!C129</f>
        <v>Manufactured</v>
      </c>
      <c r="J171" t="str">
        <f>'SC-NR'!D129</f>
        <v>2016 - LEDGeneral Purpose and Dimmable250 to 664 lumensANY</v>
      </c>
      <c r="K171" s="37">
        <f>'SC-NR'!E129</f>
        <v>6.5802679531742963E-3</v>
      </c>
      <c r="L171" s="37">
        <f>'SC-NR'!F129</f>
        <v>0</v>
      </c>
      <c r="M171" s="37">
        <f>'SC-NR'!G129</f>
        <v>0</v>
      </c>
      <c r="N171" s="37">
        <f>'SC-NR'!H129</f>
        <v>0</v>
      </c>
      <c r="O171" s="37">
        <f>'SC-NR'!I129</f>
        <v>0</v>
      </c>
      <c r="P171" s="37">
        <f>'SC-NR'!J129</f>
        <v>0</v>
      </c>
      <c r="Q171" s="37">
        <f>'SC-NR'!K129</f>
        <v>0</v>
      </c>
      <c r="R171" s="37">
        <f>'SC-NR'!L129</f>
        <v>0</v>
      </c>
      <c r="S171" s="37">
        <f>'SC-NR'!M129</f>
        <v>0</v>
      </c>
      <c r="T171" s="37">
        <f>'SC-NR'!N129</f>
        <v>0</v>
      </c>
      <c r="U171" s="37">
        <f>'SC-NR'!O129</f>
        <v>0</v>
      </c>
      <c r="V171" s="37">
        <f>'SC-NR'!P129</f>
        <v>0</v>
      </c>
      <c r="W171" s="37">
        <f>'SC-NR'!Q129</f>
        <v>0</v>
      </c>
      <c r="X171" s="37">
        <f>'SC-NR'!R129</f>
        <v>0</v>
      </c>
      <c r="Y171" s="37">
        <f>'SC-NR'!S129</f>
        <v>0</v>
      </c>
      <c r="Z171" s="37">
        <f>'SC-NR'!T129</f>
        <v>0</v>
      </c>
      <c r="AA171" s="37">
        <f>'SC-NR'!U129</f>
        <v>0</v>
      </c>
      <c r="AB171" s="37">
        <f>'SC-NR'!V129</f>
        <v>0</v>
      </c>
      <c r="AC171" s="37">
        <f>'SC-NR'!W129</f>
        <v>0</v>
      </c>
      <c r="AD171" s="37">
        <f>'SC-NR'!X129</f>
        <v>0</v>
      </c>
      <c r="AE171" s="37">
        <f>'SC-NR'!Y129</f>
        <v>2.9748152116191529E-2</v>
      </c>
      <c r="AF171" s="479">
        <f t="shared" si="27"/>
        <v>0.13133658867482209</v>
      </c>
      <c r="AG171" s="479">
        <f t="shared" si="28"/>
        <v>0.10445916411489954</v>
      </c>
      <c r="AH171" s="479">
        <f t="shared" si="29"/>
        <v>0.1055370379863439</v>
      </c>
      <c r="AI171" s="479">
        <f t="shared" si="30"/>
        <v>8.6073208953935804E-2</v>
      </c>
      <c r="AJ171" s="479">
        <f t="shared" si="31"/>
        <v>7.837742886230771E-2</v>
      </c>
      <c r="AK171" s="479">
        <f t="shared" si="32"/>
        <v>8.0534513772445179E-2</v>
      </c>
      <c r="AL171" s="479">
        <f t="shared" si="33"/>
        <v>6.6464361161896968E-2</v>
      </c>
      <c r="AM171" s="479">
        <f t="shared" si="34"/>
        <v>7.5812669955515485E-2</v>
      </c>
      <c r="AN171" s="479">
        <f t="shared" si="35"/>
        <v>8.3481201096125474E-2</v>
      </c>
      <c r="AO171" s="479">
        <f t="shared" si="36"/>
        <v>0.12183357037846314</v>
      </c>
      <c r="AP171" s="479">
        <f t="shared" si="37"/>
        <v>0.12298691224496987</v>
      </c>
      <c r="AQ171" s="479">
        <f t="shared" si="38"/>
        <v>0.13501528873014673</v>
      </c>
      <c r="AR171" s="479"/>
      <c r="AS171" s="479">
        <f t="shared" si="39"/>
        <v>6.851601294308389E-2</v>
      </c>
      <c r="AT171" s="479">
        <f t="shared" si="40"/>
        <v>5.2657805319523042E-2</v>
      </c>
      <c r="AU171" s="479">
        <f t="shared" si="41"/>
        <v>4.9078931557174459E-2</v>
      </c>
      <c r="AV171" s="479">
        <f t="shared" si="42"/>
        <v>4.8144019331146884E-2</v>
      </c>
      <c r="AW171" s="479">
        <f t="shared" si="43"/>
        <v>4.6775852036599626E-2</v>
      </c>
      <c r="AX171" s="479">
        <f t="shared" si="44"/>
        <v>4.3743647242829607E-2</v>
      </c>
      <c r="AY171" s="479">
        <f t="shared" si="45"/>
        <v>4.99029885249812E-2</v>
      </c>
      <c r="AZ171" s="479">
        <f t="shared" si="46"/>
        <v>4.5144601815116529E-2</v>
      </c>
      <c r="BA171" s="479">
        <f t="shared" si="47"/>
        <v>5.2325412083273619E-2</v>
      </c>
      <c r="BB171" s="479">
        <f t="shared" si="48"/>
        <v>5.2018610993186824E-2</v>
      </c>
      <c r="BC171" s="479">
        <f t="shared" si="49"/>
        <v>6.5514016710779291E-2</v>
      </c>
      <c r="BD171" s="479">
        <f t="shared" si="50"/>
        <v>6.98893498173878E-2</v>
      </c>
    </row>
    <row r="172" spans="1:56" ht="15">
      <c r="A172" s="63" t="str">
        <f>VLOOKUP(CONCATENATE($C172," - ",$B172),[2]ACHIEV!$B$12:$C$100,2,FALSE)</f>
        <v>LO20Fast</v>
      </c>
      <c r="B172" s="63" t="str">
        <f>'SC-NR'!$C$7</f>
        <v>NR</v>
      </c>
      <c r="C172" s="63" t="str">
        <f>'SC-NR'!$C$8</f>
        <v>Lighting</v>
      </c>
      <c r="D172" s="63" t="s">
        <v>795</v>
      </c>
      <c r="E172" s="63" t="str">
        <f>'SC-NR'!$A$9</f>
        <v>Lighting</v>
      </c>
      <c r="F172" s="478">
        <f t="shared" si="26"/>
        <v>1.8717307205817217E-3</v>
      </c>
      <c r="G172" s="71">
        <f>'SC-NR'!A130</f>
        <v>7.1645689261628798</v>
      </c>
      <c r="H172" s="71">
        <f>'SC-NR'!B130</f>
        <v>56.611757463143533</v>
      </c>
      <c r="I172" t="str">
        <f>'SC-NR'!C130</f>
        <v>Manufactured</v>
      </c>
      <c r="J172" t="str">
        <f>'SC-NR'!D130</f>
        <v>2016 - LEDGeneral Purpose and Dimmable665 to 1439 lumensANY</v>
      </c>
      <c r="K172" s="37">
        <f>'SC-NR'!E130</f>
        <v>0.1981839112216302</v>
      </c>
      <c r="L172" s="37">
        <f>'SC-NR'!F130</f>
        <v>0</v>
      </c>
      <c r="M172" s="37">
        <f>'SC-NR'!G130</f>
        <v>0</v>
      </c>
      <c r="N172" s="37">
        <f>'SC-NR'!H130</f>
        <v>0</v>
      </c>
      <c r="O172" s="37">
        <f>'SC-NR'!I130</f>
        <v>0</v>
      </c>
      <c r="P172" s="37">
        <f>'SC-NR'!J130</f>
        <v>0</v>
      </c>
      <c r="Q172" s="37">
        <f>'SC-NR'!K130</f>
        <v>0</v>
      </c>
      <c r="R172" s="37">
        <f>'SC-NR'!L130</f>
        <v>0</v>
      </c>
      <c r="S172" s="37">
        <f>'SC-NR'!M130</f>
        <v>0</v>
      </c>
      <c r="T172" s="37">
        <f>'SC-NR'!N130</f>
        <v>0</v>
      </c>
      <c r="U172" s="37">
        <f>'SC-NR'!O130</f>
        <v>0</v>
      </c>
      <c r="V172" s="37">
        <f>'SC-NR'!P130</f>
        <v>0</v>
      </c>
      <c r="W172" s="37">
        <f>'SC-NR'!Q130</f>
        <v>0</v>
      </c>
      <c r="X172" s="37">
        <f>'SC-NR'!R130</f>
        <v>0</v>
      </c>
      <c r="Y172" s="37">
        <f>'SC-NR'!S130</f>
        <v>0</v>
      </c>
      <c r="Z172" s="37">
        <f>'SC-NR'!T130</f>
        <v>0</v>
      </c>
      <c r="AA172" s="37">
        <f>'SC-NR'!U130</f>
        <v>0</v>
      </c>
      <c r="AB172" s="37">
        <f>'SC-NR'!V130</f>
        <v>0</v>
      </c>
      <c r="AC172" s="37">
        <f>'SC-NR'!W130</f>
        <v>0</v>
      </c>
      <c r="AD172" s="37">
        <f>'SC-NR'!X130</f>
        <v>0</v>
      </c>
      <c r="AE172" s="37">
        <f>'SC-NR'!Y130</f>
        <v>0.89595213750510494</v>
      </c>
      <c r="AF172" s="479">
        <f t="shared" si="27"/>
        <v>0.5126161213293734</v>
      </c>
      <c r="AG172" s="479">
        <f t="shared" si="28"/>
        <v>0.40771160638614634</v>
      </c>
      <c r="AH172" s="479">
        <f t="shared" si="29"/>
        <v>0.41191862538090729</v>
      </c>
      <c r="AI172" s="479">
        <f t="shared" si="30"/>
        <v>0.33594990527417118</v>
      </c>
      <c r="AJ172" s="479">
        <f t="shared" si="31"/>
        <v>0.3059127238536789</v>
      </c>
      <c r="AK172" s="479">
        <f t="shared" si="32"/>
        <v>0.31433198090283632</v>
      </c>
      <c r="AL172" s="479">
        <f t="shared" si="33"/>
        <v>0.25941516655196784</v>
      </c>
      <c r="AM172" s="479">
        <f t="shared" si="34"/>
        <v>0.2959022859687726</v>
      </c>
      <c r="AN172" s="479">
        <f t="shared" si="35"/>
        <v>0.32583311277992005</v>
      </c>
      <c r="AO172" s="479">
        <f t="shared" si="36"/>
        <v>0.47552515963199937</v>
      </c>
      <c r="AP172" s="479">
        <f t="shared" si="37"/>
        <v>0.48002673562191084</v>
      </c>
      <c r="AQ172" s="479">
        <f t="shared" si="38"/>
        <v>0.52697435137723647</v>
      </c>
      <c r="AR172" s="479"/>
      <c r="AS172" s="479">
        <f t="shared" si="39"/>
        <v>0.26742291054016054</v>
      </c>
      <c r="AT172" s="479">
        <f t="shared" si="40"/>
        <v>0.20552718928496042</v>
      </c>
      <c r="AU172" s="479">
        <f t="shared" si="41"/>
        <v>0.19155858841529055</v>
      </c>
      <c r="AV172" s="479">
        <f t="shared" si="42"/>
        <v>0.18790955897174189</v>
      </c>
      <c r="AW172" s="479">
        <f t="shared" si="43"/>
        <v>0.18256950393500734</v>
      </c>
      <c r="AX172" s="479">
        <f t="shared" si="44"/>
        <v>0.17073459124127832</v>
      </c>
      <c r="AY172" s="479">
        <f t="shared" si="45"/>
        <v>0.19477494183861133</v>
      </c>
      <c r="AZ172" s="479">
        <f t="shared" si="46"/>
        <v>0.17620261737360352</v>
      </c>
      <c r="BA172" s="479">
        <f t="shared" si="47"/>
        <v>0.20422983465407252</v>
      </c>
      <c r="BB172" s="479">
        <f t="shared" si="48"/>
        <v>0.20303236800439955</v>
      </c>
      <c r="BC172" s="479">
        <f t="shared" si="49"/>
        <v>0.25570590402753146</v>
      </c>
      <c r="BD172" s="479">
        <f t="shared" si="50"/>
        <v>0.27278314281730076</v>
      </c>
    </row>
    <row r="173" spans="1:56" ht="15">
      <c r="A173" s="63" t="str">
        <f>VLOOKUP(CONCATENATE($C173," - ",$B173),[2]ACHIEV!$B$12:$C$100,2,FALSE)</f>
        <v>LO20Fast</v>
      </c>
      <c r="B173" s="63" t="str">
        <f>'SC-NR'!$C$7</f>
        <v>NR</v>
      </c>
      <c r="C173" s="63" t="str">
        <f>'SC-NR'!$C$8</f>
        <v>Lighting</v>
      </c>
      <c r="D173" s="63" t="s">
        <v>795</v>
      </c>
      <c r="E173" s="63" t="str">
        <f>'SC-NR'!$A$9</f>
        <v>Lighting</v>
      </c>
      <c r="F173" s="478">
        <f t="shared" si="26"/>
        <v>3.4972440175301935E-3</v>
      </c>
      <c r="G173" s="71">
        <f>'SC-NR'!A131</f>
        <v>13.386672313322151</v>
      </c>
      <c r="H173" s="71">
        <f>'SC-NR'!B131</f>
        <v>91.063681093838966</v>
      </c>
      <c r="I173" t="str">
        <f>'SC-NR'!C131</f>
        <v>Manufactured</v>
      </c>
      <c r="J173" t="str">
        <f>'SC-NR'!D131</f>
        <v>2016 - LEDGeneral Purpose and Dimmable1440 to 2600 lumensANY</v>
      </c>
      <c r="K173" s="37">
        <f>'SC-NR'!E131</f>
        <v>3.6919151039701371E-2</v>
      </c>
      <c r="L173" s="37">
        <f>'SC-NR'!F131</f>
        <v>0</v>
      </c>
      <c r="M173" s="37">
        <f>'SC-NR'!G131</f>
        <v>0</v>
      </c>
      <c r="N173" s="37">
        <f>'SC-NR'!H131</f>
        <v>0</v>
      </c>
      <c r="O173" s="37">
        <f>'SC-NR'!I131</f>
        <v>0</v>
      </c>
      <c r="P173" s="37">
        <f>'SC-NR'!J131</f>
        <v>0</v>
      </c>
      <c r="Q173" s="37">
        <f>'SC-NR'!K131</f>
        <v>0</v>
      </c>
      <c r="R173" s="37">
        <f>'SC-NR'!L131</f>
        <v>0</v>
      </c>
      <c r="S173" s="37">
        <f>'SC-NR'!M131</f>
        <v>0</v>
      </c>
      <c r="T173" s="37">
        <f>'SC-NR'!N131</f>
        <v>0</v>
      </c>
      <c r="U173" s="37">
        <f>'SC-NR'!O131</f>
        <v>0</v>
      </c>
      <c r="V173" s="37">
        <f>'SC-NR'!P131</f>
        <v>0</v>
      </c>
      <c r="W173" s="37">
        <f>'SC-NR'!Q131</f>
        <v>0</v>
      </c>
      <c r="X173" s="37">
        <f>'SC-NR'!R131</f>
        <v>0</v>
      </c>
      <c r="Y173" s="37">
        <f>'SC-NR'!S131</f>
        <v>0</v>
      </c>
      <c r="Z173" s="37">
        <f>'SC-NR'!T131</f>
        <v>0</v>
      </c>
      <c r="AA173" s="37">
        <f>'SC-NR'!U131</f>
        <v>0</v>
      </c>
      <c r="AB173" s="37">
        <f>'SC-NR'!V131</f>
        <v>0</v>
      </c>
      <c r="AC173" s="37">
        <f>'SC-NR'!W131</f>
        <v>0</v>
      </c>
      <c r="AD173" s="37">
        <f>'SC-NR'!X131</f>
        <v>0</v>
      </c>
      <c r="AE173" s="37">
        <f>'SC-NR'!Y131</f>
        <v>0.16690452865219302</v>
      </c>
      <c r="AF173" s="479">
        <f t="shared" si="27"/>
        <v>0.95779998901311492</v>
      </c>
      <c r="AG173" s="479">
        <f t="shared" si="28"/>
        <v>0.76179065750890984</v>
      </c>
      <c r="AH173" s="479">
        <f t="shared" si="29"/>
        <v>0.76965128182269515</v>
      </c>
      <c r="AI173" s="479">
        <f t="shared" si="30"/>
        <v>0.62770717149140953</v>
      </c>
      <c r="AJ173" s="479">
        <f t="shared" si="31"/>
        <v>0.57158405940526624</v>
      </c>
      <c r="AK173" s="479">
        <f t="shared" si="32"/>
        <v>0.58731505960921848</v>
      </c>
      <c r="AL173" s="479">
        <f t="shared" si="33"/>
        <v>0.48470548103121619</v>
      </c>
      <c r="AM173" s="479">
        <f t="shared" si="34"/>
        <v>0.552880009928018</v>
      </c>
      <c r="AN173" s="479">
        <f t="shared" si="35"/>
        <v>0.60880440324699125</v>
      </c>
      <c r="AO173" s="479">
        <f t="shared" si="36"/>
        <v>0.888497208183473</v>
      </c>
      <c r="AP173" s="479">
        <f t="shared" si="37"/>
        <v>0.89690819889226614</v>
      </c>
      <c r="AQ173" s="479">
        <f t="shared" si="38"/>
        <v>0.98462769108855308</v>
      </c>
      <c r="AR173" s="479"/>
      <c r="AS173" s="479">
        <f t="shared" si="39"/>
        <v>0.49966758773207559</v>
      </c>
      <c r="AT173" s="479">
        <f t="shared" si="40"/>
        <v>0.38401823791364159</v>
      </c>
      <c r="AU173" s="479">
        <f t="shared" si="41"/>
        <v>0.35791854029819764</v>
      </c>
      <c r="AV173" s="479">
        <f t="shared" si="42"/>
        <v>0.35110049417066713</v>
      </c>
      <c r="AW173" s="479">
        <f t="shared" si="43"/>
        <v>0.34112284336590948</v>
      </c>
      <c r="AX173" s="479">
        <f t="shared" si="44"/>
        <v>0.31900984540043698</v>
      </c>
      <c r="AY173" s="479">
        <f t="shared" si="45"/>
        <v>0.36392815089243707</v>
      </c>
      <c r="AZ173" s="479">
        <f t="shared" si="46"/>
        <v>0.32922660439717438</v>
      </c>
      <c r="BA173" s="479">
        <f t="shared" si="47"/>
        <v>0.38159418958681945</v>
      </c>
      <c r="BB173" s="479">
        <f t="shared" si="48"/>
        <v>0.37935677742559831</v>
      </c>
      <c r="BC173" s="479">
        <f t="shared" si="49"/>
        <v>0.47777489212203672</v>
      </c>
      <c r="BD173" s="479">
        <f t="shared" si="50"/>
        <v>0.50968293879602289</v>
      </c>
    </row>
    <row r="174" spans="1:56" ht="15">
      <c r="A174" s="63" t="str">
        <f>VLOOKUP(CONCATENATE($C174," - ",$B174),[2]ACHIEV!$B$12:$C$100,2,FALSE)</f>
        <v>LO20Fast</v>
      </c>
      <c r="B174" s="63" t="str">
        <f>'SC-NR'!$C$7</f>
        <v>NR</v>
      </c>
      <c r="C174" s="63" t="str">
        <f>'SC-NR'!$C$8</f>
        <v>Lighting</v>
      </c>
      <c r="D174" s="63" t="s">
        <v>795</v>
      </c>
      <c r="E174" s="63" t="str">
        <f>'SC-NR'!$A$9</f>
        <v>Lighting</v>
      </c>
      <c r="F174" s="478">
        <f t="shared" si="26"/>
        <v>3.7448609823725787E-3</v>
      </c>
      <c r="G174" s="71">
        <f>'SC-NR'!A132</f>
        <v>14.33449498481688</v>
      </c>
      <c r="H174" s="71">
        <f>'SC-NR'!B132</f>
        <v>-37.397069706053522</v>
      </c>
      <c r="I174" t="str">
        <f>'SC-NR'!C132</f>
        <v>Manufactured</v>
      </c>
      <c r="J174" t="str">
        <f>'SC-NR'!D132</f>
        <v>2016 - LEDGlobe250 to 664 lumensANY</v>
      </c>
      <c r="K174" s="37">
        <f>'SC-NR'!E132</f>
        <v>3.378803725888669E-2</v>
      </c>
      <c r="L174" s="37">
        <f>'SC-NR'!F132</f>
        <v>0</v>
      </c>
      <c r="M174" s="37">
        <f>'SC-NR'!G132</f>
        <v>0</v>
      </c>
      <c r="N174" s="37">
        <f>'SC-NR'!H132</f>
        <v>0</v>
      </c>
      <c r="O174" s="37">
        <f>'SC-NR'!I132</f>
        <v>0</v>
      </c>
      <c r="P174" s="37">
        <f>'SC-NR'!J132</f>
        <v>0</v>
      </c>
      <c r="Q174" s="37">
        <f>'SC-NR'!K132</f>
        <v>0</v>
      </c>
      <c r="R174" s="37">
        <f>'SC-NR'!L132</f>
        <v>0</v>
      </c>
      <c r="S174" s="37">
        <f>'SC-NR'!M132</f>
        <v>0</v>
      </c>
      <c r="T174" s="37">
        <f>'SC-NR'!N132</f>
        <v>0</v>
      </c>
      <c r="U174" s="37">
        <f>'SC-NR'!O132</f>
        <v>0</v>
      </c>
      <c r="V174" s="37">
        <f>'SC-NR'!P132</f>
        <v>0</v>
      </c>
      <c r="W174" s="37">
        <f>'SC-NR'!Q132</f>
        <v>0</v>
      </c>
      <c r="X174" s="37">
        <f>'SC-NR'!R132</f>
        <v>0</v>
      </c>
      <c r="Y174" s="37">
        <f>'SC-NR'!S132</f>
        <v>0</v>
      </c>
      <c r="Z174" s="37">
        <f>'SC-NR'!T132</f>
        <v>0</v>
      </c>
      <c r="AA174" s="37">
        <f>'SC-NR'!U132</f>
        <v>0</v>
      </c>
      <c r="AB174" s="37">
        <f>'SC-NR'!V132</f>
        <v>0</v>
      </c>
      <c r="AC174" s="37">
        <f>'SC-NR'!W132</f>
        <v>0</v>
      </c>
      <c r="AD174" s="37">
        <f>'SC-NR'!X132</f>
        <v>0</v>
      </c>
      <c r="AE174" s="37">
        <f>'SC-NR'!Y132</f>
        <v>0.15274935294998684</v>
      </c>
      <c r="AF174" s="479">
        <f t="shared" si="27"/>
        <v>1.0256155389194634</v>
      </c>
      <c r="AG174" s="479">
        <f t="shared" si="28"/>
        <v>0.81572806922856911</v>
      </c>
      <c r="AH174" s="479">
        <f t="shared" si="29"/>
        <v>0.82414525291441687</v>
      </c>
      <c r="AI174" s="479">
        <f t="shared" si="30"/>
        <v>0.67215100893466262</v>
      </c>
      <c r="AJ174" s="479">
        <f t="shared" si="31"/>
        <v>0.61205418652043819</v>
      </c>
      <c r="AK174" s="479">
        <f t="shared" si="32"/>
        <v>0.62889899591383003</v>
      </c>
      <c r="AL174" s="479">
        <f t="shared" si="33"/>
        <v>0.51902430449729475</v>
      </c>
      <c r="AM174" s="479">
        <f t="shared" si="34"/>
        <v>0.59202582568870554</v>
      </c>
      <c r="AN174" s="479">
        <f t="shared" si="35"/>
        <v>0.65190985936016288</v>
      </c>
      <c r="AO174" s="479">
        <f t="shared" si="36"/>
        <v>0.95140588165850748</v>
      </c>
      <c r="AP174" s="479">
        <f t="shared" si="37"/>
        <v>0.96041239958249891</v>
      </c>
      <c r="AQ174" s="479">
        <f t="shared" si="38"/>
        <v>1.0543427350331549</v>
      </c>
      <c r="AR174" s="479"/>
      <c r="AS174" s="479">
        <f t="shared" si="39"/>
        <v>0.53504578006985537</v>
      </c>
      <c r="AT174" s="479">
        <f t="shared" si="40"/>
        <v>0.4112080565364355</v>
      </c>
      <c r="AU174" s="479">
        <f t="shared" si="41"/>
        <v>0.38326041011489015</v>
      </c>
      <c r="AV174" s="479">
        <f t="shared" si="42"/>
        <v>0.37595962275460831</v>
      </c>
      <c r="AW174" s="479">
        <f t="shared" si="43"/>
        <v>0.36527551978461797</v>
      </c>
      <c r="AX174" s="479">
        <f t="shared" si="44"/>
        <v>0.34159684512849148</v>
      </c>
      <c r="AY174" s="479">
        <f t="shared" si="45"/>
        <v>0.38969552191172535</v>
      </c>
      <c r="AZ174" s="479">
        <f t="shared" si="46"/>
        <v>0.35253698597694333</v>
      </c>
      <c r="BA174" s="479">
        <f t="shared" si="47"/>
        <v>0.40861237720922838</v>
      </c>
      <c r="BB174" s="479">
        <f t="shared" si="48"/>
        <v>0.40621654853326428</v>
      </c>
      <c r="BC174" s="479">
        <f t="shared" si="49"/>
        <v>0.51160300593741348</v>
      </c>
      <c r="BD174" s="479">
        <f t="shared" si="50"/>
        <v>0.54577025260769885</v>
      </c>
    </row>
    <row r="175" spans="1:56" ht="15">
      <c r="A175" s="63" t="str">
        <f>VLOOKUP(CONCATENATE($C175," - ",$B175),[2]ACHIEV!$B$12:$C$100,2,FALSE)</f>
        <v>LO20Fast</v>
      </c>
      <c r="B175" s="63" t="str">
        <f>'SC-NR'!$C$7</f>
        <v>NR</v>
      </c>
      <c r="C175" s="63" t="str">
        <f>'SC-NR'!$C$8</f>
        <v>Lighting</v>
      </c>
      <c r="D175" s="63" t="s">
        <v>795</v>
      </c>
      <c r="E175" s="63" t="str">
        <f>'SC-NR'!$A$9</f>
        <v>Lighting</v>
      </c>
      <c r="F175" s="478">
        <f t="shared" si="26"/>
        <v>2.5791399031027257E-3</v>
      </c>
      <c r="G175" s="71">
        <f>'SC-NR'!A133</f>
        <v>9.8723739493112301</v>
      </c>
      <c r="H175" s="71">
        <f>'SC-NR'!B133</f>
        <v>-94.996719014918995</v>
      </c>
      <c r="I175" t="str">
        <f>'SC-NR'!C133</f>
        <v>Manufactured</v>
      </c>
      <c r="J175" t="str">
        <f>'SC-NR'!D133</f>
        <v>2016 - LEDGlobe665 to 1439 lumensANY</v>
      </c>
      <c r="K175" s="37">
        <f>'SC-NR'!E133</f>
        <v>1.4189640184792986E-2</v>
      </c>
      <c r="L175" s="37">
        <f>'SC-NR'!F133</f>
        <v>0</v>
      </c>
      <c r="M175" s="37">
        <f>'SC-NR'!G133</f>
        <v>0</v>
      </c>
      <c r="N175" s="37">
        <f>'SC-NR'!H133</f>
        <v>0</v>
      </c>
      <c r="O175" s="37">
        <f>'SC-NR'!I133</f>
        <v>0</v>
      </c>
      <c r="P175" s="37">
        <f>'SC-NR'!J133</f>
        <v>0</v>
      </c>
      <c r="Q175" s="37">
        <f>'SC-NR'!K133</f>
        <v>0</v>
      </c>
      <c r="R175" s="37">
        <f>'SC-NR'!L133</f>
        <v>0</v>
      </c>
      <c r="S175" s="37">
        <f>'SC-NR'!M133</f>
        <v>0</v>
      </c>
      <c r="T175" s="37">
        <f>'SC-NR'!N133</f>
        <v>0</v>
      </c>
      <c r="U175" s="37">
        <f>'SC-NR'!O133</f>
        <v>0</v>
      </c>
      <c r="V175" s="37">
        <f>'SC-NR'!P133</f>
        <v>0</v>
      </c>
      <c r="W175" s="37">
        <f>'SC-NR'!Q133</f>
        <v>0</v>
      </c>
      <c r="X175" s="37">
        <f>'SC-NR'!R133</f>
        <v>0</v>
      </c>
      <c r="Y175" s="37">
        <f>'SC-NR'!S133</f>
        <v>0</v>
      </c>
      <c r="Z175" s="37">
        <f>'SC-NR'!T133</f>
        <v>0</v>
      </c>
      <c r="AA175" s="37">
        <f>'SC-NR'!U133</f>
        <v>0</v>
      </c>
      <c r="AB175" s="37">
        <f>'SC-NR'!V133</f>
        <v>0</v>
      </c>
      <c r="AC175" s="37">
        <f>'SC-NR'!W133</f>
        <v>0</v>
      </c>
      <c r="AD175" s="37">
        <f>'SC-NR'!X133</f>
        <v>0</v>
      </c>
      <c r="AE175" s="37">
        <f>'SC-NR'!Y133</f>
        <v>6.4148690858040036E-2</v>
      </c>
      <c r="AF175" s="479">
        <f t="shared" si="27"/>
        <v>0.70635625037101069</v>
      </c>
      <c r="AG175" s="479">
        <f t="shared" si="28"/>
        <v>0.5618037153666039</v>
      </c>
      <c r="AH175" s="479">
        <f t="shared" si="29"/>
        <v>0.5676007514697069</v>
      </c>
      <c r="AI175" s="479">
        <f t="shared" si="30"/>
        <v>0.46292011805357608</v>
      </c>
      <c r="AJ175" s="479">
        <f t="shared" si="31"/>
        <v>0.42153056755549467</v>
      </c>
      <c r="AK175" s="479">
        <f t="shared" si="32"/>
        <v>0.43313183133301719</v>
      </c>
      <c r="AL175" s="479">
        <f t="shared" si="33"/>
        <v>0.35745954274676744</v>
      </c>
      <c r="AM175" s="479">
        <f t="shared" si="34"/>
        <v>0.40773674587345871</v>
      </c>
      <c r="AN175" s="479">
        <f t="shared" si="35"/>
        <v>0.44897974568782045</v>
      </c>
      <c r="AO175" s="479">
        <f t="shared" si="36"/>
        <v>0.65524698646555923</v>
      </c>
      <c r="AP175" s="479">
        <f t="shared" si="37"/>
        <v>0.66144990557927741</v>
      </c>
      <c r="AQ175" s="479">
        <f t="shared" si="38"/>
        <v>0.72614108568261104</v>
      </c>
      <c r="AR175" s="479"/>
      <c r="AS175" s="479">
        <f t="shared" si="39"/>
        <v>0.36849376461782796</v>
      </c>
      <c r="AT175" s="479">
        <f t="shared" si="40"/>
        <v>0.28320493393015522</v>
      </c>
      <c r="AU175" s="479">
        <f t="shared" si="41"/>
        <v>0.26395698576254489</v>
      </c>
      <c r="AV175" s="479">
        <f t="shared" si="42"/>
        <v>0.25892882795011757</v>
      </c>
      <c r="AW175" s="479">
        <f t="shared" si="43"/>
        <v>0.25157053176009392</v>
      </c>
      <c r="AX175" s="479">
        <f t="shared" si="44"/>
        <v>0.2352626861696519</v>
      </c>
      <c r="AY175" s="479">
        <f t="shared" si="45"/>
        <v>0.26838894029817884</v>
      </c>
      <c r="AZ175" s="479">
        <f t="shared" si="46"/>
        <v>0.24279731934845944</v>
      </c>
      <c r="BA175" s="479">
        <f t="shared" si="47"/>
        <v>0.28141725204824536</v>
      </c>
      <c r="BB175" s="479">
        <f t="shared" si="48"/>
        <v>0.27976721019935885</v>
      </c>
      <c r="BC175" s="479">
        <f t="shared" si="49"/>
        <v>0.35234838712878186</v>
      </c>
      <c r="BD175" s="479">
        <f t="shared" si="50"/>
        <v>0.37587986391290973</v>
      </c>
    </row>
    <row r="176" spans="1:56" ht="15">
      <c r="A176" s="63" t="str">
        <f>VLOOKUP(CONCATENATE($C176," - ",$B176),[2]ACHIEV!$B$12:$C$100,2,FALSE)</f>
        <v>LO20Fast</v>
      </c>
      <c r="B176" s="63" t="str">
        <f>'SC-NR'!$C$7</f>
        <v>NR</v>
      </c>
      <c r="C176" s="63" t="str">
        <f>'SC-NR'!$C$8</f>
        <v>Lighting</v>
      </c>
      <c r="D176" s="63" t="s">
        <v>795</v>
      </c>
      <c r="E176" s="63" t="str">
        <f>'SC-NR'!$A$9</f>
        <v>Lighting</v>
      </c>
      <c r="F176" s="478">
        <f t="shared" si="26"/>
        <v>2.7904432298357131E-3</v>
      </c>
      <c r="G176" s="71">
        <f>'SC-NR'!A134</f>
        <v>10.681196090262945</v>
      </c>
      <c r="H176" s="71">
        <f>'SC-NR'!B134</f>
        <v>-99.87829920820603</v>
      </c>
      <c r="I176" t="str">
        <f>'SC-NR'!C134</f>
        <v>Manufactured</v>
      </c>
      <c r="J176" t="str">
        <f>'SC-NR'!D134</f>
        <v>2016 - LEDGlobe1440 to 2600 lumensANY</v>
      </c>
      <c r="K176" s="37">
        <f>'SC-NR'!E134</f>
        <v>1.1567982698754591E-3</v>
      </c>
      <c r="L176" s="37">
        <f>'SC-NR'!F134</f>
        <v>0</v>
      </c>
      <c r="M176" s="37">
        <f>'SC-NR'!G134</f>
        <v>0</v>
      </c>
      <c r="N176" s="37">
        <f>'SC-NR'!H134</f>
        <v>0</v>
      </c>
      <c r="O176" s="37">
        <f>'SC-NR'!I134</f>
        <v>0</v>
      </c>
      <c r="P176" s="37">
        <f>'SC-NR'!J134</f>
        <v>0</v>
      </c>
      <c r="Q176" s="37">
        <f>'SC-NR'!K134</f>
        <v>0</v>
      </c>
      <c r="R176" s="37">
        <f>'SC-NR'!L134</f>
        <v>0</v>
      </c>
      <c r="S176" s="37">
        <f>'SC-NR'!M134</f>
        <v>0</v>
      </c>
      <c r="T176" s="37">
        <f>'SC-NR'!N134</f>
        <v>0</v>
      </c>
      <c r="U176" s="37">
        <f>'SC-NR'!O134</f>
        <v>0</v>
      </c>
      <c r="V176" s="37">
        <f>'SC-NR'!P134</f>
        <v>0</v>
      </c>
      <c r="W176" s="37">
        <f>'SC-NR'!Q134</f>
        <v>0</v>
      </c>
      <c r="X176" s="37">
        <f>'SC-NR'!R134</f>
        <v>0</v>
      </c>
      <c r="Y176" s="37">
        <f>'SC-NR'!S134</f>
        <v>0</v>
      </c>
      <c r="Z176" s="37">
        <f>'SC-NR'!T134</f>
        <v>0</v>
      </c>
      <c r="AA176" s="37">
        <f>'SC-NR'!U134</f>
        <v>0</v>
      </c>
      <c r="AB176" s="37">
        <f>'SC-NR'!V134</f>
        <v>0</v>
      </c>
      <c r="AC176" s="37">
        <f>'SC-NR'!W134</f>
        <v>0</v>
      </c>
      <c r="AD176" s="37">
        <f>'SC-NR'!X134</f>
        <v>0</v>
      </c>
      <c r="AE176" s="37">
        <f>'SC-NR'!Y134</f>
        <v>5.2296671115652392E-3</v>
      </c>
      <c r="AF176" s="479">
        <f t="shared" si="27"/>
        <v>0.7642264827622347</v>
      </c>
      <c r="AG176" s="479">
        <f t="shared" si="28"/>
        <v>0.60783107273682868</v>
      </c>
      <c r="AH176" s="479">
        <f t="shared" si="29"/>
        <v>0.61410304740852306</v>
      </c>
      <c r="AI176" s="479">
        <f t="shared" si="30"/>
        <v>0.50084615721053449</v>
      </c>
      <c r="AJ176" s="479">
        <f t="shared" si="31"/>
        <v>0.45606565079660444</v>
      </c>
      <c r="AK176" s="479">
        <f t="shared" si="32"/>
        <v>0.46861738090111776</v>
      </c>
      <c r="AL176" s="479">
        <f t="shared" si="33"/>
        <v>0.38674542617789825</v>
      </c>
      <c r="AM176" s="479">
        <f t="shared" si="34"/>
        <v>0.44114173128378797</v>
      </c>
      <c r="AN176" s="479">
        <f t="shared" si="35"/>
        <v>0.48576368043499596</v>
      </c>
      <c r="AO176" s="479">
        <f t="shared" si="36"/>
        <v>0.70892994794639019</v>
      </c>
      <c r="AP176" s="479">
        <f t="shared" si="37"/>
        <v>0.71564105874160944</v>
      </c>
      <c r="AQ176" s="479">
        <f t="shared" si="38"/>
        <v>0.78563224663035736</v>
      </c>
      <c r="AR176" s="479"/>
      <c r="AS176" s="479">
        <f t="shared" si="39"/>
        <v>0.39868365786496762</v>
      </c>
      <c r="AT176" s="479">
        <f t="shared" si="40"/>
        <v>0.30640729864664351</v>
      </c>
      <c r="AU176" s="479">
        <f t="shared" si="41"/>
        <v>0.28558240791934209</v>
      </c>
      <c r="AV176" s="479">
        <f t="shared" si="42"/>
        <v>0.28014230406559065</v>
      </c>
      <c r="AW176" s="479">
        <f t="shared" si="43"/>
        <v>0.27218115866131221</v>
      </c>
      <c r="AX176" s="479">
        <f t="shared" si="44"/>
        <v>0.25453724672527844</v>
      </c>
      <c r="AY176" s="479">
        <f t="shared" si="45"/>
        <v>0.29037746285762667</v>
      </c>
      <c r="AZ176" s="479">
        <f t="shared" si="46"/>
        <v>0.26268917602457925</v>
      </c>
      <c r="BA176" s="479">
        <f t="shared" si="47"/>
        <v>0.30447315587351431</v>
      </c>
      <c r="BB176" s="479">
        <f t="shared" si="48"/>
        <v>0.30268792968216585</v>
      </c>
      <c r="BC176" s="479">
        <f t="shared" si="49"/>
        <v>0.3812155246887674</v>
      </c>
      <c r="BD176" s="479">
        <f t="shared" si="50"/>
        <v>0.4066748842222741</v>
      </c>
    </row>
    <row r="177" spans="1:56" ht="15">
      <c r="A177" s="63" t="str">
        <f>VLOOKUP(CONCATENATE($C177," - ",$B177),[2]ACHIEV!$B$12:$C$100,2,FALSE)</f>
        <v>LO20Fast</v>
      </c>
      <c r="B177" s="63" t="str">
        <f>'SC-NR'!$C$7</f>
        <v>NR</v>
      </c>
      <c r="C177" s="63" t="str">
        <f>'SC-NR'!$C$8</f>
        <v>Lighting</v>
      </c>
      <c r="D177" s="63" t="s">
        <v>795</v>
      </c>
      <c r="E177" s="63" t="str">
        <f>'SC-NR'!$A$9</f>
        <v>Lighting</v>
      </c>
      <c r="F177" s="478">
        <f t="shared" si="26"/>
        <v>5.3228772760490119E-3</v>
      </c>
      <c r="G177" s="71">
        <f>'SC-NR'!A135</f>
        <v>20.374790406766845</v>
      </c>
      <c r="H177" s="71">
        <f>'SC-NR'!B135</f>
        <v>-38.377975660533203</v>
      </c>
      <c r="I177" t="str">
        <f>'SC-NR'!C135</f>
        <v>Manufactured</v>
      </c>
      <c r="J177" t="str">
        <f>'SC-NR'!D135</f>
        <v>2016 - LEDReflectors and Outdoor250 to 664 lumensANY</v>
      </c>
      <c r="K177" s="37">
        <f>'SC-NR'!E135</f>
        <v>1.5275968229457145E-2</v>
      </c>
      <c r="L177" s="37">
        <f>'SC-NR'!F135</f>
        <v>0</v>
      </c>
      <c r="M177" s="37">
        <f>'SC-NR'!G135</f>
        <v>0</v>
      </c>
      <c r="N177" s="37">
        <f>'SC-NR'!H135</f>
        <v>0</v>
      </c>
      <c r="O177" s="37">
        <f>'SC-NR'!I135</f>
        <v>0</v>
      </c>
      <c r="P177" s="37">
        <f>'SC-NR'!J135</f>
        <v>0</v>
      </c>
      <c r="Q177" s="37">
        <f>'SC-NR'!K135</f>
        <v>0</v>
      </c>
      <c r="R177" s="37">
        <f>'SC-NR'!L135</f>
        <v>0</v>
      </c>
      <c r="S177" s="37">
        <f>'SC-NR'!M135</f>
        <v>0</v>
      </c>
      <c r="T177" s="37">
        <f>'SC-NR'!N135</f>
        <v>0</v>
      </c>
      <c r="U177" s="37">
        <f>'SC-NR'!O135</f>
        <v>0</v>
      </c>
      <c r="V177" s="37">
        <f>'SC-NR'!P135</f>
        <v>0</v>
      </c>
      <c r="W177" s="37">
        <f>'SC-NR'!Q135</f>
        <v>0</v>
      </c>
      <c r="X177" s="37">
        <f>'SC-NR'!R135</f>
        <v>0</v>
      </c>
      <c r="Y177" s="37">
        <f>'SC-NR'!S135</f>
        <v>0</v>
      </c>
      <c r="Z177" s="37">
        <f>'SC-NR'!T135</f>
        <v>0</v>
      </c>
      <c r="AA177" s="37">
        <f>'SC-NR'!U135</f>
        <v>0</v>
      </c>
      <c r="AB177" s="37">
        <f>'SC-NR'!V135</f>
        <v>0</v>
      </c>
      <c r="AC177" s="37">
        <f>'SC-NR'!W135</f>
        <v>0</v>
      </c>
      <c r="AD177" s="37">
        <f>'SC-NR'!X135</f>
        <v>0</v>
      </c>
      <c r="AE177" s="37">
        <f>'SC-NR'!Y135</f>
        <v>6.9059775353492087E-2</v>
      </c>
      <c r="AF177" s="479">
        <f t="shared" si="27"/>
        <v>1.4577912696290392</v>
      </c>
      <c r="AG177" s="479">
        <f t="shared" si="28"/>
        <v>1.1594610383590722</v>
      </c>
      <c r="AH177" s="479">
        <f t="shared" si="29"/>
        <v>1.1714250701297106</v>
      </c>
      <c r="AI177" s="479">
        <f t="shared" si="30"/>
        <v>0.95538321672624815</v>
      </c>
      <c r="AJ177" s="479">
        <f t="shared" si="31"/>
        <v>0.86996268659250697</v>
      </c>
      <c r="AK177" s="479">
        <f t="shared" si="32"/>
        <v>0.89390559223346777</v>
      </c>
      <c r="AL177" s="479">
        <f t="shared" si="33"/>
        <v>0.73773170462938431</v>
      </c>
      <c r="AM177" s="479">
        <f t="shared" si="34"/>
        <v>0.84149473885037285</v>
      </c>
      <c r="AN177" s="479">
        <f t="shared" si="35"/>
        <v>0.92661281493607173</v>
      </c>
      <c r="AO177" s="479">
        <f t="shared" si="36"/>
        <v>1.3523110127764957</v>
      </c>
      <c r="AP177" s="479">
        <f t="shared" si="37"/>
        <v>1.3651127135124117</v>
      </c>
      <c r="AQ177" s="479">
        <f t="shared" si="38"/>
        <v>1.4986235835968849</v>
      </c>
      <c r="AR177" s="479"/>
      <c r="AS177" s="479">
        <f t="shared" si="39"/>
        <v>0.76050433855501731</v>
      </c>
      <c r="AT177" s="479">
        <f t="shared" si="40"/>
        <v>0.58448365110721312</v>
      </c>
      <c r="AU177" s="479">
        <f t="shared" si="41"/>
        <v>0.54475937489067727</v>
      </c>
      <c r="AV177" s="479">
        <f t="shared" si="42"/>
        <v>0.53438216854837683</v>
      </c>
      <c r="AW177" s="479">
        <f t="shared" si="43"/>
        <v>0.51919597894571268</v>
      </c>
      <c r="AX177" s="479">
        <f t="shared" si="44"/>
        <v>0.48553954153793449</v>
      </c>
      <c r="AY177" s="479">
        <f t="shared" si="45"/>
        <v>0.55390612573495235</v>
      </c>
      <c r="AZ177" s="479">
        <f t="shared" si="46"/>
        <v>0.5010896587233542</v>
      </c>
      <c r="BA177" s="479">
        <f t="shared" si="47"/>
        <v>0.58079419973058355</v>
      </c>
      <c r="BB177" s="479">
        <f t="shared" si="48"/>
        <v>0.57738881243406592</v>
      </c>
      <c r="BC177" s="479">
        <f t="shared" si="49"/>
        <v>0.72718320586024165</v>
      </c>
      <c r="BD177" s="479">
        <f t="shared" si="50"/>
        <v>0.77574790872704857</v>
      </c>
    </row>
    <row r="178" spans="1:56" ht="15">
      <c r="A178" s="63" t="str">
        <f>VLOOKUP(CONCATENATE($C178," - ",$B178),[2]ACHIEV!$B$12:$C$100,2,FALSE)</f>
        <v>LO20Fast</v>
      </c>
      <c r="B178" s="63" t="str">
        <f>'SC-NR'!$C$7</f>
        <v>NR</v>
      </c>
      <c r="C178" s="63" t="str">
        <f>'SC-NR'!$C$8</f>
        <v>Lighting</v>
      </c>
      <c r="D178" s="63" t="s">
        <v>795</v>
      </c>
      <c r="E178" s="63" t="str">
        <f>'SC-NR'!$A$9</f>
        <v>Lighting</v>
      </c>
      <c r="F178" s="478">
        <f t="shared" si="26"/>
        <v>4.0588070052657264E-3</v>
      </c>
      <c r="G178" s="71">
        <f>'SC-NR'!A136</f>
        <v>15.536210538971808</v>
      </c>
      <c r="H178" s="71">
        <f>'SC-NR'!B136</f>
        <v>-47.72588478334999</v>
      </c>
      <c r="I178" t="str">
        <f>'SC-NR'!C136</f>
        <v>Manufactured</v>
      </c>
      <c r="J178" t="str">
        <f>'SC-NR'!D136</f>
        <v>2016 - LEDReflectors and Outdoor665 to 1439 lumensANY</v>
      </c>
      <c r="K178" s="37">
        <f>'SC-NR'!E136</f>
        <v>0.11770206729325655</v>
      </c>
      <c r="L178" s="37">
        <f>'SC-NR'!F136</f>
        <v>0</v>
      </c>
      <c r="M178" s="37">
        <f>'SC-NR'!G136</f>
        <v>0</v>
      </c>
      <c r="N178" s="37">
        <f>'SC-NR'!H136</f>
        <v>0</v>
      </c>
      <c r="O178" s="37">
        <f>'SC-NR'!I136</f>
        <v>0</v>
      </c>
      <c r="P178" s="37">
        <f>'SC-NR'!J136</f>
        <v>0</v>
      </c>
      <c r="Q178" s="37">
        <f>'SC-NR'!K136</f>
        <v>0</v>
      </c>
      <c r="R178" s="37">
        <f>'SC-NR'!L136</f>
        <v>0</v>
      </c>
      <c r="S178" s="37">
        <f>'SC-NR'!M136</f>
        <v>0</v>
      </c>
      <c r="T178" s="37">
        <f>'SC-NR'!N136</f>
        <v>0</v>
      </c>
      <c r="U178" s="37">
        <f>'SC-NR'!O136</f>
        <v>0</v>
      </c>
      <c r="V178" s="37">
        <f>'SC-NR'!P136</f>
        <v>0</v>
      </c>
      <c r="W178" s="37">
        <f>'SC-NR'!Q136</f>
        <v>0</v>
      </c>
      <c r="X178" s="37">
        <f>'SC-NR'!R136</f>
        <v>0</v>
      </c>
      <c r="Y178" s="37">
        <f>'SC-NR'!S136</f>
        <v>0</v>
      </c>
      <c r="Z178" s="37">
        <f>'SC-NR'!T136</f>
        <v>0</v>
      </c>
      <c r="AA178" s="37">
        <f>'SC-NR'!U136</f>
        <v>0</v>
      </c>
      <c r="AB178" s="37">
        <f>'SC-NR'!V136</f>
        <v>0</v>
      </c>
      <c r="AC178" s="37">
        <f>'SC-NR'!W136</f>
        <v>0</v>
      </c>
      <c r="AD178" s="37">
        <f>'SC-NR'!X136</f>
        <v>0</v>
      </c>
      <c r="AE178" s="37">
        <f>'SC-NR'!Y136</f>
        <v>0.53210887871837143</v>
      </c>
      <c r="AF178" s="479">
        <f t="shared" si="27"/>
        <v>1.1115968132516232</v>
      </c>
      <c r="AG178" s="479">
        <f t="shared" si="28"/>
        <v>0.88411367400858021</v>
      </c>
      <c r="AH178" s="479">
        <f t="shared" si="29"/>
        <v>0.89323650240449115</v>
      </c>
      <c r="AI178" s="479">
        <f t="shared" si="30"/>
        <v>0.72849999946647181</v>
      </c>
      <c r="AJ178" s="479">
        <f t="shared" si="31"/>
        <v>0.66336503051642903</v>
      </c>
      <c r="AK178" s="479">
        <f t="shared" si="32"/>
        <v>0.68162200472457402</v>
      </c>
      <c r="AL178" s="479">
        <f t="shared" si="33"/>
        <v>0.5625360975782151</v>
      </c>
      <c r="AM178" s="479">
        <f t="shared" si="34"/>
        <v>0.64165761557353207</v>
      </c>
      <c r="AN178" s="479">
        <f t="shared" si="35"/>
        <v>0.70656195688643419</v>
      </c>
      <c r="AO178" s="479">
        <f t="shared" si="36"/>
        <v>1.0311658765180765</v>
      </c>
      <c r="AP178" s="479">
        <f t="shared" si="37"/>
        <v>1.0409274452959347</v>
      </c>
      <c r="AQ178" s="479">
        <f t="shared" si="38"/>
        <v>1.1427323201173605</v>
      </c>
      <c r="AR178" s="479"/>
      <c r="AS178" s="479">
        <f t="shared" si="39"/>
        <v>0.57990071474149463</v>
      </c>
      <c r="AT178" s="479">
        <f t="shared" si="40"/>
        <v>0.44568120107742304</v>
      </c>
      <c r="AU178" s="479">
        <f t="shared" si="41"/>
        <v>0.41539059653685312</v>
      </c>
      <c r="AV178" s="479">
        <f t="shared" si="42"/>
        <v>0.40747775624148563</v>
      </c>
      <c r="AW178" s="479">
        <f t="shared" si="43"/>
        <v>0.39589796404527355</v>
      </c>
      <c r="AX178" s="479">
        <f t="shared" si="44"/>
        <v>0.3702342155050527</v>
      </c>
      <c r="AY178" s="479">
        <f t="shared" si="45"/>
        <v>0.42236518837446929</v>
      </c>
      <c r="AZ178" s="479">
        <f t="shared" si="46"/>
        <v>0.38209151021460364</v>
      </c>
      <c r="BA178" s="479">
        <f t="shared" si="47"/>
        <v>0.44286791602190761</v>
      </c>
      <c r="BB178" s="479">
        <f t="shared" si="48"/>
        <v>0.44027123586229888</v>
      </c>
      <c r="BC178" s="479">
        <f t="shared" si="49"/>
        <v>0.55449264316834523</v>
      </c>
      <c r="BD178" s="479">
        <f t="shared" si="50"/>
        <v>0.59152426084087517</v>
      </c>
    </row>
    <row r="179" spans="1:56" ht="15">
      <c r="A179" s="63" t="str">
        <f>VLOOKUP(CONCATENATE($C179," - ",$B179),[2]ACHIEV!$B$12:$C$100,2,FALSE)</f>
        <v>LO20Fast</v>
      </c>
      <c r="B179" s="63" t="str">
        <f>'SC-NR'!$C$7</f>
        <v>NR</v>
      </c>
      <c r="C179" s="63" t="str">
        <f>'SC-NR'!$C$8</f>
        <v>Lighting</v>
      </c>
      <c r="D179" s="63" t="s">
        <v>795</v>
      </c>
      <c r="E179" s="63" t="str">
        <f>'SC-NR'!$A$9</f>
        <v>Lighting</v>
      </c>
      <c r="F179" s="478">
        <f t="shared" si="26"/>
        <v>2.1728858656963793E-2</v>
      </c>
      <c r="G179" s="71">
        <f>'SC-NR'!A137</f>
        <v>83.173238448682625</v>
      </c>
      <c r="H179" s="71">
        <f>'SC-NR'!B137</f>
        <v>-27.334459272113147</v>
      </c>
      <c r="I179" t="str">
        <f>'SC-NR'!C137</f>
        <v>Manufactured</v>
      </c>
      <c r="J179" t="str">
        <f>'SC-NR'!D137</f>
        <v>2016 - LEDReflectors and Outdoor1440 to 2600 lumensANY</v>
      </c>
      <c r="K179" s="42">
        <f>'SC-NR'!E137</f>
        <v>5.1781496082048926E-2</v>
      </c>
      <c r="L179" s="42">
        <f>'SC-NR'!F137</f>
        <v>0</v>
      </c>
      <c r="M179" s="42">
        <f>'SC-NR'!G137</f>
        <v>0</v>
      </c>
      <c r="N179" s="42">
        <f>'SC-NR'!H137</f>
        <v>0</v>
      </c>
      <c r="O179" s="42">
        <f>'SC-NR'!I137</f>
        <v>0</v>
      </c>
      <c r="P179" s="42">
        <f>'SC-NR'!J137</f>
        <v>0</v>
      </c>
      <c r="Q179" s="42">
        <f>'SC-NR'!K137</f>
        <v>0</v>
      </c>
      <c r="R179" s="42">
        <f>'SC-NR'!L137</f>
        <v>0</v>
      </c>
      <c r="S179" s="42">
        <f>'SC-NR'!M137</f>
        <v>0</v>
      </c>
      <c r="T179" s="42">
        <f>'SC-NR'!N137</f>
        <v>0</v>
      </c>
      <c r="U179" s="42">
        <f>'SC-NR'!O137</f>
        <v>0</v>
      </c>
      <c r="V179" s="42">
        <f>'SC-NR'!P137</f>
        <v>0</v>
      </c>
      <c r="W179" s="42">
        <f>'SC-NR'!Q137</f>
        <v>0</v>
      </c>
      <c r="X179" s="42">
        <f>'SC-NR'!R137</f>
        <v>0</v>
      </c>
      <c r="Y179" s="42">
        <f>'SC-NR'!S137</f>
        <v>0</v>
      </c>
      <c r="Z179" s="42">
        <f>'SC-NR'!T137</f>
        <v>0</v>
      </c>
      <c r="AA179" s="42">
        <f>'SC-NR'!U137</f>
        <v>0</v>
      </c>
      <c r="AB179" s="42">
        <f>'SC-NR'!V137</f>
        <v>0</v>
      </c>
      <c r="AC179" s="42">
        <f>'SC-NR'!W137</f>
        <v>0</v>
      </c>
      <c r="AD179" s="42">
        <f>'SC-NR'!X137</f>
        <v>0</v>
      </c>
      <c r="AE179" s="42">
        <f>'SC-NR'!Y137</f>
        <v>0.23409439147682157</v>
      </c>
      <c r="AF179" s="479">
        <f t="shared" si="27"/>
        <v>5.9509432223162761</v>
      </c>
      <c r="AG179" s="479">
        <f t="shared" si="28"/>
        <v>4.7331102548847825</v>
      </c>
      <c r="AH179" s="479">
        <f t="shared" si="29"/>
        <v>4.7819493961667678</v>
      </c>
      <c r="AI179" s="479">
        <f t="shared" si="30"/>
        <v>3.9000310927493396</v>
      </c>
      <c r="AJ179" s="479">
        <f t="shared" si="31"/>
        <v>3.5513304691165719</v>
      </c>
      <c r="AK179" s="479">
        <f t="shared" si="32"/>
        <v>3.6490693395674088</v>
      </c>
      <c r="AL179" s="479">
        <f t="shared" si="33"/>
        <v>3.0115418983605462</v>
      </c>
      <c r="AM179" s="479">
        <f t="shared" si="34"/>
        <v>3.4351196341371462</v>
      </c>
      <c r="AN179" s="479">
        <f t="shared" si="35"/>
        <v>3.7825855907055974</v>
      </c>
      <c r="AO179" s="479">
        <f t="shared" si="36"/>
        <v>5.5203555019188597</v>
      </c>
      <c r="AP179" s="479">
        <f t="shared" si="37"/>
        <v>5.5726141453993536</v>
      </c>
      <c r="AQ179" s="479">
        <f t="shared" si="38"/>
        <v>6.1176274295281043</v>
      </c>
      <c r="AR179" s="479"/>
      <c r="AS179" s="479">
        <f t="shared" si="39"/>
        <v>3.104503527598812</v>
      </c>
      <c r="AT179" s="479">
        <f t="shared" si="40"/>
        <v>2.3859581920779633</v>
      </c>
      <c r="AU179" s="479">
        <f t="shared" si="41"/>
        <v>2.2237971768234481</v>
      </c>
      <c r="AV179" s="479">
        <f t="shared" si="42"/>
        <v>2.181435717377334</v>
      </c>
      <c r="AW179" s="479">
        <f t="shared" si="43"/>
        <v>2.1194431989890319</v>
      </c>
      <c r="AX179" s="479">
        <f t="shared" si="44"/>
        <v>1.9820520976346545</v>
      </c>
      <c r="AY179" s="479">
        <f t="shared" si="45"/>
        <v>2.2611357149783688</v>
      </c>
      <c r="AZ179" s="479">
        <f t="shared" si="46"/>
        <v>2.0455302281453043</v>
      </c>
      <c r="BA179" s="479">
        <f t="shared" si="47"/>
        <v>2.3708972460281177</v>
      </c>
      <c r="BB179" s="479">
        <f t="shared" si="48"/>
        <v>2.3569958961752469</v>
      </c>
      <c r="BC179" s="479">
        <f t="shared" si="49"/>
        <v>2.9684811951147281</v>
      </c>
      <c r="BD179" s="479">
        <f t="shared" si="50"/>
        <v>3.1667302828888446</v>
      </c>
    </row>
    <row r="180" spans="1:56" ht="15">
      <c r="A180" s="63" t="str">
        <f>VLOOKUP(CONCATENATE($C180," - ",$B180),[2]ACHIEV!$B$12:$C$100,2,FALSE)</f>
        <v>LO20Fast</v>
      </c>
      <c r="B180" s="63" t="str">
        <f>'SC-NR'!$C$7</f>
        <v>NR</v>
      </c>
      <c r="C180" s="63" t="str">
        <f>'SC-NR'!$C$8</f>
        <v>Lighting</v>
      </c>
      <c r="D180" s="63" t="s">
        <v>795</v>
      </c>
      <c r="E180" s="63" t="str">
        <f>'SC-NR'!$A$9</f>
        <v>Lighting</v>
      </c>
      <c r="F180" s="478">
        <f t="shared" si="26"/>
        <v>1.2650011213785653E-2</v>
      </c>
      <c r="G180" s="71">
        <f>'SC-NR'!A138</f>
        <v>48.421429568529426</v>
      </c>
      <c r="H180" s="71">
        <f>'SC-NR'!B138</f>
        <v>-0.28395098554769854</v>
      </c>
      <c r="I180" t="str">
        <f>'SC-NR'!C138</f>
        <v>Manufactured</v>
      </c>
      <c r="J180" t="str">
        <f>'SC-NR'!D138</f>
        <v>2016 - LEDThree-Way250 to 664 lumensANY</v>
      </c>
      <c r="K180" s="42">
        <f>'SC-NR'!E138</f>
        <v>4.7303042851447655E-4</v>
      </c>
      <c r="L180" s="42">
        <f>'SC-NR'!F138</f>
        <v>0</v>
      </c>
      <c r="M180" s="42">
        <f>'SC-NR'!G138</f>
        <v>0</v>
      </c>
      <c r="N180" s="42">
        <f>'SC-NR'!H138</f>
        <v>0</v>
      </c>
      <c r="O180" s="42">
        <f>'SC-NR'!I138</f>
        <v>0</v>
      </c>
      <c r="P180" s="42">
        <f>'SC-NR'!J138</f>
        <v>0</v>
      </c>
      <c r="Q180" s="42">
        <f>'SC-NR'!K138</f>
        <v>0</v>
      </c>
      <c r="R180" s="42">
        <f>'SC-NR'!L138</f>
        <v>0</v>
      </c>
      <c r="S180" s="42">
        <f>'SC-NR'!M138</f>
        <v>0</v>
      </c>
      <c r="T180" s="42">
        <f>'SC-NR'!N138</f>
        <v>0</v>
      </c>
      <c r="U180" s="42">
        <f>'SC-NR'!O138</f>
        <v>0</v>
      </c>
      <c r="V180" s="42">
        <f>'SC-NR'!P138</f>
        <v>0</v>
      </c>
      <c r="W180" s="42">
        <f>'SC-NR'!Q138</f>
        <v>0</v>
      </c>
      <c r="X180" s="42">
        <f>'SC-NR'!R138</f>
        <v>0</v>
      </c>
      <c r="Y180" s="42">
        <f>'SC-NR'!S138</f>
        <v>0</v>
      </c>
      <c r="Z180" s="42">
        <f>'SC-NR'!T138</f>
        <v>0</v>
      </c>
      <c r="AA180" s="42">
        <f>'SC-NR'!U138</f>
        <v>0</v>
      </c>
      <c r="AB180" s="42">
        <f>'SC-NR'!V138</f>
        <v>0</v>
      </c>
      <c r="AC180" s="42">
        <f>'SC-NR'!W138</f>
        <v>0</v>
      </c>
      <c r="AD180" s="42">
        <f>'SC-NR'!X138</f>
        <v>0</v>
      </c>
      <c r="AE180" s="42">
        <f>'SC-NR'!Y138</f>
        <v>2.1384814787439982E-3</v>
      </c>
      <c r="AF180" s="479">
        <f t="shared" si="27"/>
        <v>3.4644939103037795</v>
      </c>
      <c r="AG180" s="479">
        <f t="shared" si="28"/>
        <v>2.7555012780750743</v>
      </c>
      <c r="AH180" s="479">
        <f t="shared" si="29"/>
        <v>2.783934234202329</v>
      </c>
      <c r="AI180" s="479">
        <f t="shared" si="30"/>
        <v>2.2705029213110808</v>
      </c>
      <c r="AJ180" s="479">
        <f t="shared" si="31"/>
        <v>2.067497928327021</v>
      </c>
      <c r="AK180" s="479">
        <f t="shared" si="32"/>
        <v>2.1243991133706071</v>
      </c>
      <c r="AL180" s="479">
        <f t="shared" si="33"/>
        <v>1.7532461960599572</v>
      </c>
      <c r="AM180" s="479">
        <f t="shared" si="34"/>
        <v>1.9998428163461626</v>
      </c>
      <c r="AN180" s="479">
        <f t="shared" si="35"/>
        <v>2.2021290162976261</v>
      </c>
      <c r="AO180" s="479">
        <f t="shared" si="36"/>
        <v>3.2138162480511396</v>
      </c>
      <c r="AP180" s="479">
        <f t="shared" si="37"/>
        <v>3.2442399549048635</v>
      </c>
      <c r="AQ180" s="479">
        <f t="shared" si="38"/>
        <v>3.5615333877875557</v>
      </c>
      <c r="AR180" s="479"/>
      <c r="AS180" s="479">
        <f t="shared" si="39"/>
        <v>1.8073661878589267</v>
      </c>
      <c r="AT180" s="479">
        <f t="shared" si="40"/>
        <v>1.3890466297334463</v>
      </c>
      <c r="AU180" s="479">
        <f t="shared" si="41"/>
        <v>1.2946404442179886</v>
      </c>
      <c r="AV180" s="479">
        <f t="shared" si="42"/>
        <v>1.2699786363667083</v>
      </c>
      <c r="AW180" s="479">
        <f t="shared" si="43"/>
        <v>1.2338881050984445</v>
      </c>
      <c r="AX180" s="479">
        <f t="shared" si="44"/>
        <v>1.1539023589419051</v>
      </c>
      <c r="AY180" s="479">
        <f t="shared" si="45"/>
        <v>1.3163780298787402</v>
      </c>
      <c r="AZ180" s="479">
        <f t="shared" si="46"/>
        <v>1.1908577773311961</v>
      </c>
      <c r="BA180" s="479">
        <f t="shared" si="47"/>
        <v>1.3802785145080427</v>
      </c>
      <c r="BB180" s="479">
        <f t="shared" si="48"/>
        <v>1.3721854878883859</v>
      </c>
      <c r="BC180" s="479">
        <f t="shared" si="49"/>
        <v>1.7281773055336467</v>
      </c>
      <c r="BD180" s="479">
        <f t="shared" si="50"/>
        <v>1.8435930861347887</v>
      </c>
    </row>
    <row r="181" spans="1:56" ht="15">
      <c r="A181" s="63" t="str">
        <f>VLOOKUP(CONCATENATE($C181," - ",$B181),[2]ACHIEV!$B$12:$C$100,2,FALSE)</f>
        <v>LO20Fast</v>
      </c>
      <c r="B181" s="63" t="str">
        <f>'SC-NR'!$C$7</f>
        <v>NR</v>
      </c>
      <c r="C181" s="63" t="str">
        <f>'SC-NR'!$C$8</f>
        <v>Lighting</v>
      </c>
      <c r="D181" s="63" t="s">
        <v>795</v>
      </c>
      <c r="E181" s="63" t="str">
        <f>'SC-NR'!$A$9</f>
        <v>Lighting</v>
      </c>
      <c r="F181" s="478">
        <f t="shared" si="26"/>
        <v>1.3626103635974879E-2</v>
      </c>
      <c r="G181" s="71">
        <f>'SC-NR'!A139</f>
        <v>52.157694278074032</v>
      </c>
      <c r="H181" s="71">
        <f>'SC-NR'!B139</f>
        <v>-8.9398321624848585</v>
      </c>
      <c r="I181" t="str">
        <f>'SC-NR'!C139</f>
        <v>Manufactured</v>
      </c>
      <c r="J181" t="str">
        <f>'SC-NR'!D139</f>
        <v>2016 - LEDThree-Way665 to 1439 lumensANY</v>
      </c>
      <c r="K181" s="42">
        <f>'SC-NR'!E139</f>
        <v>6.2893445813945624E-3</v>
      </c>
      <c r="L181" s="42">
        <f>'SC-NR'!F139</f>
        <v>0</v>
      </c>
      <c r="M181" s="42">
        <f>'SC-NR'!G139</f>
        <v>0</v>
      </c>
      <c r="N181" s="42">
        <f>'SC-NR'!H139</f>
        <v>0</v>
      </c>
      <c r="O181" s="42">
        <f>'SC-NR'!I139</f>
        <v>0</v>
      </c>
      <c r="P181" s="42">
        <f>'SC-NR'!J139</f>
        <v>0</v>
      </c>
      <c r="Q181" s="42">
        <f>'SC-NR'!K139</f>
        <v>0</v>
      </c>
      <c r="R181" s="42">
        <f>'SC-NR'!L139</f>
        <v>0</v>
      </c>
      <c r="S181" s="42">
        <f>'SC-NR'!M139</f>
        <v>0</v>
      </c>
      <c r="T181" s="42">
        <f>'SC-NR'!N139</f>
        <v>0</v>
      </c>
      <c r="U181" s="42">
        <f>'SC-NR'!O139</f>
        <v>0</v>
      </c>
      <c r="V181" s="42">
        <f>'SC-NR'!P139</f>
        <v>0</v>
      </c>
      <c r="W181" s="42">
        <f>'SC-NR'!Q139</f>
        <v>0</v>
      </c>
      <c r="X181" s="42">
        <f>'SC-NR'!R139</f>
        <v>0</v>
      </c>
      <c r="Y181" s="42">
        <f>'SC-NR'!S139</f>
        <v>0</v>
      </c>
      <c r="Z181" s="42">
        <f>'SC-NR'!T139</f>
        <v>0</v>
      </c>
      <c r="AA181" s="42">
        <f>'SC-NR'!U139</f>
        <v>0</v>
      </c>
      <c r="AB181" s="42">
        <f>'SC-NR'!V139</f>
        <v>0</v>
      </c>
      <c r="AC181" s="42">
        <f>'SC-NR'!W139</f>
        <v>0</v>
      </c>
      <c r="AD181" s="42">
        <f>'SC-NR'!X139</f>
        <v>0</v>
      </c>
      <c r="AE181" s="42">
        <f>'SC-NR'!Y139</f>
        <v>2.8432942343664863E-2</v>
      </c>
      <c r="AF181" s="479">
        <f t="shared" si="27"/>
        <v>3.731819068789251</v>
      </c>
      <c r="AG181" s="479">
        <f t="shared" si="28"/>
        <v>2.9681195810478593</v>
      </c>
      <c r="AH181" s="479">
        <f t="shared" si="29"/>
        <v>2.9987464635319547</v>
      </c>
      <c r="AI181" s="479">
        <f t="shared" si="30"/>
        <v>2.44569807794739</v>
      </c>
      <c r="AJ181" s="479">
        <f t="shared" si="31"/>
        <v>2.2270289379543238</v>
      </c>
      <c r="AK181" s="479">
        <f t="shared" si="32"/>
        <v>2.2883206974089516</v>
      </c>
      <c r="AL181" s="479">
        <f t="shared" si="33"/>
        <v>1.8885291058759777</v>
      </c>
      <c r="AM181" s="479">
        <f t="shared" si="34"/>
        <v>2.154153463634584</v>
      </c>
      <c r="AN181" s="479">
        <f t="shared" si="35"/>
        <v>2.3720483475270466</v>
      </c>
      <c r="AO181" s="479">
        <f t="shared" si="36"/>
        <v>3.4617987702020074</v>
      </c>
      <c r="AP181" s="479">
        <f t="shared" si="37"/>
        <v>3.4945700125015868</v>
      </c>
      <c r="AQ181" s="479">
        <f t="shared" si="38"/>
        <v>3.8363462470366358</v>
      </c>
      <c r="AR181" s="479"/>
      <c r="AS181" s="479">
        <f t="shared" si="39"/>
        <v>1.9468250713552193</v>
      </c>
      <c r="AT181" s="479">
        <f t="shared" si="40"/>
        <v>1.4962273955396257</v>
      </c>
      <c r="AU181" s="479">
        <f t="shared" si="41"/>
        <v>1.3945366977235774</v>
      </c>
      <c r="AV181" s="479">
        <f t="shared" si="42"/>
        <v>1.3679719505504024</v>
      </c>
      <c r="AW181" s="479">
        <f t="shared" si="43"/>
        <v>1.3290966237994797</v>
      </c>
      <c r="AX181" s="479">
        <f t="shared" si="44"/>
        <v>1.2429390664573923</v>
      </c>
      <c r="AY181" s="479">
        <f t="shared" si="45"/>
        <v>1.4179515856634783</v>
      </c>
      <c r="AZ181" s="479">
        <f t="shared" si="46"/>
        <v>1.2827460162199764</v>
      </c>
      <c r="BA181" s="479">
        <f t="shared" si="47"/>
        <v>1.4867827203741746</v>
      </c>
      <c r="BB181" s="479">
        <f t="shared" si="48"/>
        <v>1.4780652245882442</v>
      </c>
      <c r="BC181" s="479">
        <f t="shared" si="49"/>
        <v>1.8615258649635777</v>
      </c>
      <c r="BD181" s="479">
        <f t="shared" si="50"/>
        <v>1.98584728738131</v>
      </c>
    </row>
    <row r="182" spans="1:56" ht="15">
      <c r="A182" s="63" t="str">
        <f>VLOOKUP(CONCATENATE($C182," - ",$B182),[2]ACHIEV!$B$12:$C$100,2,FALSE)</f>
        <v>LO20Fast</v>
      </c>
      <c r="B182" s="63" t="str">
        <f>'SC-NR'!$C$7</f>
        <v>NR</v>
      </c>
      <c r="C182" s="63" t="str">
        <f>'SC-NR'!$C$8</f>
        <v>Lighting</v>
      </c>
      <c r="D182" s="63" t="s">
        <v>795</v>
      </c>
      <c r="E182" s="63" t="str">
        <f>'SC-NR'!$A$9</f>
        <v>Lighting</v>
      </c>
      <c r="F182" s="478">
        <f t="shared" si="26"/>
        <v>1.2193310022794003E-2</v>
      </c>
      <c r="G182" s="71">
        <f>'SC-NR'!A140</f>
        <v>46.673278979590322</v>
      </c>
      <c r="H182" s="71">
        <f>'SC-NR'!B140</f>
        <v>-22.011904676498236</v>
      </c>
      <c r="I182" t="str">
        <f>'SC-NR'!C140</f>
        <v>Manufactured</v>
      </c>
      <c r="J182" t="str">
        <f>'SC-NR'!D140</f>
        <v>2016 - LEDThree-Way1440 to 2600 lumensANY</v>
      </c>
      <c r="K182" s="42">
        <f>'SC-NR'!E140</f>
        <v>2.1762932887014905E-2</v>
      </c>
      <c r="L182" s="42">
        <f>'SC-NR'!F140</f>
        <v>0</v>
      </c>
      <c r="M182" s="42">
        <f>'SC-NR'!G140</f>
        <v>0</v>
      </c>
      <c r="N182" s="42">
        <f>'SC-NR'!H140</f>
        <v>0</v>
      </c>
      <c r="O182" s="42">
        <f>'SC-NR'!I140</f>
        <v>0</v>
      </c>
      <c r="P182" s="42">
        <f>'SC-NR'!J140</f>
        <v>0</v>
      </c>
      <c r="Q182" s="42">
        <f>'SC-NR'!K140</f>
        <v>0</v>
      </c>
      <c r="R182" s="42">
        <f>'SC-NR'!L140</f>
        <v>0</v>
      </c>
      <c r="S182" s="42">
        <f>'SC-NR'!M140</f>
        <v>0</v>
      </c>
      <c r="T182" s="42">
        <f>'SC-NR'!N140</f>
        <v>0</v>
      </c>
      <c r="U182" s="42">
        <f>'SC-NR'!O140</f>
        <v>0</v>
      </c>
      <c r="V182" s="42">
        <f>'SC-NR'!P140</f>
        <v>0</v>
      </c>
      <c r="W182" s="42">
        <f>'SC-NR'!Q140</f>
        <v>0</v>
      </c>
      <c r="X182" s="42">
        <f>'SC-NR'!R140</f>
        <v>0</v>
      </c>
      <c r="Y182" s="42">
        <f>'SC-NR'!S140</f>
        <v>0</v>
      </c>
      <c r="Z182" s="42">
        <f>'SC-NR'!T140</f>
        <v>0</v>
      </c>
      <c r="AA182" s="42">
        <f>'SC-NR'!U140</f>
        <v>0</v>
      </c>
      <c r="AB182" s="42">
        <f>'SC-NR'!V140</f>
        <v>0</v>
      </c>
      <c r="AC182" s="42">
        <f>'SC-NR'!W140</f>
        <v>0</v>
      </c>
      <c r="AD182" s="42">
        <f>'SC-NR'!X140</f>
        <v>0</v>
      </c>
      <c r="AE182" s="42">
        <f>'SC-NR'!Y140</f>
        <v>9.8386120842553257E-2</v>
      </c>
      <c r="AF182" s="479">
        <f t="shared" si="27"/>
        <v>3.3394158792823707</v>
      </c>
      <c r="AG182" s="479">
        <f t="shared" si="28"/>
        <v>2.6560198867776115</v>
      </c>
      <c r="AH182" s="479">
        <f t="shared" si="29"/>
        <v>2.6834263327534305</v>
      </c>
      <c r="AI182" s="479">
        <f t="shared" si="30"/>
        <v>2.1885313427260153</v>
      </c>
      <c r="AJ182" s="479">
        <f t="shared" si="31"/>
        <v>1.9928554042784474</v>
      </c>
      <c r="AK182" s="479">
        <f t="shared" si="32"/>
        <v>2.0477022955716913</v>
      </c>
      <c r="AL182" s="479">
        <f t="shared" si="33"/>
        <v>1.6899490485467938</v>
      </c>
      <c r="AM182" s="479">
        <f t="shared" si="34"/>
        <v>1.927642833232625</v>
      </c>
      <c r="AN182" s="479">
        <f t="shared" si="35"/>
        <v>2.1226259291094984</v>
      </c>
      <c r="AO182" s="479">
        <f t="shared" si="36"/>
        <v>3.0977883897901326</v>
      </c>
      <c r="AP182" s="479">
        <f t="shared" si="37"/>
        <v>3.127113714759473</v>
      </c>
      <c r="AQ182" s="479">
        <f t="shared" si="38"/>
        <v>3.4329519571097302</v>
      </c>
      <c r="AR182" s="479"/>
      <c r="AS182" s="479">
        <f t="shared" si="39"/>
        <v>1.7421151555393914</v>
      </c>
      <c r="AT182" s="479">
        <f t="shared" si="40"/>
        <v>1.3388981168648673</v>
      </c>
      <c r="AU182" s="479">
        <f t="shared" si="41"/>
        <v>1.2479002617163344</v>
      </c>
      <c r="AV182" s="479">
        <f t="shared" si="42"/>
        <v>1.22412881489536</v>
      </c>
      <c r="AW182" s="479">
        <f t="shared" si="43"/>
        <v>1.1893412539039743</v>
      </c>
      <c r="AX182" s="479">
        <f t="shared" si="44"/>
        <v>1.1122432194588867</v>
      </c>
      <c r="AY182" s="479">
        <f t="shared" si="45"/>
        <v>1.2688530590403191</v>
      </c>
      <c r="AZ182" s="479">
        <f t="shared" si="46"/>
        <v>1.1478644426995133</v>
      </c>
      <c r="BA182" s="479">
        <f t="shared" si="47"/>
        <v>1.330446555403608</v>
      </c>
      <c r="BB182" s="479">
        <f t="shared" si="48"/>
        <v>1.3226457099396403</v>
      </c>
      <c r="BC182" s="479">
        <f t="shared" si="49"/>
        <v>1.6657852158869719</v>
      </c>
      <c r="BD182" s="479">
        <f t="shared" si="50"/>
        <v>1.7770341603036266</v>
      </c>
    </row>
    <row r="183" spans="1:56" ht="15">
      <c r="A183" s="63" t="str">
        <f>VLOOKUP(CONCATENATE($C183," - ",$B183),[2]ACHIEV!$B$12:$C$100,2,FALSE)</f>
        <v>LO20Fast</v>
      </c>
      <c r="B183" s="63" t="str">
        <f>'SC-NR (2)'!$C$7</f>
        <v>NR</v>
      </c>
      <c r="C183" s="63" t="str">
        <f>'SC-NR (2)'!$C$8</f>
        <v>Lighting</v>
      </c>
      <c r="D183" s="63" t="s">
        <v>795</v>
      </c>
      <c r="E183" s="63" t="str">
        <f>'SC-NR (2)'!$A$9</f>
        <v>Lighting</v>
      </c>
      <c r="F183" s="478">
        <f t="shared" si="26"/>
        <v>5.2591883382486233E-3</v>
      </c>
      <c r="G183" s="71">
        <f>'SC-NR (2)'!A81</f>
        <v>20.131003317263307</v>
      </c>
      <c r="H183" s="71">
        <f>'SC-NR (2)'!B81</f>
        <v>-21.262756278752239</v>
      </c>
      <c r="I183" s="1" t="str">
        <f>'SC-NR (2)'!C81</f>
        <v>Single Family</v>
      </c>
      <c r="J183" s="1" t="str">
        <f>'SC-NR (2)'!D81</f>
        <v>2017 - LEDDecorative and Mini-Base250 to 664 lumensANY</v>
      </c>
      <c r="K183" s="37">
        <f>'SC-NR (2)'!E81</f>
        <v>0</v>
      </c>
      <c r="L183" s="37">
        <f>'SC-NR (2)'!F81</f>
        <v>1.9680889883906174</v>
      </c>
      <c r="M183" s="37">
        <f>'SC-NR (2)'!G81</f>
        <v>2.5237850572346425</v>
      </c>
      <c r="N183" s="37">
        <f>'SC-NR (2)'!H81</f>
        <v>2.9533205208073139</v>
      </c>
      <c r="O183" s="37">
        <f>'SC-NR (2)'!I81</f>
        <v>3.3271072566548705</v>
      </c>
      <c r="P183" s="37">
        <f>'SC-NR (2)'!J81</f>
        <v>3.6480581376478733</v>
      </c>
      <c r="Q183" s="37">
        <f>'SC-NR (2)'!K81</f>
        <v>3.9205599562238564</v>
      </c>
      <c r="R183" s="37">
        <f>'SC-NR (2)'!L81</f>
        <v>4.1496713361071951</v>
      </c>
      <c r="S183" s="37">
        <f>'SC-NR (2)'!M81</f>
        <v>4.8639517742662104</v>
      </c>
      <c r="T183" s="37">
        <f>'SC-NR (2)'!N81</f>
        <v>4.9339980091075564</v>
      </c>
      <c r="U183" s="37">
        <f>'SC-NR (2)'!O81</f>
        <v>4.9963853140609444</v>
      </c>
      <c r="V183" s="37">
        <f>'SC-NR (2)'!P81</f>
        <v>5.0466901425360158</v>
      </c>
      <c r="W183" s="37">
        <f>'SC-NR (2)'!Q81</f>
        <v>5.0789795229018422</v>
      </c>
      <c r="X183" s="37">
        <f>'SC-NR (2)'!R81</f>
        <v>5.0920729977998462</v>
      </c>
      <c r="Y183" s="37">
        <f>'SC-NR (2)'!S81</f>
        <v>5.1008546242212018</v>
      </c>
      <c r="Z183" s="37">
        <f>'SC-NR (2)'!T81</f>
        <v>5.1070493815178342</v>
      </c>
      <c r="AA183" s="37">
        <f>'SC-NR (2)'!U81</f>
        <v>5.1065836466086632</v>
      </c>
      <c r="AB183" s="37">
        <f>'SC-NR (2)'!V81</f>
        <v>5.1064666206850564</v>
      </c>
      <c r="AC183" s="37">
        <f>'SC-NR (2)'!W81</f>
        <v>5.1014777079826947</v>
      </c>
      <c r="AD183" s="37">
        <f>'SC-NR (2)'!X81</f>
        <v>5.0924941462421751</v>
      </c>
      <c r="AE183" s="37">
        <f>'SC-NR (2)'!Y81</f>
        <v>43.590032234134036</v>
      </c>
      <c r="AF183" s="479">
        <f t="shared" si="27"/>
        <v>1.4403486023116614</v>
      </c>
      <c r="AG183" s="479">
        <f t="shared" si="28"/>
        <v>1.1455879321189004</v>
      </c>
      <c r="AH183" s="479">
        <f t="shared" si="29"/>
        <v>1.1574088126508824</v>
      </c>
      <c r="AI183" s="479">
        <f t="shared" si="30"/>
        <v>0.94395192888885926</v>
      </c>
      <c r="AJ183" s="479">
        <f t="shared" si="31"/>
        <v>0.85955346681125078</v>
      </c>
      <c r="AK183" s="479">
        <f t="shared" si="32"/>
        <v>0.88320989238719305</v>
      </c>
      <c r="AL183" s="479">
        <f t="shared" si="33"/>
        <v>0.72890464621476858</v>
      </c>
      <c r="AM183" s="479">
        <f t="shared" si="34"/>
        <v>0.83142614186746877</v>
      </c>
      <c r="AN183" s="479">
        <f t="shared" si="35"/>
        <v>0.91552576880013092</v>
      </c>
      <c r="AO183" s="479">
        <f t="shared" si="36"/>
        <v>1.3361304308256319</v>
      </c>
      <c r="AP183" s="479">
        <f t="shared" si="37"/>
        <v>1.3487789575018005</v>
      </c>
      <c r="AQ183" s="479">
        <f t="shared" si="38"/>
        <v>1.4806923521872546</v>
      </c>
      <c r="AR183" s="479"/>
      <c r="AS183" s="479">
        <f t="shared" si="39"/>
        <v>0.75140480253281761</v>
      </c>
      <c r="AT183" s="479">
        <f t="shared" si="40"/>
        <v>0.57749022612854406</v>
      </c>
      <c r="AU183" s="479">
        <f t="shared" si="41"/>
        <v>0.53824125618452068</v>
      </c>
      <c r="AV183" s="479">
        <f t="shared" si="42"/>
        <v>0.52798821450261002</v>
      </c>
      <c r="AW183" s="479">
        <f t="shared" si="43"/>
        <v>0.51298372968757655</v>
      </c>
      <c r="AX183" s="479">
        <f t="shared" si="44"/>
        <v>0.47972999605023692</v>
      </c>
      <c r="AY183" s="479">
        <f t="shared" si="45"/>
        <v>0.54727856493284177</v>
      </c>
      <c r="AZ183" s="479">
        <f t="shared" si="46"/>
        <v>0.4950940540058737</v>
      </c>
      <c r="BA183" s="479">
        <f t="shared" si="47"/>
        <v>0.57384491953058547</v>
      </c>
      <c r="BB183" s="479">
        <f t="shared" si="48"/>
        <v>0.57048027814806623</v>
      </c>
      <c r="BC183" s="479">
        <f t="shared" si="49"/>
        <v>0.71848236164278922</v>
      </c>
      <c r="BD183" s="479">
        <f t="shared" si="50"/>
        <v>0.76646598135103916</v>
      </c>
    </row>
    <row r="184" spans="1:56" ht="15">
      <c r="A184" s="63" t="str">
        <f>VLOOKUP(CONCATENATE($C184," - ",$B184),[2]ACHIEV!$B$12:$C$100,2,FALSE)</f>
        <v>LO20Fast</v>
      </c>
      <c r="B184" s="63" t="str">
        <f>'SC-NR (2)'!$C$7</f>
        <v>NR</v>
      </c>
      <c r="C184" s="63" t="str">
        <f>'SC-NR (2)'!$C$8</f>
        <v>Lighting</v>
      </c>
      <c r="D184" s="63" t="s">
        <v>795</v>
      </c>
      <c r="E184" s="63" t="str">
        <f>'SC-NR (2)'!$A$9</f>
        <v>Lighting</v>
      </c>
      <c r="F184" s="478">
        <f t="shared" si="26"/>
        <v>3.96210803600704E-3</v>
      </c>
      <c r="G184" s="71">
        <f>'SC-NR (2)'!A82</f>
        <v>15.166068390464758</v>
      </c>
      <c r="H184" s="71">
        <f>'SC-NR (2)'!B82</f>
        <v>-19.792953526125213</v>
      </c>
      <c r="I184" s="1" t="str">
        <f>'SC-NR (2)'!C82</f>
        <v>Single Family</v>
      </c>
      <c r="J184" s="1" t="str">
        <f>'SC-NR (2)'!D82</f>
        <v>2017 - LEDDecorative and Mini-Base665 to 1439 lumensANY</v>
      </c>
      <c r="K184" s="37">
        <f>'SC-NR (2)'!E82</f>
        <v>0</v>
      </c>
      <c r="L184" s="37">
        <f>'SC-NR (2)'!F82</f>
        <v>0.40666270076880207</v>
      </c>
      <c r="M184" s="37">
        <f>'SC-NR (2)'!G82</f>
        <v>0.52148518364215557</v>
      </c>
      <c r="N184" s="37">
        <f>'SC-NR (2)'!H82</f>
        <v>0.61023932673366355</v>
      </c>
      <c r="O184" s="37">
        <f>'SC-NR (2)'!I82</f>
        <v>0.68747421011951226</v>
      </c>
      <c r="P184" s="37">
        <f>'SC-NR (2)'!J82</f>
        <v>0.75379171550094881</v>
      </c>
      <c r="Q184" s="37">
        <f>'SC-NR (2)'!K82</f>
        <v>0.81009827793801525</v>
      </c>
      <c r="R184" s="37">
        <f>'SC-NR (2)'!L82</f>
        <v>0.85743915178560215</v>
      </c>
      <c r="S184" s="37">
        <f>'SC-NR (2)'!M82</f>
        <v>1.0050296387003217</v>
      </c>
      <c r="T184" s="37">
        <f>'SC-NR (2)'!N82</f>
        <v>1.0195031666796439</v>
      </c>
      <c r="U184" s="37">
        <f>'SC-NR (2)'!O82</f>
        <v>1.0323941437013577</v>
      </c>
      <c r="V184" s="37">
        <f>'SC-NR (2)'!P82</f>
        <v>1.0427885402606882</v>
      </c>
      <c r="W184" s="37">
        <f>'SC-NR (2)'!Q82</f>
        <v>1.0494604370616838</v>
      </c>
      <c r="X184" s="37">
        <f>'SC-NR (2)'!R82</f>
        <v>1.0521659183157734</v>
      </c>
      <c r="Y184" s="37">
        <f>'SC-NR (2)'!S82</f>
        <v>1.053980450046156</v>
      </c>
      <c r="Z184" s="37">
        <f>'SC-NR (2)'!T82</f>
        <v>1.0552604616450807</v>
      </c>
      <c r="AA184" s="37">
        <f>'SC-NR (2)'!U82</f>
        <v>1.0551642276754161</v>
      </c>
      <c r="AB184" s="37">
        <f>'SC-NR (2)'!V82</f>
        <v>1.055140046818537</v>
      </c>
      <c r="AC184" s="37">
        <f>'SC-NR (2)'!W82</f>
        <v>1.0541091967271996</v>
      </c>
      <c r="AD184" s="37">
        <f>'SC-NR (2)'!X82</f>
        <v>1.0522529394636952</v>
      </c>
      <c r="AE184" s="37">
        <f>'SC-NR (2)'!Y82</f>
        <v>9.0069302452770081</v>
      </c>
      <c r="AF184" s="479">
        <f t="shared" si="27"/>
        <v>1.0851135964016425</v>
      </c>
      <c r="AG184" s="479">
        <f t="shared" si="28"/>
        <v>0.86305012482449117</v>
      </c>
      <c r="AH184" s="479">
        <f t="shared" si="29"/>
        <v>0.87195560657113691</v>
      </c>
      <c r="AI184" s="479">
        <f t="shared" si="30"/>
        <v>0.71114386527187501</v>
      </c>
      <c r="AJ184" s="479">
        <f t="shared" si="31"/>
        <v>0.64756070313402958</v>
      </c>
      <c r="AK184" s="479">
        <f t="shared" si="32"/>
        <v>0.66538271441207719</v>
      </c>
      <c r="AL184" s="479">
        <f t="shared" si="33"/>
        <v>0.54913396716500618</v>
      </c>
      <c r="AM184" s="479">
        <f t="shared" si="34"/>
        <v>0.62637045608000386</v>
      </c>
      <c r="AN184" s="479">
        <f t="shared" si="35"/>
        <v>0.68972848516440399</v>
      </c>
      <c r="AO184" s="479">
        <f t="shared" si="36"/>
        <v>1.0065988849699035</v>
      </c>
      <c r="AP184" s="479">
        <f t="shared" si="37"/>
        <v>1.0161278894405794</v>
      </c>
      <c r="AQ184" s="479">
        <f t="shared" si="38"/>
        <v>1.1155073159842306</v>
      </c>
      <c r="AR184" s="479"/>
      <c r="AS184" s="479">
        <f t="shared" si="39"/>
        <v>0.56608488134140256</v>
      </c>
      <c r="AT184" s="479">
        <f t="shared" si="40"/>
        <v>0.435063077893382</v>
      </c>
      <c r="AU184" s="479">
        <f t="shared" si="41"/>
        <v>0.40549413127680195</v>
      </c>
      <c r="AV184" s="479">
        <f t="shared" si="42"/>
        <v>0.39776981029252217</v>
      </c>
      <c r="AW184" s="479">
        <f t="shared" si="43"/>
        <v>0.38646590063227465</v>
      </c>
      <c r="AX184" s="479">
        <f t="shared" si="44"/>
        <v>0.36141357757445147</v>
      </c>
      <c r="AY184" s="479">
        <f t="shared" si="45"/>
        <v>0.4123025570856263</v>
      </c>
      <c r="AZ184" s="479">
        <f t="shared" si="46"/>
        <v>0.37298837839475796</v>
      </c>
      <c r="BA184" s="479">
        <f t="shared" si="47"/>
        <v>0.43231681789344234</v>
      </c>
      <c r="BB184" s="479">
        <f t="shared" si="48"/>
        <v>0.42978200229024216</v>
      </c>
      <c r="BC184" s="479">
        <f t="shared" si="49"/>
        <v>0.54128214387967721</v>
      </c>
      <c r="BD184" s="479">
        <f t="shared" si="50"/>
        <v>0.57743150249079578</v>
      </c>
    </row>
    <row r="185" spans="1:56" ht="15">
      <c r="A185" s="63" t="str">
        <f>VLOOKUP(CONCATENATE($C185," - ",$B185),[2]ACHIEV!$B$12:$C$100,2,FALSE)</f>
        <v>LO20Fast</v>
      </c>
      <c r="B185" s="63" t="str">
        <f>'SC-NR (2)'!$C$7</f>
        <v>NR</v>
      </c>
      <c r="C185" s="63" t="str">
        <f>'SC-NR (2)'!$C$8</f>
        <v>Lighting</v>
      </c>
      <c r="D185" s="63" t="s">
        <v>795</v>
      </c>
      <c r="E185" s="63" t="str">
        <f>'SC-NR (2)'!$A$9</f>
        <v>Lighting</v>
      </c>
      <c r="F185" s="478">
        <f t="shared" si="26"/>
        <v>1.962157373850039E-3</v>
      </c>
      <c r="G185" s="71">
        <f>'SC-NR (2)'!A83</f>
        <v>7.5107020440195642</v>
      </c>
      <c r="H185" s="71">
        <f>'SC-NR (2)'!B83</f>
        <v>253.66864707291808</v>
      </c>
      <c r="I185" s="1" t="str">
        <f>'SC-NR (2)'!C83</f>
        <v>Single Family</v>
      </c>
      <c r="J185" s="1" t="str">
        <f>'SC-NR (2)'!D83</f>
        <v>2017 - LEDDecorative and Mini-Base1440 to 2600 lumensANY</v>
      </c>
      <c r="K185" s="37">
        <f>'SC-NR (2)'!E83</f>
        <v>0</v>
      </c>
      <c r="L185" s="37">
        <f>'SC-NR (2)'!F83</f>
        <v>3.9566400751658631E-3</v>
      </c>
      <c r="M185" s="37">
        <f>'SC-NR (2)'!G83</f>
        <v>5.0738097502009078E-3</v>
      </c>
      <c r="N185" s="37">
        <f>'SC-NR (2)'!H83</f>
        <v>5.9373465307538736E-3</v>
      </c>
      <c r="O185" s="37">
        <f>'SC-NR (2)'!I83</f>
        <v>6.6888062398137108E-3</v>
      </c>
      <c r="P185" s="37">
        <f>'SC-NR (2)'!J83</f>
        <v>7.334044908078978E-3</v>
      </c>
      <c r="Q185" s="37">
        <f>'SC-NR (2)'!K83</f>
        <v>7.8818817296319489E-3</v>
      </c>
      <c r="R185" s="37">
        <f>'SC-NR (2)'!L83</f>
        <v>8.3424865461165197E-3</v>
      </c>
      <c r="S185" s="37">
        <f>'SC-NR (2)'!M83</f>
        <v>9.778473751572125E-3</v>
      </c>
      <c r="T185" s="37">
        <f>'SC-NR (2)'!N83</f>
        <v>9.9192944875869053E-3</v>
      </c>
      <c r="U185" s="37">
        <f>'SC-NR (2)'!O83</f>
        <v>1.0044717734409713E-2</v>
      </c>
      <c r="V185" s="37">
        <f>'SC-NR (2)'!P83</f>
        <v>1.0145850407522004E-2</v>
      </c>
      <c r="W185" s="37">
        <f>'SC-NR (2)'!Q83</f>
        <v>1.0210764878926155E-2</v>
      </c>
      <c r="X185" s="37">
        <f>'SC-NR (2)'!R83</f>
        <v>1.0237087960763518E-2</v>
      </c>
      <c r="Y185" s="37">
        <f>'SC-NR (2)'!S83</f>
        <v>1.0254742515628076E-2</v>
      </c>
      <c r="Z185" s="37">
        <f>'SC-NR (2)'!T83</f>
        <v>1.026719643672634E-2</v>
      </c>
      <c r="AA185" s="37">
        <f>'SC-NR (2)'!U83</f>
        <v>1.0266260124691213E-2</v>
      </c>
      <c r="AB185" s="37">
        <f>'SC-NR (2)'!V83</f>
        <v>1.0266024856132776E-2</v>
      </c>
      <c r="AC185" s="37">
        <f>'SC-NR (2)'!W83</f>
        <v>1.0255995161314044E-2</v>
      </c>
      <c r="AD185" s="37">
        <f>'SC-NR (2)'!X83</f>
        <v>1.0237934636302248E-2</v>
      </c>
      <c r="AE185" s="37">
        <f>'SC-NR (2)'!Y83</f>
        <v>8.7633267312969346E-2</v>
      </c>
      <c r="AF185" s="479">
        <f t="shared" si="27"/>
        <v>0.53738152147667351</v>
      </c>
      <c r="AG185" s="479">
        <f t="shared" si="28"/>
        <v>0.42740888209933781</v>
      </c>
      <c r="AH185" s="479">
        <f t="shared" si="29"/>
        <v>0.43181914969377672</v>
      </c>
      <c r="AI185" s="479">
        <f t="shared" si="30"/>
        <v>0.35218024506915513</v>
      </c>
      <c r="AJ185" s="479">
        <f t="shared" si="31"/>
        <v>0.32069191377993372</v>
      </c>
      <c r="AK185" s="479">
        <f t="shared" si="32"/>
        <v>0.32951792017053727</v>
      </c>
      <c r="AL185" s="479">
        <f t="shared" si="33"/>
        <v>0.27194797645907187</v>
      </c>
      <c r="AM185" s="479">
        <f t="shared" si="34"/>
        <v>0.31019785376619841</v>
      </c>
      <c r="AN185" s="479">
        <f t="shared" si="35"/>
        <v>0.34157469226499099</v>
      </c>
      <c r="AO185" s="479">
        <f t="shared" si="36"/>
        <v>0.49849862919018445</v>
      </c>
      <c r="AP185" s="479">
        <f t="shared" si="37"/>
        <v>0.50321768435416969</v>
      </c>
      <c r="AQ185" s="479">
        <f t="shared" si="38"/>
        <v>0.5524334232561634</v>
      </c>
      <c r="AR185" s="479"/>
      <c r="AS185" s="479">
        <f t="shared" si="39"/>
        <v>0.28034258885793889</v>
      </c>
      <c r="AT185" s="479">
        <f t="shared" si="40"/>
        <v>0.21545657478807742</v>
      </c>
      <c r="AU185" s="479">
        <f t="shared" si="41"/>
        <v>0.20081312586810013</v>
      </c>
      <c r="AV185" s="479">
        <f t="shared" si="42"/>
        <v>0.19698780529643709</v>
      </c>
      <c r="AW185" s="479">
        <f t="shared" si="43"/>
        <v>0.19138976266569091</v>
      </c>
      <c r="AX185" s="479">
        <f t="shared" si="44"/>
        <v>0.17898308420734163</v>
      </c>
      <c r="AY185" s="479">
        <f t="shared" si="45"/>
        <v>0.20418486706841296</v>
      </c>
      <c r="AZ185" s="479">
        <f t="shared" si="46"/>
        <v>0.18471528044581126</v>
      </c>
      <c r="BA185" s="479">
        <f t="shared" si="47"/>
        <v>0.21409654263841862</v>
      </c>
      <c r="BB185" s="479">
        <f t="shared" si="48"/>
        <v>0.21284122423670696</v>
      </c>
      <c r="BC185" s="479">
        <f t="shared" si="49"/>
        <v>0.26805951283883145</v>
      </c>
      <c r="BD185" s="479">
        <f t="shared" si="50"/>
        <v>0.28596178352760315</v>
      </c>
    </row>
    <row r="186" spans="1:56" ht="15">
      <c r="A186" s="63" t="str">
        <f>VLOOKUP(CONCATENATE($C186," - ",$B186),[2]ACHIEV!$B$12:$C$100,2,FALSE)</f>
        <v>LO20Fast</v>
      </c>
      <c r="B186" s="63" t="str">
        <f>'SC-NR (2)'!$C$7</f>
        <v>NR</v>
      </c>
      <c r="C186" s="63" t="str">
        <f>'SC-NR (2)'!$C$8</f>
        <v>Lighting</v>
      </c>
      <c r="D186" s="63" t="s">
        <v>795</v>
      </c>
      <c r="E186" s="63" t="str">
        <f>'SC-NR (2)'!$A$9</f>
        <v>Lighting</v>
      </c>
      <c r="F186" s="478">
        <f t="shared" si="26"/>
        <v>5.0185805390402609E-4</v>
      </c>
      <c r="G186" s="71">
        <f>'SC-NR (2)'!A84</f>
        <v>1.9210010172979759</v>
      </c>
      <c r="H186" s="71">
        <f>'SC-NR (2)'!B84</f>
        <v>19.879331870717266</v>
      </c>
      <c r="I186" s="1" t="str">
        <f>'SC-NR (2)'!C84</f>
        <v>Single Family</v>
      </c>
      <c r="J186" s="1" t="str">
        <f>'SC-NR (2)'!D84</f>
        <v>2017 - LEDGeneral Purpose and Dimmable250 to 664 lumensANY</v>
      </c>
      <c r="K186" s="37">
        <f>'SC-NR (2)'!E84</f>
        <v>0</v>
      </c>
      <c r="L186" s="37">
        <f>'SC-NR (2)'!F84</f>
        <v>0.15682633361228468</v>
      </c>
      <c r="M186" s="37">
        <f>'SC-NR (2)'!G84</f>
        <v>0.20110673840781793</v>
      </c>
      <c r="N186" s="37">
        <f>'SC-NR (2)'!H84</f>
        <v>0.23533408905400996</v>
      </c>
      <c r="O186" s="37">
        <f>'SC-NR (2)'!I84</f>
        <v>0.26511912605267302</v>
      </c>
      <c r="P186" s="37">
        <f>'SC-NR (2)'!J84</f>
        <v>0.2906939604390617</v>
      </c>
      <c r="Q186" s="37">
        <f>'SC-NR (2)'!K84</f>
        <v>0.31240815190196802</v>
      </c>
      <c r="R186" s="37">
        <f>'SC-NR (2)'!L84</f>
        <v>0.33066479472040933</v>
      </c>
      <c r="S186" s="37">
        <f>'SC-NR (2)'!M84</f>
        <v>0.38758192750669468</v>
      </c>
      <c r="T186" s="37">
        <f>'SC-NR (2)'!N84</f>
        <v>0.39316353192514952</v>
      </c>
      <c r="U186" s="37">
        <f>'SC-NR (2)'!O84</f>
        <v>0.39813483777437952</v>
      </c>
      <c r="V186" s="37">
        <f>'SC-NR (2)'!P84</f>
        <v>0.40214335662656386</v>
      </c>
      <c r="W186" s="37">
        <f>'SC-NR (2)'!Q84</f>
        <v>0.40471632216178893</v>
      </c>
      <c r="X186" s="37">
        <f>'SC-NR (2)'!R84</f>
        <v>0.40575967013772457</v>
      </c>
      <c r="Y186" s="37">
        <f>'SC-NR (2)'!S84</f>
        <v>0.40645943030250259</v>
      </c>
      <c r="Z186" s="37">
        <f>'SC-NR (2)'!T84</f>
        <v>0.40695305690179739</v>
      </c>
      <c r="AA186" s="37">
        <f>'SC-NR (2)'!U84</f>
        <v>0.40691594501373157</v>
      </c>
      <c r="AB186" s="37">
        <f>'SC-NR (2)'!V84</f>
        <v>0.40690661985280396</v>
      </c>
      <c r="AC186" s="37">
        <f>'SC-NR (2)'!W84</f>
        <v>0.4065090804669132</v>
      </c>
      <c r="AD186" s="37">
        <f>'SC-NR (2)'!X84</f>
        <v>0.40579322917215166</v>
      </c>
      <c r="AE186" s="37">
        <f>'SC-NR (2)'!Y84</f>
        <v>3.4734531708907426</v>
      </c>
      <c r="AF186" s="479">
        <f t="shared" si="27"/>
        <v>0.13744526721783706</v>
      </c>
      <c r="AG186" s="479">
        <f t="shared" si="28"/>
        <v>0.10931772988768557</v>
      </c>
      <c r="AH186" s="479">
        <f t="shared" si="29"/>
        <v>0.11044573742756919</v>
      </c>
      <c r="AI186" s="479">
        <f t="shared" si="30"/>
        <v>9.0076614021560725E-2</v>
      </c>
      <c r="AJ186" s="479">
        <f t="shared" si="31"/>
        <v>8.2022890669856893E-2</v>
      </c>
      <c r="AK186" s="479">
        <f t="shared" si="32"/>
        <v>8.4280305110698436E-2</v>
      </c>
      <c r="AL186" s="479">
        <f t="shared" si="33"/>
        <v>6.955572679733403E-2</v>
      </c>
      <c r="AM186" s="479">
        <f t="shared" si="34"/>
        <v>7.9338840651120859E-2</v>
      </c>
      <c r="AN186" s="479">
        <f t="shared" si="35"/>
        <v>8.7364047658735955E-2</v>
      </c>
      <c r="AO186" s="479">
        <f t="shared" si="36"/>
        <v>0.12750024807048468</v>
      </c>
      <c r="AP186" s="479">
        <f t="shared" si="37"/>
        <v>0.12870723374473589</v>
      </c>
      <c r="AQ186" s="479">
        <f t="shared" si="38"/>
        <v>0.14129506960131633</v>
      </c>
      <c r="AR186" s="479"/>
      <c r="AS186" s="479">
        <f t="shared" si="39"/>
        <v>7.1702804242762208E-2</v>
      </c>
      <c r="AT186" s="479">
        <f t="shared" si="40"/>
        <v>5.5107005566942716E-2</v>
      </c>
      <c r="AU186" s="479">
        <f t="shared" si="41"/>
        <v>5.1361672559833739E-2</v>
      </c>
      <c r="AV186" s="479">
        <f t="shared" si="42"/>
        <v>5.0383276044223477E-2</v>
      </c>
      <c r="AW186" s="479">
        <f t="shared" si="43"/>
        <v>4.8951473061557747E-2</v>
      </c>
      <c r="AX186" s="479">
        <f t="shared" si="44"/>
        <v>4.5778235486682146E-2</v>
      </c>
      <c r="AY186" s="479">
        <f t="shared" si="45"/>
        <v>5.2224057758701252E-2</v>
      </c>
      <c r="AZ186" s="479">
        <f t="shared" si="46"/>
        <v>4.7244350736749853E-2</v>
      </c>
      <c r="BA186" s="479">
        <f t="shared" si="47"/>
        <v>5.4759152180170065E-2</v>
      </c>
      <c r="BB186" s="479">
        <f t="shared" si="48"/>
        <v>5.4438081271939699E-2</v>
      </c>
      <c r="BC186" s="479">
        <f t="shared" si="49"/>
        <v>6.8561180278722517E-2</v>
      </c>
      <c r="BD186" s="479">
        <f t="shared" si="50"/>
        <v>7.3140017250754669E-2</v>
      </c>
    </row>
    <row r="187" spans="1:56" ht="15">
      <c r="A187" s="63" t="str">
        <f>VLOOKUP(CONCATENATE($C187," - ",$B187),[2]ACHIEV!$B$12:$C$100,2,FALSE)</f>
        <v>LO20Fast</v>
      </c>
      <c r="B187" s="63" t="str">
        <f>'SC-NR (2)'!$C$7</f>
        <v>NR</v>
      </c>
      <c r="C187" s="63" t="str">
        <f>'SC-NR (2)'!$C$8</f>
        <v>Lighting</v>
      </c>
      <c r="D187" s="63" t="s">
        <v>795</v>
      </c>
      <c r="E187" s="63" t="str">
        <f>'SC-NR (2)'!$A$9</f>
        <v>Lighting</v>
      </c>
      <c r="F187" s="478">
        <f t="shared" si="26"/>
        <v>1.9587879633994761E-3</v>
      </c>
      <c r="G187" s="71">
        <f>'SC-NR (2)'!A85</f>
        <v>7.4978046901704554</v>
      </c>
      <c r="H187" s="71">
        <f>'SC-NR (2)'!B85</f>
        <v>38.047469279788793</v>
      </c>
      <c r="I187" t="str">
        <f>'SC-NR (2)'!C85</f>
        <v>Single Family</v>
      </c>
      <c r="J187" t="str">
        <f>'SC-NR (2)'!D85</f>
        <v>2017 - LEDGeneral Purpose and Dimmable665 to 1439 lumensANY</v>
      </c>
      <c r="K187" s="42">
        <f>'SC-NR (2)'!E85</f>
        <v>0</v>
      </c>
      <c r="L187" s="42">
        <f>'SC-NR (2)'!F85</f>
        <v>4.7232812400652602</v>
      </c>
      <c r="M187" s="42">
        <f>'SC-NR (2)'!G85</f>
        <v>6.0569144409172804</v>
      </c>
      <c r="N187" s="42">
        <f>'SC-NR (2)'!H85</f>
        <v>7.0877706720141154</v>
      </c>
      <c r="O187" s="42">
        <f>'SC-NR (2)'!I85</f>
        <v>7.9848337050519209</v>
      </c>
      <c r="P187" s="42">
        <f>'SC-NR (2)'!J85</f>
        <v>8.755094239061771</v>
      </c>
      <c r="Q187" s="42">
        <f>'SC-NR (2)'!K85</f>
        <v>9.4090802809308052</v>
      </c>
      <c r="R187" s="42">
        <f>'SC-NR (2)'!L85</f>
        <v>9.9589321874613912</v>
      </c>
      <c r="S187" s="42">
        <f>'SC-NR (2)'!M85</f>
        <v>11.673157211636196</v>
      </c>
      <c r="T187" s="42">
        <f>'SC-NR (2)'!N85</f>
        <v>11.841263465426014</v>
      </c>
      <c r="U187" s="42">
        <f>'SC-NR (2)'!O85</f>
        <v>11.990988802462493</v>
      </c>
      <c r="V187" s="42">
        <f>'SC-NR (2)'!P85</f>
        <v>12.11171700836303</v>
      </c>
      <c r="W187" s="42">
        <f>'SC-NR (2)'!Q85</f>
        <v>12.189209350139688</v>
      </c>
      <c r="X187" s="42">
        <f>'SC-NR (2)'!R85</f>
        <v>12.22063280950449</v>
      </c>
      <c r="Y187" s="42">
        <f>'SC-NR (2)'!S85</f>
        <v>12.24170812244914</v>
      </c>
      <c r="Z187" s="42">
        <f>'SC-NR (2)'!T85</f>
        <v>12.256575123432601</v>
      </c>
      <c r="AA187" s="42">
        <f>'SC-NR (2)'!U85</f>
        <v>12.255457390966077</v>
      </c>
      <c r="AB187" s="42">
        <f>'SC-NR (2)'!V85</f>
        <v>12.255176536618112</v>
      </c>
      <c r="AC187" s="42">
        <f>'SC-NR (2)'!W85</f>
        <v>12.243203481581277</v>
      </c>
      <c r="AD187" s="42">
        <f>'SC-NR (2)'!X85</f>
        <v>12.221643537448532</v>
      </c>
      <c r="AE187" s="42">
        <f>'SC-NR (2)'!Y85</f>
        <v>104.61314641757524</v>
      </c>
      <c r="AF187" s="479">
        <f t="shared" si="27"/>
        <v>0.53645873162376279</v>
      </c>
      <c r="AG187" s="479">
        <f t="shared" si="28"/>
        <v>0.42667493691573455</v>
      </c>
      <c r="AH187" s="479">
        <f t="shared" si="29"/>
        <v>0.43107763121257736</v>
      </c>
      <c r="AI187" s="479">
        <f t="shared" si="30"/>
        <v>0.35157548226366747</v>
      </c>
      <c r="AJ187" s="479">
        <f t="shared" si="31"/>
        <v>0.32014122263757089</v>
      </c>
      <c r="AK187" s="479">
        <f t="shared" si="32"/>
        <v>0.32895207303785196</v>
      </c>
      <c r="AL187" s="479">
        <f t="shared" si="33"/>
        <v>0.27148098825205935</v>
      </c>
      <c r="AM187" s="479">
        <f t="shared" si="34"/>
        <v>0.30966518299057599</v>
      </c>
      <c r="AN187" s="479">
        <f t="shared" si="35"/>
        <v>0.34098814128131166</v>
      </c>
      <c r="AO187" s="479">
        <f t="shared" si="36"/>
        <v>0.49764260891720863</v>
      </c>
      <c r="AP187" s="479">
        <f t="shared" si="37"/>
        <v>0.50235356053455782</v>
      </c>
      <c r="AQ187" s="479">
        <f t="shared" si="38"/>
        <v>0.55148478632501485</v>
      </c>
      <c r="AR187" s="479"/>
      <c r="AS187" s="479">
        <f t="shared" si="39"/>
        <v>0.27986118544900518</v>
      </c>
      <c r="AT187" s="479">
        <f t="shared" si="40"/>
        <v>0.21508659343774925</v>
      </c>
      <c r="AU187" s="479">
        <f t="shared" si="41"/>
        <v>0.20046829020204826</v>
      </c>
      <c r="AV187" s="479">
        <f t="shared" si="42"/>
        <v>0.19664953845879962</v>
      </c>
      <c r="AW187" s="479">
        <f t="shared" si="43"/>
        <v>0.19106110876919372</v>
      </c>
      <c r="AX187" s="479">
        <f t="shared" si="44"/>
        <v>0.17867573501994241</v>
      </c>
      <c r="AY187" s="479">
        <f t="shared" si="45"/>
        <v>0.20383424145901183</v>
      </c>
      <c r="AZ187" s="479">
        <f t="shared" si="46"/>
        <v>0.18439808794911994</v>
      </c>
      <c r="BA187" s="479">
        <f t="shared" si="47"/>
        <v>0.21372889673100612</v>
      </c>
      <c r="BB187" s="479">
        <f t="shared" si="48"/>
        <v>0.21247573395809255</v>
      </c>
      <c r="BC187" s="479">
        <f t="shared" si="49"/>
        <v>0.26759920188927711</v>
      </c>
      <c r="BD187" s="479">
        <f t="shared" si="50"/>
        <v>0.28547073085531477</v>
      </c>
    </row>
    <row r="188" spans="1:56" ht="15">
      <c r="A188" s="63" t="str">
        <f>VLOOKUP(CONCATENATE($C188," - ",$B188),[2]ACHIEV!$B$12:$C$100,2,FALSE)</f>
        <v>LO20Fast</v>
      </c>
      <c r="B188" s="63" t="str">
        <f>'SC-NR (2)'!$C$7</f>
        <v>NR</v>
      </c>
      <c r="C188" s="63" t="str">
        <f>'SC-NR (2)'!$C$8</f>
        <v>Lighting</v>
      </c>
      <c r="D188" s="63" t="s">
        <v>795</v>
      </c>
      <c r="E188" s="63" t="str">
        <f>'SC-NR (2)'!$A$9</f>
        <v>Lighting</v>
      </c>
      <c r="F188" s="478">
        <f t="shared" si="26"/>
        <v>3.659906529973458E-3</v>
      </c>
      <c r="G188" s="71">
        <f>'SC-NR (2)'!A86</f>
        <v>14.009308234872018</v>
      </c>
      <c r="H188" s="71">
        <f>'SC-NR (2)'!B86</f>
        <v>64.372768585347757</v>
      </c>
      <c r="I188" t="str">
        <f>'SC-NR (2)'!C86</f>
        <v>Single Family</v>
      </c>
      <c r="J188" t="str">
        <f>'SC-NR (2)'!D86</f>
        <v>2017 - LEDGeneral Purpose and Dimmable1440 to 2600 lumensANY</v>
      </c>
      <c r="K188" s="42">
        <f>'SC-NR (2)'!E86</f>
        <v>0</v>
      </c>
      <c r="L188" s="42">
        <f>'SC-NR (2)'!F86</f>
        <v>0.87988743601869723</v>
      </c>
      <c r="M188" s="42">
        <f>'SC-NR (2)'!G86</f>
        <v>1.1283263999603996</v>
      </c>
      <c r="N188" s="42">
        <f>'SC-NR (2)'!H86</f>
        <v>1.3203618515845248</v>
      </c>
      <c r="O188" s="42">
        <f>'SC-NR (2)'!I86</f>
        <v>1.4874733259958786</v>
      </c>
      <c r="P188" s="42">
        <f>'SC-NR (2)'!J86</f>
        <v>1.6309631018295436</v>
      </c>
      <c r="Q188" s="42">
        <f>'SC-NR (2)'!K86</f>
        <v>1.7527924133452413</v>
      </c>
      <c r="R188" s="42">
        <f>'SC-NR (2)'!L86</f>
        <v>1.8552228551582943</v>
      </c>
      <c r="S188" s="42">
        <f>'SC-NR (2)'!M86</f>
        <v>2.1745612524753719</v>
      </c>
      <c r="T188" s="42">
        <f>'SC-NR (2)'!N86</f>
        <v>2.2058773171151698</v>
      </c>
      <c r="U188" s="42">
        <f>'SC-NR (2)'!O86</f>
        <v>2.2337692499085353</v>
      </c>
      <c r="V188" s="42">
        <f>'SC-NR (2)'!P86</f>
        <v>2.2562593846572114</v>
      </c>
      <c r="W188" s="42">
        <f>'SC-NR (2)'!Q86</f>
        <v>2.2706952258556075</v>
      </c>
      <c r="X188" s="42">
        <f>'SC-NR (2)'!R86</f>
        <v>2.2765490181000332</v>
      </c>
      <c r="Y188" s="42">
        <f>'SC-NR (2)'!S86</f>
        <v>2.2804750818103328</v>
      </c>
      <c r="Z188" s="42">
        <f>'SC-NR (2)'!T86</f>
        <v>2.2832446156813337</v>
      </c>
      <c r="AA188" s="42">
        <f>'SC-NR (2)'!U86</f>
        <v>2.2830363962880478</v>
      </c>
      <c r="AB188" s="42">
        <f>'SC-NR (2)'!V86</f>
        <v>2.2829840766823404</v>
      </c>
      <c r="AC188" s="42">
        <f>'SC-NR (2)'!W86</f>
        <v>2.2807536482656907</v>
      </c>
      <c r="AD188" s="42">
        <f>'SC-NR (2)'!X86</f>
        <v>2.2767373039068692</v>
      </c>
      <c r="AE188" s="42">
        <f>'SC-NR (2)'!Y86</f>
        <v>19.488103396091024</v>
      </c>
      <c r="AF188" s="479">
        <f t="shared" si="27"/>
        <v>1.0023488257113993</v>
      </c>
      <c r="AG188" s="479">
        <f t="shared" si="28"/>
        <v>0.79722278111397538</v>
      </c>
      <c r="AH188" s="479">
        <f t="shared" si="29"/>
        <v>0.80544901586095996</v>
      </c>
      <c r="AI188" s="479">
        <f t="shared" si="30"/>
        <v>0.65690285388635883</v>
      </c>
      <c r="AJ188" s="479">
        <f t="shared" si="31"/>
        <v>0.59816936449388325</v>
      </c>
      <c r="AK188" s="479">
        <f t="shared" si="32"/>
        <v>0.61463203912592634</v>
      </c>
      <c r="AL188" s="479">
        <f t="shared" si="33"/>
        <v>0.50724992200941221</v>
      </c>
      <c r="AM188" s="479">
        <f t="shared" si="34"/>
        <v>0.57859535922699556</v>
      </c>
      <c r="AN188" s="479">
        <f t="shared" si="35"/>
        <v>0.63712088711894432</v>
      </c>
      <c r="AO188" s="479">
        <f t="shared" si="36"/>
        <v>0.92982265972689038</v>
      </c>
      <c r="AP188" s="479">
        <f t="shared" si="37"/>
        <v>0.93862485930585982</v>
      </c>
      <c r="AQ188" s="479">
        <f t="shared" si="38"/>
        <v>1.0304243278833694</v>
      </c>
      <c r="AR188" s="479"/>
      <c r="AS188" s="479">
        <f t="shared" si="39"/>
        <v>0.52290794064984647</v>
      </c>
      <c r="AT188" s="479">
        <f t="shared" si="40"/>
        <v>0.40187955130497377</v>
      </c>
      <c r="AU188" s="479">
        <f t="shared" si="41"/>
        <v>0.37456591426555569</v>
      </c>
      <c r="AV188" s="479">
        <f t="shared" si="42"/>
        <v>0.36743074971348882</v>
      </c>
      <c r="AW188" s="479">
        <f t="shared" si="43"/>
        <v>0.35698902212711459</v>
      </c>
      <c r="AX188" s="479">
        <f t="shared" si="44"/>
        <v>0.33384751262836426</v>
      </c>
      <c r="AY188" s="479">
        <f t="shared" si="45"/>
        <v>0.38085504163162015</v>
      </c>
      <c r="AZ188" s="479">
        <f t="shared" si="46"/>
        <v>0.34453946971797317</v>
      </c>
      <c r="BA188" s="479">
        <f t="shared" si="47"/>
        <v>0.39934275654434592</v>
      </c>
      <c r="BB188" s="479">
        <f t="shared" si="48"/>
        <v>0.39700127870120755</v>
      </c>
      <c r="BC188" s="479">
        <f t="shared" si="49"/>
        <v>0.49999698012771288</v>
      </c>
      <c r="BD188" s="479">
        <f t="shared" si="50"/>
        <v>0.53338912199583788</v>
      </c>
    </row>
    <row r="189" spans="1:56" ht="15">
      <c r="A189" s="63" t="str">
        <f>VLOOKUP(CONCATENATE($C189," - ",$B189),[2]ACHIEV!$B$12:$C$100,2,FALSE)</f>
        <v>LO20Fast</v>
      </c>
      <c r="B189" s="63" t="str">
        <f>'SC-NR (2)'!$C$7</f>
        <v>NR</v>
      </c>
      <c r="C189" s="63" t="str">
        <f>'SC-NR (2)'!$C$8</f>
        <v>Lighting</v>
      </c>
      <c r="D189" s="63" t="s">
        <v>795</v>
      </c>
      <c r="E189" s="63" t="str">
        <f>'SC-NR (2)'!$A$9</f>
        <v>Lighting</v>
      </c>
      <c r="F189" s="478">
        <f t="shared" si="26"/>
        <v>3.9190405629480479E-3</v>
      </c>
      <c r="G189" s="71">
        <f>'SC-NR (2)'!A87</f>
        <v>15.001215681785107</v>
      </c>
      <c r="H189" s="71">
        <f>'SC-NR (2)'!B87</f>
        <v>-40.723166254238713</v>
      </c>
      <c r="I189" t="str">
        <f>'SC-NR (2)'!C87</f>
        <v>Single Family</v>
      </c>
      <c r="J189" t="str">
        <f>'SC-NR (2)'!D87</f>
        <v>2017 - LEDGlobe250 to 664 lumensANY</v>
      </c>
      <c r="K189" s="42">
        <f>'SC-NR (2)'!E87</f>
        <v>0</v>
      </c>
      <c r="L189" s="42">
        <f>'SC-NR (2)'!F87</f>
        <v>0.80526416871980411</v>
      </c>
      <c r="M189" s="42">
        <f>'SC-NR (2)'!G87</f>
        <v>1.0326330202189784</v>
      </c>
      <c r="N189" s="42">
        <f>'SC-NR (2)'!H87</f>
        <v>1.2083819421680668</v>
      </c>
      <c r="O189" s="42">
        <f>'SC-NR (2)'!I87</f>
        <v>1.3613206898041221</v>
      </c>
      <c r="P189" s="42">
        <f>'SC-NR (2)'!J87</f>
        <v>1.4926410954906881</v>
      </c>
      <c r="Q189" s="42">
        <f>'SC-NR (2)'!K87</f>
        <v>1.6041380611790459</v>
      </c>
      <c r="R189" s="42">
        <f>'SC-NR (2)'!L87</f>
        <v>1.6978813756095956</v>
      </c>
      <c r="S189" s="42">
        <f>'SC-NR (2)'!M87</f>
        <v>1.9901366784235643</v>
      </c>
      <c r="T189" s="42">
        <f>'SC-NR (2)'!N87</f>
        <v>2.0187968271283205</v>
      </c>
      <c r="U189" s="42">
        <f>'SC-NR (2)'!O87</f>
        <v>2.0443232446624386</v>
      </c>
      <c r="V189" s="42">
        <f>'SC-NR (2)'!P87</f>
        <v>2.0649059907290668</v>
      </c>
      <c r="W189" s="42">
        <f>'SC-NR (2)'!Q87</f>
        <v>2.0781175280081947</v>
      </c>
      <c r="X189" s="42">
        <f>'SC-NR (2)'!R87</f>
        <v>2.0834748600402269</v>
      </c>
      <c r="Y189" s="42">
        <f>'SC-NR (2)'!S87</f>
        <v>2.0870679542254571</v>
      </c>
      <c r="Z189" s="42">
        <f>'SC-NR (2)'!T87</f>
        <v>2.0896026038852638</v>
      </c>
      <c r="AA189" s="42">
        <f>'SC-NR (2)'!U87</f>
        <v>2.0894120435819996</v>
      </c>
      <c r="AB189" s="42">
        <f>'SC-NR (2)'!V87</f>
        <v>2.0893641612028757</v>
      </c>
      <c r="AC189" s="42">
        <f>'SC-NR (2)'!W87</f>
        <v>2.0873228954553511</v>
      </c>
      <c r="AD189" s="42">
        <f>'SC-NR (2)'!X87</f>
        <v>2.0836471773248215</v>
      </c>
      <c r="AE189" s="42">
        <f>'SC-NR (2)'!Y87</f>
        <v>17.835317040309874</v>
      </c>
      <c r="AF189" s="479">
        <f t="shared" si="27"/>
        <v>1.0733185872412989</v>
      </c>
      <c r="AG189" s="479">
        <f t="shared" si="28"/>
        <v>0.85366890965780484</v>
      </c>
      <c r="AH189" s="479">
        <f t="shared" si="29"/>
        <v>0.86247759025927351</v>
      </c>
      <c r="AI189" s="479">
        <f t="shared" si="30"/>
        <v>0.70341384655953076</v>
      </c>
      <c r="AJ189" s="479">
        <f t="shared" si="31"/>
        <v>0.64052182310278416</v>
      </c>
      <c r="AK189" s="479">
        <f t="shared" si="32"/>
        <v>0.65815011200284546</v>
      </c>
      <c r="AL189" s="479">
        <f t="shared" si="33"/>
        <v>0.54316496982275031</v>
      </c>
      <c r="AM189" s="479">
        <f t="shared" si="34"/>
        <v>0.61956191060445931</v>
      </c>
      <c r="AN189" s="479">
        <f t="shared" si="35"/>
        <v>0.68223124816761238</v>
      </c>
      <c r="AO189" s="479">
        <f t="shared" si="36"/>
        <v>0.99565731801471724</v>
      </c>
      <c r="AP189" s="479">
        <f t="shared" si="37"/>
        <v>1.0050827437491268</v>
      </c>
      <c r="AQ189" s="479">
        <f t="shared" si="38"/>
        <v>1.1033819320114413</v>
      </c>
      <c r="AR189" s="479"/>
      <c r="AS189" s="479">
        <f t="shared" si="39"/>
        <v>0.55993163030566262</v>
      </c>
      <c r="AT189" s="479">
        <f t="shared" si="40"/>
        <v>0.43033401265440924</v>
      </c>
      <c r="AU189" s="479">
        <f t="shared" si="41"/>
        <v>0.40108647570162925</v>
      </c>
      <c r="AV189" s="479">
        <f t="shared" si="42"/>
        <v>0.39344611683621805</v>
      </c>
      <c r="AW189" s="479">
        <f t="shared" si="43"/>
        <v>0.38226507884436772</v>
      </c>
      <c r="AX189" s="479">
        <f t="shared" si="44"/>
        <v>0.35748507048330508</v>
      </c>
      <c r="AY189" s="479">
        <f t="shared" si="45"/>
        <v>0.40782089502389868</v>
      </c>
      <c r="AZ189" s="479">
        <f t="shared" si="46"/>
        <v>0.36893405509214999</v>
      </c>
      <c r="BA189" s="479">
        <f t="shared" si="47"/>
        <v>0.42761760405616928</v>
      </c>
      <c r="BB189" s="479">
        <f t="shared" si="48"/>
        <v>0.42511034148829985</v>
      </c>
      <c r="BC189" s="479">
        <f t="shared" si="49"/>
        <v>0.53539849458566535</v>
      </c>
      <c r="BD189" s="479">
        <f t="shared" si="50"/>
        <v>0.57115491551968489</v>
      </c>
    </row>
    <row r="190" spans="1:56" ht="15">
      <c r="A190" s="63" t="str">
        <f>VLOOKUP(CONCATENATE($C190," - ",$B190),[2]ACHIEV!$B$12:$C$100,2,FALSE)</f>
        <v>LO20Fast</v>
      </c>
      <c r="B190" s="63" t="str">
        <f>'SC-NR (2)'!$C$7</f>
        <v>NR</v>
      </c>
      <c r="C190" s="63" t="str">
        <f>'SC-NR (2)'!$C$8</f>
        <v>Lighting</v>
      </c>
      <c r="D190" s="63" t="s">
        <v>795</v>
      </c>
      <c r="E190" s="63" t="str">
        <f>'SC-NR (2)'!$A$9</f>
        <v>Lighting</v>
      </c>
      <c r="F190" s="478">
        <f t="shared" si="26"/>
        <v>2.6990998985958756E-3</v>
      </c>
      <c r="G190" s="71">
        <f>'SC-NR (2)'!A88</f>
        <v>10.331554133000125</v>
      </c>
      <c r="H190" s="71">
        <f>'SC-NR (2)'!B88</f>
        <v>-97.483290128606981</v>
      </c>
      <c r="I190" t="str">
        <f>'SC-NR (2)'!C88</f>
        <v>Single Family</v>
      </c>
      <c r="J190" t="str">
        <f>'SC-NR (2)'!D88</f>
        <v>2017 - LEDGlobe665 to 1439 lumensANY</v>
      </c>
      <c r="K190" s="42">
        <f>'SC-NR (2)'!E88</f>
        <v>0</v>
      </c>
      <c r="L190" s="42">
        <f>'SC-NR (2)'!F88</f>
        <v>0.33817912299227032</v>
      </c>
      <c r="M190" s="42">
        <f>'SC-NR (2)'!G88</f>
        <v>0.43366505392347171</v>
      </c>
      <c r="N190" s="42">
        <f>'SC-NR (2)'!H88</f>
        <v>0.50747265470877412</v>
      </c>
      <c r="O190" s="42">
        <f>'SC-NR (2)'!I88</f>
        <v>0.57170088384918416</v>
      </c>
      <c r="P190" s="42">
        <f>'SC-NR (2)'!J88</f>
        <v>0.62685026383050624</v>
      </c>
      <c r="Q190" s="42">
        <f>'SC-NR (2)'!K88</f>
        <v>0.67367458252921653</v>
      </c>
      <c r="R190" s="42">
        <f>'SC-NR (2)'!L88</f>
        <v>0.71304306940838713</v>
      </c>
      <c r="S190" s="42">
        <f>'SC-NR (2)'!M88</f>
        <v>0.83577874527062523</v>
      </c>
      <c r="T190" s="42">
        <f>'SC-NR (2)'!N88</f>
        <v>0.84781487494122909</v>
      </c>
      <c r="U190" s="42">
        <f>'SC-NR (2)'!O88</f>
        <v>0.85853496138012553</v>
      </c>
      <c r="V190" s="42">
        <f>'SC-NR (2)'!P88</f>
        <v>0.86717890120008645</v>
      </c>
      <c r="W190" s="42">
        <f>'SC-NR (2)'!Q88</f>
        <v>0.87272722467452879</v>
      </c>
      <c r="X190" s="42">
        <f>'SC-NR (2)'!R88</f>
        <v>0.87497709238073917</v>
      </c>
      <c r="Y190" s="42">
        <f>'SC-NR (2)'!S88</f>
        <v>0.87648604992236356</v>
      </c>
      <c r="Z190" s="42">
        <f>'SC-NR (2)'!T88</f>
        <v>0.87755050259807221</v>
      </c>
      <c r="AA190" s="42">
        <f>'SC-NR (2)'!U88</f>
        <v>0.87747047480255091</v>
      </c>
      <c r="AB190" s="42">
        <f>'SC-NR (2)'!V88</f>
        <v>0.87745036609585825</v>
      </c>
      <c r="AC190" s="42">
        <f>'SC-NR (2)'!W88</f>
        <v>0.87659311516242899</v>
      </c>
      <c r="AD190" s="42">
        <f>'SC-NR (2)'!X88</f>
        <v>0.87504945882947005</v>
      </c>
      <c r="AE190" s="42">
        <f>'SC-NR (2)'!Y88</f>
        <v>7.4901282203701163</v>
      </c>
      <c r="AF190" s="479">
        <f t="shared" si="27"/>
        <v>0.73921002945803449</v>
      </c>
      <c r="AG190" s="479">
        <f t="shared" si="28"/>
        <v>0.58793412073249252</v>
      </c>
      <c r="AH190" s="479">
        <f t="shared" si="29"/>
        <v>0.59400078642178622</v>
      </c>
      <c r="AI190" s="479">
        <f t="shared" si="30"/>
        <v>0.48445128633513773</v>
      </c>
      <c r="AJ190" s="479">
        <f t="shared" si="31"/>
        <v>0.44113664046505252</v>
      </c>
      <c r="AK190" s="479">
        <f t="shared" si="32"/>
        <v>0.4532774979066459</v>
      </c>
      <c r="AL190" s="479">
        <f t="shared" si="33"/>
        <v>0.37408556799080311</v>
      </c>
      <c r="AM190" s="479">
        <f t="shared" si="34"/>
        <v>0.42670124568152651</v>
      </c>
      <c r="AN190" s="479">
        <f t="shared" si="35"/>
        <v>0.46986252455702143</v>
      </c>
      <c r="AO190" s="479">
        <f t="shared" si="36"/>
        <v>0.68572359048721321</v>
      </c>
      <c r="AP190" s="479">
        <f t="shared" si="37"/>
        <v>0.69221501746668568</v>
      </c>
      <c r="AQ190" s="479">
        <f t="shared" si="38"/>
        <v>0.75991508966784882</v>
      </c>
      <c r="AR190" s="479"/>
      <c r="AS190" s="479">
        <f t="shared" si="39"/>
        <v>0.38563300948377344</v>
      </c>
      <c r="AT190" s="479">
        <f t="shared" si="40"/>
        <v>0.29637725643853452</v>
      </c>
      <c r="AU190" s="479">
        <f t="shared" si="41"/>
        <v>0.27623405486777952</v>
      </c>
      <c r="AV190" s="479">
        <f t="shared" si="42"/>
        <v>0.27097202925012304</v>
      </c>
      <c r="AW190" s="479">
        <f t="shared" si="43"/>
        <v>0.26327148672567968</v>
      </c>
      <c r="AX190" s="479">
        <f t="shared" si="44"/>
        <v>0.24620513668917057</v>
      </c>
      <c r="AY190" s="479">
        <f t="shared" si="45"/>
        <v>0.28087214682367551</v>
      </c>
      <c r="AZ190" s="479">
        <f t="shared" si="46"/>
        <v>0.25409021792280639</v>
      </c>
      <c r="BA190" s="479">
        <f t="shared" si="47"/>
        <v>0.29450642656211723</v>
      </c>
      <c r="BB190" s="479">
        <f t="shared" si="48"/>
        <v>0.29277963858072437</v>
      </c>
      <c r="BC190" s="479">
        <f t="shared" si="49"/>
        <v>0.36873668420453914</v>
      </c>
      <c r="BD190" s="479">
        <f t="shared" si="50"/>
        <v>0.39336264828095202</v>
      </c>
    </row>
    <row r="191" spans="1:56" ht="15">
      <c r="A191" s="63" t="str">
        <f>VLOOKUP(CONCATENATE($C191," - ",$B191),[2]ACHIEV!$B$12:$C$100,2,FALSE)</f>
        <v>LO20Fast</v>
      </c>
      <c r="B191" s="63" t="str">
        <f>'SC-NR (2)'!$C$7</f>
        <v>NR</v>
      </c>
      <c r="C191" s="63" t="str">
        <f>'SC-NR (2)'!$C$8</f>
        <v>Lighting</v>
      </c>
      <c r="D191" s="63" t="s">
        <v>795</v>
      </c>
      <c r="E191" s="63" t="str">
        <f>'SC-NR (2)'!$A$9</f>
        <v>Lighting</v>
      </c>
      <c r="F191" s="478">
        <f t="shared" si="26"/>
        <v>2.920231287037374E-3</v>
      </c>
      <c r="G191" s="71">
        <f>'SC-NR (2)'!A89</f>
        <v>11.177995908414712</v>
      </c>
      <c r="H191" s="71">
        <f>'SC-NR (2)'!B89</f>
        <v>-118.66739310804593</v>
      </c>
      <c r="I191" t="str">
        <f>'SC-NR (2)'!C89</f>
        <v>Single Family</v>
      </c>
      <c r="J191" t="str">
        <f>'SC-NR (2)'!D89</f>
        <v>2017 - LEDGlobe1440 to 2600 lumensANY</v>
      </c>
      <c r="K191" s="42">
        <f>'SC-NR (2)'!E89</f>
        <v>0</v>
      </c>
      <c r="L191" s="42">
        <f>'SC-NR (2)'!F89</f>
        <v>2.7569763524004802E-2</v>
      </c>
      <c r="M191" s="42">
        <f>'SC-NR (2)'!G89</f>
        <v>3.5354172308171075E-2</v>
      </c>
      <c r="N191" s="42">
        <f>'SC-NR (2)'!H89</f>
        <v>4.1371273783626282E-2</v>
      </c>
      <c r="O191" s="42">
        <f>'SC-NR (2)'!I89</f>
        <v>4.6607425185577769E-2</v>
      </c>
      <c r="P191" s="42">
        <f>'SC-NR (2)'!J89</f>
        <v>5.1103431181238494E-2</v>
      </c>
      <c r="Q191" s="42">
        <f>'SC-NR (2)'!K89</f>
        <v>5.4920743682003323E-2</v>
      </c>
      <c r="R191" s="42">
        <f>'SC-NR (2)'!L89</f>
        <v>5.8130225875797491E-2</v>
      </c>
      <c r="S191" s="42">
        <f>'SC-NR (2)'!M89</f>
        <v>6.8136146789957955E-2</v>
      </c>
      <c r="T191" s="42">
        <f>'SC-NR (2)'!N89</f>
        <v>6.9117381958547566E-2</v>
      </c>
      <c r="U191" s="42">
        <f>'SC-NR (2)'!O89</f>
        <v>6.9991327829192054E-2</v>
      </c>
      <c r="V191" s="42">
        <f>'SC-NR (2)'!P89</f>
        <v>7.0696017623888524E-2</v>
      </c>
      <c r="W191" s="42">
        <f>'SC-NR (2)'!Q89</f>
        <v>7.1148339945833139E-2</v>
      </c>
      <c r="X191" s="42">
        <f>'SC-NR (2)'!R89</f>
        <v>7.1331758484717747E-2</v>
      </c>
      <c r="Y191" s="42">
        <f>'SC-NR (2)'!S89</f>
        <v>7.1454774956646122E-2</v>
      </c>
      <c r="Z191" s="42">
        <f>'SC-NR (2)'!T89</f>
        <v>7.1541553549872447E-2</v>
      </c>
      <c r="AA191" s="42">
        <f>'SC-NR (2)'!U89</f>
        <v>7.1535029352345569E-2</v>
      </c>
      <c r="AB191" s="42">
        <f>'SC-NR (2)'!V89</f>
        <v>7.1533390007245304E-2</v>
      </c>
      <c r="AC191" s="42">
        <f>'SC-NR (2)'!W89</f>
        <v>7.146350335869571E-2</v>
      </c>
      <c r="AD191" s="42">
        <f>'SC-NR (2)'!X89</f>
        <v>7.1337658097505571E-2</v>
      </c>
      <c r="AE191" s="42">
        <f>'SC-NR (2)'!Y89</f>
        <v>0.61062629169098326</v>
      </c>
      <c r="AF191" s="479">
        <f t="shared" si="27"/>
        <v>0.79977190056512937</v>
      </c>
      <c r="AG191" s="479">
        <f t="shared" si="28"/>
        <v>0.63610228542226255</v>
      </c>
      <c r="AH191" s="479">
        <f t="shared" si="29"/>
        <v>0.64266597984612883</v>
      </c>
      <c r="AI191" s="479">
        <f t="shared" si="30"/>
        <v>0.52414132731335006</v>
      </c>
      <c r="AJ191" s="479">
        <f t="shared" si="31"/>
        <v>0.47727800664760928</v>
      </c>
      <c r="AK191" s="479">
        <f t="shared" si="32"/>
        <v>0.49041353815233252</v>
      </c>
      <c r="AL191" s="479">
        <f t="shared" si="33"/>
        <v>0.40473358553500982</v>
      </c>
      <c r="AM191" s="479">
        <f t="shared" si="34"/>
        <v>0.46165995134349902</v>
      </c>
      <c r="AN191" s="479">
        <f t="shared" si="35"/>
        <v>0.50835733999011201</v>
      </c>
      <c r="AO191" s="479">
        <f t="shared" si="36"/>
        <v>0.74190343389738511</v>
      </c>
      <c r="AP191" s="479">
        <f t="shared" si="37"/>
        <v>0.74892668938075402</v>
      </c>
      <c r="AQ191" s="479">
        <f t="shared" si="38"/>
        <v>0.82217328135735079</v>
      </c>
      <c r="AR191" s="479"/>
      <c r="AS191" s="479">
        <f t="shared" si="39"/>
        <v>0.41722708381217544</v>
      </c>
      <c r="AT191" s="479">
        <f t="shared" si="40"/>
        <v>0.32065880090927812</v>
      </c>
      <c r="AU191" s="479">
        <f t="shared" si="41"/>
        <v>0.29886531061326499</v>
      </c>
      <c r="AV191" s="479">
        <f t="shared" si="42"/>
        <v>0.29317217867329254</v>
      </c>
      <c r="AW191" s="479">
        <f t="shared" si="43"/>
        <v>0.28484074743625698</v>
      </c>
      <c r="AX191" s="479">
        <f t="shared" si="44"/>
        <v>0.26637618843343092</v>
      </c>
      <c r="AY191" s="479">
        <f t="shared" si="45"/>
        <v>0.30388339136263259</v>
      </c>
      <c r="AZ191" s="479">
        <f t="shared" si="46"/>
        <v>0.27490727723502484</v>
      </c>
      <c r="BA191" s="479">
        <f t="shared" si="47"/>
        <v>0.3186346980071661</v>
      </c>
      <c r="BB191" s="479">
        <f t="shared" si="48"/>
        <v>0.31676643803947591</v>
      </c>
      <c r="BC191" s="479">
        <f t="shared" si="49"/>
        <v>0.3989464793254543</v>
      </c>
      <c r="BD191" s="479">
        <f t="shared" si="50"/>
        <v>0.42558999511633339</v>
      </c>
    </row>
    <row r="192" spans="1:56" ht="15">
      <c r="A192" s="63" t="str">
        <f>VLOOKUP(CONCATENATE($C192," - ",$B192),[2]ACHIEV!$B$12:$C$100,2,FALSE)</f>
        <v>LO20Fast</v>
      </c>
      <c r="B192" s="63" t="str">
        <f>'SC-NR (2)'!$C$7</f>
        <v>NR</v>
      </c>
      <c r="C192" s="63" t="str">
        <f>'SC-NR (2)'!$C$8</f>
        <v>Lighting</v>
      </c>
      <c r="D192" s="63" t="s">
        <v>795</v>
      </c>
      <c r="E192" s="63" t="str">
        <f>'SC-NR (2)'!$A$9</f>
        <v>Lighting</v>
      </c>
      <c r="F192" s="478">
        <f t="shared" si="26"/>
        <v>5.5704529633071051E-3</v>
      </c>
      <c r="G192" s="71">
        <f>'SC-NR (2)'!A90</f>
        <v>21.322455076849025</v>
      </c>
      <c r="H192" s="71">
        <f>'SC-NR (2)'!B90</f>
        <v>-49.256412709384371</v>
      </c>
      <c r="I192" t="str">
        <f>'SC-NR (2)'!C90</f>
        <v>Single Family</v>
      </c>
      <c r="J192" t="str">
        <f>'SC-NR (2)'!D90</f>
        <v>2017 - LEDReflectors and Outdoor250 to 664 lumensANY</v>
      </c>
      <c r="K192" s="42">
        <f>'SC-NR (2)'!E90</f>
        <v>0</v>
      </c>
      <c r="L192" s="42">
        <f>'SC-NR (2)'!F90</f>
        <v>0.36406938240985204</v>
      </c>
      <c r="M192" s="42">
        <f>'SC-NR (2)'!G90</f>
        <v>0.46686550889855566</v>
      </c>
      <c r="N192" s="42">
        <f>'SC-NR (2)'!H90</f>
        <v>0.54632365935236749</v>
      </c>
      <c r="O192" s="42">
        <f>'SC-NR (2)'!I90</f>
        <v>0.61546906226643805</v>
      </c>
      <c r="P192" s="42">
        <f>'SC-NR (2)'!J90</f>
        <v>0.67484055904137374</v>
      </c>
      <c r="Q192" s="42">
        <f>'SC-NR (2)'!K90</f>
        <v>0.72524964591688512</v>
      </c>
      <c r="R192" s="42">
        <f>'SC-NR (2)'!L90</f>
        <v>0.76763209867650628</v>
      </c>
      <c r="S192" s="42">
        <f>'SC-NR (2)'!M90</f>
        <v>0.89976415140479393</v>
      </c>
      <c r="T192" s="42">
        <f>'SC-NR (2)'!N90</f>
        <v>0.91272174103069681</v>
      </c>
      <c r="U192" s="42">
        <f>'SC-NR (2)'!O90</f>
        <v>0.92426253401240477</v>
      </c>
      <c r="V192" s="42">
        <f>'SC-NR (2)'!P90</f>
        <v>0.93356823509766385</v>
      </c>
      <c r="W192" s="42">
        <f>'SC-NR (2)'!Q90</f>
        <v>0.9395413261710488</v>
      </c>
      <c r="X192" s="42">
        <f>'SC-NR (2)'!R90</f>
        <v>0.94196343886403899</v>
      </c>
      <c r="Y192" s="42">
        <f>'SC-NR (2)'!S90</f>
        <v>0.94358791891887206</v>
      </c>
      <c r="Z192" s="42">
        <f>'SC-NR (2)'!T90</f>
        <v>0.94473386378034296</v>
      </c>
      <c r="AA192" s="42">
        <f>'SC-NR (2)'!U90</f>
        <v>0.94464770923054941</v>
      </c>
      <c r="AB192" s="42">
        <f>'SC-NR (2)'!V90</f>
        <v>0.9446260610449313</v>
      </c>
      <c r="AC192" s="42">
        <f>'SC-NR (2)'!W90</f>
        <v>0.94370318084126203</v>
      </c>
      <c r="AD192" s="42">
        <f>'SC-NR (2)'!X90</f>
        <v>0.9420413455309663</v>
      </c>
      <c r="AE192" s="42">
        <f>'SC-NR (2)'!Y90</f>
        <v>8.0635561747053224</v>
      </c>
      <c r="AF192" s="479">
        <f t="shared" si="27"/>
        <v>1.5255955147280642</v>
      </c>
      <c r="AG192" s="479">
        <f t="shared" si="28"/>
        <v>1.2133894587478662</v>
      </c>
      <c r="AH192" s="479">
        <f t="shared" si="29"/>
        <v>1.2259099571124876</v>
      </c>
      <c r="AI192" s="479">
        <f t="shared" si="30"/>
        <v>0.99981964541118984</v>
      </c>
      <c r="AJ192" s="479">
        <f t="shared" si="31"/>
        <v>0.91042606736425147</v>
      </c>
      <c r="AK192" s="479">
        <f t="shared" si="32"/>
        <v>0.93548259652339649</v>
      </c>
      <c r="AL192" s="479">
        <f t="shared" si="33"/>
        <v>0.77204480717028579</v>
      </c>
      <c r="AM192" s="479">
        <f t="shared" si="34"/>
        <v>0.88063402902945986</v>
      </c>
      <c r="AN192" s="479">
        <f t="shared" si="35"/>
        <v>0.96971108539821449</v>
      </c>
      <c r="AO192" s="479">
        <f t="shared" si="36"/>
        <v>1.4152091994172629</v>
      </c>
      <c r="AP192" s="479">
        <f t="shared" si="37"/>
        <v>1.4286063280943841</v>
      </c>
      <c r="AQ192" s="479">
        <f t="shared" si="38"/>
        <v>1.5683270060897629</v>
      </c>
      <c r="AR192" s="479"/>
      <c r="AS192" s="479">
        <f t="shared" si="39"/>
        <v>0.7958766333715297</v>
      </c>
      <c r="AT192" s="479">
        <f t="shared" si="40"/>
        <v>0.61166893720522297</v>
      </c>
      <c r="AU192" s="479">
        <f t="shared" si="41"/>
        <v>0.57009702023442965</v>
      </c>
      <c r="AV192" s="479">
        <f t="shared" si="42"/>
        <v>0.55923715313202227</v>
      </c>
      <c r="AW192" s="479">
        <f t="shared" si="43"/>
        <v>0.5433446291292342</v>
      </c>
      <c r="AX192" s="479">
        <f t="shared" si="44"/>
        <v>0.50812277602807099</v>
      </c>
      <c r="AY192" s="479">
        <f t="shared" si="45"/>
        <v>0.57966920135053146</v>
      </c>
      <c r="AZ192" s="479">
        <f t="shared" si="46"/>
        <v>0.52439615447792887</v>
      </c>
      <c r="BA192" s="479">
        <f t="shared" si="47"/>
        <v>0.60780788343898273</v>
      </c>
      <c r="BB192" s="479">
        <f t="shared" si="48"/>
        <v>0.60424410603565037</v>
      </c>
      <c r="BC192" s="479">
        <f t="shared" si="49"/>
        <v>0.7610056805514156</v>
      </c>
      <c r="BD192" s="479">
        <f t="shared" si="50"/>
        <v>0.81182920680737636</v>
      </c>
    </row>
    <row r="193" spans="1:56" ht="15">
      <c r="A193" s="63" t="str">
        <f>VLOOKUP(CONCATENATE($C193," - ",$B193),[2]ACHIEV!$B$12:$C$100,2,FALSE)</f>
        <v>LO20Fast</v>
      </c>
      <c r="B193" s="63" t="str">
        <f>'SC-NR (2)'!$C$7</f>
        <v>NR</v>
      </c>
      <c r="C193" s="63" t="str">
        <f>'SC-NR (2)'!$C$8</f>
        <v>Lighting</v>
      </c>
      <c r="D193" s="63" t="s">
        <v>795</v>
      </c>
      <c r="E193" s="63" t="str">
        <f>'SC-NR (2)'!$A$9</f>
        <v>Lighting</v>
      </c>
      <c r="F193" s="478">
        <f t="shared" si="26"/>
        <v>4.2475887264408763E-3</v>
      </c>
      <c r="G193" s="71">
        <f>'SC-NR (2)'!A91</f>
        <v>16.258824982644914</v>
      </c>
      <c r="H193" s="71">
        <f>'SC-NR (2)'!B91</f>
        <v>-57.558538168362972</v>
      </c>
      <c r="I193" t="str">
        <f>'SC-NR (2)'!C91</f>
        <v>Single Family</v>
      </c>
      <c r="J193" t="str">
        <f>'SC-NR (2)'!D91</f>
        <v>2017 - LEDReflectors and Outdoor665 to 1439 lumensANY</v>
      </c>
      <c r="K193" s="42">
        <f>'SC-NR (2)'!E91</f>
        <v>0</v>
      </c>
      <c r="L193" s="42">
        <f>'SC-NR (2)'!F91</f>
        <v>2.8051720391239363</v>
      </c>
      <c r="M193" s="42">
        <f>'SC-NR (2)'!G91</f>
        <v>3.5972211201195359</v>
      </c>
      <c r="N193" s="42">
        <f>'SC-NR (2)'!H91</f>
        <v>4.2094499773174539</v>
      </c>
      <c r="O193" s="42">
        <f>'SC-NR (2)'!I91</f>
        <v>4.7422186204936958</v>
      </c>
      <c r="P193" s="42">
        <f>'SC-NR (2)'!J91</f>
        <v>5.199678848463364</v>
      </c>
      <c r="Q193" s="42">
        <f>'SC-NR (2)'!K91</f>
        <v>5.588083278643559</v>
      </c>
      <c r="R193" s="42">
        <f>'SC-NR (2)'!L91</f>
        <v>5.914642108292516</v>
      </c>
      <c r="S193" s="42">
        <f>'SC-NR (2)'!M91</f>
        <v>6.9327259068586331</v>
      </c>
      <c r="T193" s="42">
        <f>'SC-NR (2)'!N91</f>
        <v>7.032564755905562</v>
      </c>
      <c r="U193" s="42">
        <f>'SC-NR (2)'!O91</f>
        <v>7.1214871189104221</v>
      </c>
      <c r="V193" s="42">
        <f>'SC-NR (2)'!P91</f>
        <v>7.1931879917386317</v>
      </c>
      <c r="W193" s="42">
        <f>'SC-NR (2)'!Q91</f>
        <v>7.2392109447133963</v>
      </c>
      <c r="X193" s="42">
        <f>'SC-NR (2)'!R91</f>
        <v>7.2578734390901811</v>
      </c>
      <c r="Y193" s="42">
        <f>'SC-NR (2)'!S91</f>
        <v>7.2703901357642291</v>
      </c>
      <c r="Z193" s="42">
        <f>'SC-NR (2)'!T91</f>
        <v>7.2792196958401103</v>
      </c>
      <c r="AA193" s="42">
        <f>'SC-NR (2)'!U91</f>
        <v>7.2785558709050795</v>
      </c>
      <c r="AB193" s="42">
        <f>'SC-NR (2)'!V91</f>
        <v>7.2783890705974255</v>
      </c>
      <c r="AC193" s="42">
        <f>'SC-NR (2)'!W91</f>
        <v>7.2712782344000555</v>
      </c>
      <c r="AD193" s="42">
        <f>'SC-NR (2)'!X91</f>
        <v>7.2584737136924531</v>
      </c>
      <c r="AE193" s="42">
        <f>'SC-NR (2)'!Y91</f>
        <v>62.130086763858642</v>
      </c>
      <c r="AF193" s="479">
        <f t="shared" si="27"/>
        <v>1.1632989906121636</v>
      </c>
      <c r="AG193" s="479">
        <f t="shared" si="28"/>
        <v>0.92523524024153736</v>
      </c>
      <c r="AH193" s="479">
        <f t="shared" si="29"/>
        <v>0.93478238623725807</v>
      </c>
      <c r="AI193" s="479">
        <f t="shared" si="30"/>
        <v>0.76238372037188906</v>
      </c>
      <c r="AJ193" s="479">
        <f t="shared" si="31"/>
        <v>0.69421921798230934</v>
      </c>
      <c r="AK193" s="479">
        <f t="shared" si="32"/>
        <v>0.71332535378153095</v>
      </c>
      <c r="AL193" s="479">
        <f t="shared" si="33"/>
        <v>0.58870056723301578</v>
      </c>
      <c r="AM193" s="479">
        <f t="shared" si="34"/>
        <v>0.67150215583276607</v>
      </c>
      <c r="AN193" s="479">
        <f t="shared" si="35"/>
        <v>0.73942530371836135</v>
      </c>
      <c r="AO193" s="479">
        <f t="shared" si="36"/>
        <v>1.0791270800770567</v>
      </c>
      <c r="AP193" s="479">
        <f t="shared" si="37"/>
        <v>1.0893426753096991</v>
      </c>
      <c r="AQ193" s="479">
        <f t="shared" si="38"/>
        <v>1.1958826605879354</v>
      </c>
      <c r="AR193" s="479"/>
      <c r="AS193" s="479">
        <f t="shared" si="39"/>
        <v>0.60687284100854089</v>
      </c>
      <c r="AT193" s="479">
        <f t="shared" si="40"/>
        <v>0.46641055926707059</v>
      </c>
      <c r="AU193" s="479">
        <f t="shared" si="41"/>
        <v>0.4347110893990323</v>
      </c>
      <c r="AV193" s="479">
        <f t="shared" si="42"/>
        <v>0.42643021002015935</v>
      </c>
      <c r="AW193" s="479">
        <f t="shared" si="43"/>
        <v>0.41431182283807694</v>
      </c>
      <c r="AX193" s="479">
        <f t="shared" si="44"/>
        <v>0.38745441157505511</v>
      </c>
      <c r="AY193" s="479">
        <f t="shared" si="45"/>
        <v>0.44201008085700272</v>
      </c>
      <c r="AZ193" s="479">
        <f t="shared" si="46"/>
        <v>0.39986320836412004</v>
      </c>
      <c r="BA193" s="479">
        <f t="shared" si="47"/>
        <v>0.46346642374385677</v>
      </c>
      <c r="BB193" s="479">
        <f t="shared" si="48"/>
        <v>0.46074896776287089</v>
      </c>
      <c r="BC193" s="479">
        <f t="shared" si="49"/>
        <v>0.58028299866454724</v>
      </c>
      <c r="BD193" s="479">
        <f t="shared" si="50"/>
        <v>0.61903701715905535</v>
      </c>
    </row>
    <row r="194" spans="1:56" ht="15">
      <c r="A194" s="63" t="str">
        <f>VLOOKUP(CONCATENATE($C194," - ",$B194),[2]ACHIEV!$B$12:$C$100,2,FALSE)</f>
        <v>LO20Fast</v>
      </c>
      <c r="B194" s="63" t="str">
        <f>'SC-NR (2)'!$C$7</f>
        <v>NR</v>
      </c>
      <c r="C194" s="63" t="str">
        <f>'SC-NR (2)'!$C$8</f>
        <v>Lighting</v>
      </c>
      <c r="D194" s="63" t="s">
        <v>795</v>
      </c>
      <c r="E194" s="63" t="str">
        <f>'SC-NR (2)'!$A$9</f>
        <v>Lighting</v>
      </c>
      <c r="F194" s="478">
        <f t="shared" si="26"/>
        <v>2.2739503245659785E-2</v>
      </c>
      <c r="G194" s="71">
        <f>'SC-NR (2)'!A92</f>
        <v>87.041761167225999</v>
      </c>
      <c r="H194" s="71">
        <f>'SC-NR (2)'!B92</f>
        <v>-31.342168529326845</v>
      </c>
      <c r="I194" t="str">
        <f>'SC-NR (2)'!C92</f>
        <v>Single Family</v>
      </c>
      <c r="J194" t="str">
        <f>'SC-NR (2)'!D92</f>
        <v>2017 - LEDReflectors and Outdoor1440 to 2600 lumensANY</v>
      </c>
      <c r="K194" s="42">
        <f>'SC-NR (2)'!E92</f>
        <v>0</v>
      </c>
      <c r="L194" s="42">
        <f>'SC-NR (2)'!F92</f>
        <v>1.2340990119694473</v>
      </c>
      <c r="M194" s="42">
        <f>'SC-NR (2)'!G92</f>
        <v>1.5825507199770759</v>
      </c>
      <c r="N194" s="42">
        <f>'SC-NR (2)'!H92</f>
        <v>1.8518928555856626</v>
      </c>
      <c r="O194" s="42">
        <f>'SC-NR (2)'!I92</f>
        <v>2.0862775018683339</v>
      </c>
      <c r="P194" s="42">
        <f>'SC-NR (2)'!J92</f>
        <v>2.2875311888004894</v>
      </c>
      <c r="Q194" s="42">
        <f>'SC-NR (2)'!K92</f>
        <v>2.4584046742212369</v>
      </c>
      <c r="R194" s="42">
        <f>'SC-NR (2)'!L92</f>
        <v>2.6020699907861129</v>
      </c>
      <c r="S194" s="42">
        <f>'SC-NR (2)'!M92</f>
        <v>3.0499627376084892</v>
      </c>
      <c r="T194" s="42">
        <f>'SC-NR (2)'!N92</f>
        <v>3.0938855427864067</v>
      </c>
      <c r="U194" s="42">
        <f>'SC-NR (2)'!O92</f>
        <v>3.1330057816864634</v>
      </c>
      <c r="V194" s="42">
        <f>'SC-NR (2)'!P92</f>
        <v>3.1645496496134644</v>
      </c>
      <c r="W194" s="42">
        <f>'SC-NR (2)'!Q92</f>
        <v>3.1847968501423165</v>
      </c>
      <c r="X194" s="42">
        <f>'SC-NR (2)'!R92</f>
        <v>3.1930071722010189</v>
      </c>
      <c r="Y194" s="42">
        <f>'SC-NR (2)'!S92</f>
        <v>3.1985137303668383</v>
      </c>
      <c r="Z194" s="42">
        <f>'SC-NR (2)'!T92</f>
        <v>3.2023981806657122</v>
      </c>
      <c r="AA194" s="42">
        <f>'SC-NR (2)'!U92</f>
        <v>3.202106139505664</v>
      </c>
      <c r="AB194" s="42">
        <f>'SC-NR (2)'!V92</f>
        <v>3.2020327578763021</v>
      </c>
      <c r="AC194" s="42">
        <f>'SC-NR (2)'!W92</f>
        <v>3.1989044378292393</v>
      </c>
      <c r="AD194" s="42">
        <f>'SC-NR (2)'!X92</f>
        <v>3.1932712552174061</v>
      </c>
      <c r="AE194" s="42">
        <f>'SC-NR (2)'!Y92</f>
        <v>27.333324879710307</v>
      </c>
      <c r="AF194" s="479">
        <f t="shared" si="27"/>
        <v>6.2277312791681956</v>
      </c>
      <c r="AG194" s="479">
        <f t="shared" si="28"/>
        <v>4.9532549179026795</v>
      </c>
      <c r="AH194" s="479">
        <f t="shared" si="29"/>
        <v>5.0043656471512685</v>
      </c>
      <c r="AI194" s="479">
        <f t="shared" si="30"/>
        <v>4.0814278877609365</v>
      </c>
      <c r="AJ194" s="479">
        <f t="shared" si="31"/>
        <v>3.7165086304708308</v>
      </c>
      <c r="AK194" s="479">
        <f t="shared" si="32"/>
        <v>3.8187934948961253</v>
      </c>
      <c r="AL194" s="479">
        <f t="shared" si="33"/>
        <v>3.1516136145633622</v>
      </c>
      <c r="AM194" s="479">
        <f t="shared" si="34"/>
        <v>3.594892640376083</v>
      </c>
      <c r="AN194" s="479">
        <f t="shared" si="35"/>
        <v>3.9585198042267882</v>
      </c>
      <c r="AO194" s="479">
        <f t="shared" si="36"/>
        <v>5.777116222938341</v>
      </c>
      <c r="AP194" s="479">
        <f t="shared" si="37"/>
        <v>5.831805500999323</v>
      </c>
      <c r="AQ194" s="479">
        <f t="shared" si="38"/>
        <v>6.4021682402038298</v>
      </c>
      <c r="AR194" s="479"/>
      <c r="AS194" s="479">
        <f t="shared" si="39"/>
        <v>3.2488990405103846</v>
      </c>
      <c r="AT194" s="479">
        <f t="shared" si="40"/>
        <v>2.4969329917094965</v>
      </c>
      <c r="AU194" s="479">
        <f t="shared" si="41"/>
        <v>2.3272296036524454</v>
      </c>
      <c r="AV194" s="479">
        <f t="shared" si="42"/>
        <v>2.2828978437669774</v>
      </c>
      <c r="AW194" s="479">
        <f t="shared" si="43"/>
        <v>2.2180219524303819</v>
      </c>
      <c r="AX194" s="479">
        <f t="shared" si="44"/>
        <v>2.0742405672920801</v>
      </c>
      <c r="AY194" s="479">
        <f t="shared" si="45"/>
        <v>2.3663048180006183</v>
      </c>
      <c r="AZ194" s="479">
        <f t="shared" si="46"/>
        <v>2.1406711689892717</v>
      </c>
      <c r="BA194" s="479">
        <f t="shared" si="47"/>
        <v>2.4811715365410532</v>
      </c>
      <c r="BB194" s="479">
        <f t="shared" si="48"/>
        <v>2.4666236122764214</v>
      </c>
      <c r="BC194" s="479">
        <f t="shared" si="49"/>
        <v>3.1065500879107617</v>
      </c>
      <c r="BD194" s="479">
        <f t="shared" si="50"/>
        <v>3.3140200634883259</v>
      </c>
    </row>
    <row r="195" spans="1:56" ht="15">
      <c r="A195" s="63" t="str">
        <f>VLOOKUP(CONCATENATE($C195," - ",$B195),[2]ACHIEV!$B$12:$C$100,2,FALSE)</f>
        <v>LO20Fast</v>
      </c>
      <c r="B195" s="63" t="str">
        <f>'SC-NR (2)'!$C$7</f>
        <v>NR</v>
      </c>
      <c r="C195" s="63" t="str">
        <f>'SC-NR (2)'!$C$8</f>
        <v>Lighting</v>
      </c>
      <c r="D195" s="63" t="s">
        <v>795</v>
      </c>
      <c r="E195" s="63" t="str">
        <f>'SC-NR (2)'!$A$9</f>
        <v>Lighting</v>
      </c>
      <c r="F195" s="478">
        <f t="shared" si="26"/>
        <v>1.3238383828380332E-2</v>
      </c>
      <c r="G195" s="71">
        <f>'SC-NR (2)'!A93</f>
        <v>50.673589083344737</v>
      </c>
      <c r="H195" s="71">
        <f>'SC-NR (2)'!B93</f>
        <v>-6.4266835469852737</v>
      </c>
      <c r="I195" t="str">
        <f>'SC-NR (2)'!C93</f>
        <v>Single Family</v>
      </c>
      <c r="J195" t="str">
        <f>'SC-NR (2)'!D93</f>
        <v>2017 - LEDThree-Way250 to 664 lumensANY</v>
      </c>
      <c r="K195" s="42">
        <f>'SC-NR (2)'!E93</f>
        <v>0</v>
      </c>
      <c r="L195" s="42">
        <f>'SC-NR (2)'!F93</f>
        <v>1.1273648477367454E-2</v>
      </c>
      <c r="M195" s="42">
        <f>'SC-NR (2)'!G93</f>
        <v>1.4456798313252377E-2</v>
      </c>
      <c r="N195" s="42">
        <f>'SC-NR (2)'!H93</f>
        <v>1.6917272333200638E-2</v>
      </c>
      <c r="O195" s="42">
        <f>'SC-NR (2)'!I93</f>
        <v>1.9058405325816926E-2</v>
      </c>
      <c r="P195" s="42">
        <f>'SC-NR (2)'!J93</f>
        <v>2.0896882870358909E-2</v>
      </c>
      <c r="Q195" s="42">
        <f>'SC-NR (2)'!K93</f>
        <v>2.2457833482953497E-2</v>
      </c>
      <c r="R195" s="42">
        <f>'SC-NR (2)'!L93</f>
        <v>2.377023407774647E-2</v>
      </c>
      <c r="S195" s="42">
        <f>'SC-NR (2)'!M93</f>
        <v>2.7861790212436104E-2</v>
      </c>
      <c r="T195" s="42">
        <f>'SC-NR (2)'!N93</f>
        <v>2.8263030518856501E-2</v>
      </c>
      <c r="U195" s="42">
        <f>'SC-NR (2)'!O93</f>
        <v>2.8620398783017146E-2</v>
      </c>
      <c r="V195" s="42">
        <f>'SC-NR (2)'!P93</f>
        <v>2.8908555952884735E-2</v>
      </c>
      <c r="W195" s="42">
        <f>'SC-NR (2)'!Q93</f>
        <v>2.9093516656360858E-2</v>
      </c>
      <c r="X195" s="42">
        <f>'SC-NR (2)'!R93</f>
        <v>2.9168518972931937E-2</v>
      </c>
      <c r="Y195" s="42">
        <f>'SC-NR (2)'!S93</f>
        <v>2.9218822068939245E-2</v>
      </c>
      <c r="Z195" s="42">
        <f>'SC-NR (2)'!T93</f>
        <v>2.9254307007159416E-2</v>
      </c>
      <c r="AA195" s="42">
        <f>'SC-NR (2)'!U93</f>
        <v>2.9251639174718604E-2</v>
      </c>
      <c r="AB195" s="42">
        <f>'SC-NR (2)'!V93</f>
        <v>2.92509688243771E-2</v>
      </c>
      <c r="AC195" s="42">
        <f>'SC-NR (2)'!W93</f>
        <v>2.9222391230364599E-2</v>
      </c>
      <c r="AD195" s="42">
        <f>'SC-NR (2)'!X93</f>
        <v>2.9170931404241502E-2</v>
      </c>
      <c r="AE195" s="42">
        <f>'SC-NR (2)'!Y93</f>
        <v>0.24969333369757601</v>
      </c>
      <c r="AF195" s="479">
        <f t="shared" si="27"/>
        <v>3.6256331619458151</v>
      </c>
      <c r="AG195" s="479">
        <f t="shared" si="28"/>
        <v>2.8836641282181006</v>
      </c>
      <c r="AH195" s="479">
        <f t="shared" si="29"/>
        <v>2.9134195474210416</v>
      </c>
      <c r="AI195" s="479">
        <f t="shared" si="30"/>
        <v>2.3761077083488051</v>
      </c>
      <c r="AJ195" s="479">
        <f t="shared" si="31"/>
        <v>2.1636606226678121</v>
      </c>
      <c r="AK195" s="479">
        <f t="shared" si="32"/>
        <v>2.2232083744576121</v>
      </c>
      <c r="AL195" s="479">
        <f t="shared" si="33"/>
        <v>1.83479253076042</v>
      </c>
      <c r="AM195" s="479">
        <f t="shared" si="34"/>
        <v>2.0928587612924954</v>
      </c>
      <c r="AN195" s="479">
        <f t="shared" si="35"/>
        <v>2.3045536217068179</v>
      </c>
      <c r="AO195" s="479">
        <f t="shared" si="36"/>
        <v>3.3632960735418895</v>
      </c>
      <c r="AP195" s="479">
        <f t="shared" si="37"/>
        <v>3.3951348365283454</v>
      </c>
      <c r="AQ195" s="479">
        <f t="shared" si="38"/>
        <v>3.7271861034986045</v>
      </c>
      <c r="AR195" s="479"/>
      <c r="AS195" s="479">
        <f t="shared" si="39"/>
        <v>1.8914297314802717</v>
      </c>
      <c r="AT195" s="479">
        <f t="shared" si="40"/>
        <v>1.4536534497210483</v>
      </c>
      <c r="AU195" s="479">
        <f t="shared" si="41"/>
        <v>1.3548562788327785</v>
      </c>
      <c r="AV195" s="479">
        <f t="shared" si="42"/>
        <v>1.3290474101512062</v>
      </c>
      <c r="AW195" s="479">
        <f t="shared" si="43"/>
        <v>1.291278249521628</v>
      </c>
      <c r="AX195" s="479">
        <f t="shared" si="44"/>
        <v>1.2075722361019934</v>
      </c>
      <c r="AY195" s="479">
        <f t="shared" si="45"/>
        <v>1.377604914989379</v>
      </c>
      <c r="AZ195" s="479">
        <f t="shared" si="46"/>
        <v>1.2462465111605538</v>
      </c>
      <c r="BA195" s="479">
        <f t="shared" si="47"/>
        <v>1.4444775151828353</v>
      </c>
      <c r="BB195" s="479">
        <f t="shared" si="48"/>
        <v>1.4360080687204035</v>
      </c>
      <c r="BC195" s="479">
        <f t="shared" si="49"/>
        <v>1.8085576453259091</v>
      </c>
      <c r="BD195" s="479">
        <f t="shared" si="50"/>
        <v>1.9293416017689646</v>
      </c>
    </row>
    <row r="196" spans="1:56" ht="15">
      <c r="A196" s="63" t="str">
        <f>VLOOKUP(CONCATENATE($C196," - ",$B196),[2]ACHIEV!$B$12:$C$100,2,FALSE)</f>
        <v>LO20Fast</v>
      </c>
      <c r="B196" s="63" t="str">
        <f>'SC-NR (2)'!$C$7</f>
        <v>NR</v>
      </c>
      <c r="C196" s="63" t="str">
        <f>'SC-NR (2)'!$C$8</f>
        <v>Lighting</v>
      </c>
      <c r="D196" s="63" t="s">
        <v>795</v>
      </c>
      <c r="E196" s="63" t="str">
        <f>'SC-NR (2)'!$A$9</f>
        <v>Lighting</v>
      </c>
      <c r="F196" s="478">
        <f t="shared" si="26"/>
        <v>1.4259875898113245E-2</v>
      </c>
      <c r="G196" s="71">
        <f>'SC-NR (2)'!A94</f>
        <v>54.583633546821666</v>
      </c>
      <c r="H196" s="71">
        <f>'SC-NR (2)'!B94</f>
        <v>-12.334283459818346</v>
      </c>
      <c r="I196" t="str">
        <f>'SC-NR (2)'!C94</f>
        <v>Single Family</v>
      </c>
      <c r="J196" t="str">
        <f>'SC-NR (2)'!D94</f>
        <v>2017 - LEDThree-Way665 to 1439 lumensANY</v>
      </c>
      <c r="K196" s="42">
        <f>'SC-NR (2)'!E94</f>
        <v>0</v>
      </c>
      <c r="L196" s="42">
        <f>'SC-NR (2)'!F94</f>
        <v>0.14989280961554069</v>
      </c>
      <c r="M196" s="42">
        <f>'SC-NR (2)'!G94</f>
        <v>0.19221551226907024</v>
      </c>
      <c r="N196" s="42">
        <f>'SC-NR (2)'!H94</f>
        <v>0.22492962115551388</v>
      </c>
      <c r="O196" s="42">
        <f>'SC-NR (2)'!I94</f>
        <v>0.25339781764648073</v>
      </c>
      <c r="P196" s="42">
        <f>'SC-NR (2)'!J94</f>
        <v>0.277841950805299</v>
      </c>
      <c r="Q196" s="42">
        <f>'SC-NR (2)'!K94</f>
        <v>0.2985961257702735</v>
      </c>
      <c r="R196" s="42">
        <f>'SC-NR (2)'!L94</f>
        <v>0.316045615426577</v>
      </c>
      <c r="S196" s="42">
        <f>'SC-NR (2)'!M94</f>
        <v>0.3704463576494304</v>
      </c>
      <c r="T196" s="42">
        <f>'SC-NR (2)'!N94</f>
        <v>0.3757811910869901</v>
      </c>
      <c r="U196" s="42">
        <f>'SC-NR (2)'!O94</f>
        <v>0.38053270815708556</v>
      </c>
      <c r="V196" s="42">
        <f>'SC-NR (2)'!P94</f>
        <v>0.38436400446626429</v>
      </c>
      <c r="W196" s="42">
        <f>'SC-NR (2)'!Q94</f>
        <v>0.38682321539235981</v>
      </c>
      <c r="X196" s="42">
        <f>'SC-NR (2)'!R94</f>
        <v>0.3878204354122215</v>
      </c>
      <c r="Y196" s="42">
        <f>'SC-NR (2)'!S94</f>
        <v>0.3884892581458762</v>
      </c>
      <c r="Z196" s="42">
        <f>'SC-NR (2)'!T94</f>
        <v>0.38896106078364107</v>
      </c>
      <c r="AA196" s="42">
        <f>'SC-NR (2)'!U94</f>
        <v>0.38892558966699764</v>
      </c>
      <c r="AB196" s="42">
        <f>'SC-NR (2)'!V94</f>
        <v>0.38891667678521702</v>
      </c>
      <c r="AC196" s="42">
        <f>'SC-NR (2)'!W94</f>
        <v>0.38853671320313582</v>
      </c>
      <c r="AD196" s="42">
        <f>'SC-NR (2)'!X94</f>
        <v>0.38785251075213661</v>
      </c>
      <c r="AE196" s="42">
        <f>'SC-NR (2)'!Y94</f>
        <v>3.319886672476787</v>
      </c>
      <c r="AF196" s="479">
        <f t="shared" si="27"/>
        <v>3.9053920487329368</v>
      </c>
      <c r="AG196" s="479">
        <f t="shared" si="28"/>
        <v>3.1061716545849691</v>
      </c>
      <c r="AH196" s="479">
        <f t="shared" si="29"/>
        <v>3.1382230432311156</v>
      </c>
      <c r="AI196" s="479">
        <f t="shared" si="30"/>
        <v>2.5594514769216872</v>
      </c>
      <c r="AJ196" s="479">
        <f t="shared" si="31"/>
        <v>2.3306116792545248</v>
      </c>
      <c r="AK196" s="479">
        <f t="shared" si="32"/>
        <v>2.3947542182186701</v>
      </c>
      <c r="AL196" s="479">
        <f t="shared" si="33"/>
        <v>1.9763676689399765</v>
      </c>
      <c r="AM196" s="479">
        <f t="shared" si="34"/>
        <v>2.2543466479896805</v>
      </c>
      <c r="AN196" s="479">
        <f t="shared" si="35"/>
        <v>2.4823761776445838</v>
      </c>
      <c r="AO196" s="479">
        <f t="shared" si="36"/>
        <v>3.6228126664904727</v>
      </c>
      <c r="AP196" s="479">
        <f t="shared" si="37"/>
        <v>3.6571081526179396</v>
      </c>
      <c r="AQ196" s="479">
        <f t="shared" si="38"/>
        <v>4.0147809562011307</v>
      </c>
      <c r="AR196" s="479"/>
      <c r="AS196" s="479">
        <f t="shared" si="39"/>
        <v>2.0373750746740664</v>
      </c>
      <c r="AT196" s="479">
        <f t="shared" si="40"/>
        <v>1.5658193674251897</v>
      </c>
      <c r="AU196" s="479">
        <f t="shared" si="41"/>
        <v>1.4593988697107205</v>
      </c>
      <c r="AV196" s="479">
        <f t="shared" si="42"/>
        <v>1.4315985529015838</v>
      </c>
      <c r="AW196" s="479">
        <f t="shared" si="43"/>
        <v>1.3909150714180603</v>
      </c>
      <c r="AX196" s="479">
        <f t="shared" si="44"/>
        <v>1.3007501858275035</v>
      </c>
      <c r="AY196" s="479">
        <f t="shared" si="45"/>
        <v>1.4839028222059658</v>
      </c>
      <c r="AZ196" s="479">
        <f t="shared" si="46"/>
        <v>1.3424086216255566</v>
      </c>
      <c r="BA196" s="479">
        <f t="shared" si="47"/>
        <v>1.5559354050427407</v>
      </c>
      <c r="BB196" s="479">
        <f t="shared" si="48"/>
        <v>1.5468124443365345</v>
      </c>
      <c r="BC196" s="479">
        <f t="shared" si="49"/>
        <v>1.9481084633339767</v>
      </c>
      <c r="BD196" s="479">
        <f t="shared" si="50"/>
        <v>2.0782122774920686</v>
      </c>
    </row>
    <row r="197" spans="1:56" ht="15">
      <c r="A197" s="63" t="str">
        <f>VLOOKUP(CONCATENATE($C197," - ",$B197),[2]ACHIEV!$B$12:$C$100,2,FALSE)</f>
        <v>LO20Fast</v>
      </c>
      <c r="B197" s="63" t="str">
        <f>'SC-NR (2)'!$C$7</f>
        <v>NR</v>
      </c>
      <c r="C197" s="63" t="str">
        <f>'SC-NR (2)'!$C$8</f>
        <v>Lighting</v>
      </c>
      <c r="D197" s="63" t="s">
        <v>795</v>
      </c>
      <c r="E197" s="63" t="str">
        <f>'SC-NR (2)'!$A$9</f>
        <v>Lighting</v>
      </c>
      <c r="F197" s="478">
        <f t="shared" si="26"/>
        <v>1.2760440721528607E-2</v>
      </c>
      <c r="G197" s="71">
        <f>'SC-NR (2)'!A95</f>
        <v>48.844129164687544</v>
      </c>
      <c r="H197" s="71">
        <f>'SC-NR (2)'!B95</f>
        <v>-29.993229849727555</v>
      </c>
      <c r="I197" t="str">
        <f>'SC-NR (2)'!C95</f>
        <v>Single Family</v>
      </c>
      <c r="J197" t="str">
        <f>'SC-NR (2)'!D95</f>
        <v>2017 - LEDThree-Way1440 to 2600 lumensANY</v>
      </c>
      <c r="K197" s="42">
        <f>'SC-NR (2)'!E95</f>
        <v>0</v>
      </c>
      <c r="L197" s="42">
        <f>'SC-NR (2)'!F95</f>
        <v>0.51867203548669216</v>
      </c>
      <c r="M197" s="42">
        <f>'SC-NR (2)'!G95</f>
        <v>0.66512070363099962</v>
      </c>
      <c r="N197" s="42">
        <f>'SC-NR (2)'!H95</f>
        <v>0.77832088640685049</v>
      </c>
      <c r="O197" s="42">
        <f>'SC-NR (2)'!I95</f>
        <v>0.87682899669230874</v>
      </c>
      <c r="P197" s="42">
        <f>'SC-NR (2)'!J95</f>
        <v>0.96141269576173694</v>
      </c>
      <c r="Q197" s="42">
        <f>'SC-NR (2)'!K95</f>
        <v>1.0332280830477607</v>
      </c>
      <c r="R197" s="42">
        <f>'SC-NR (2)'!L95</f>
        <v>1.0936083130364616</v>
      </c>
      <c r="S197" s="42">
        <f>'SC-NR (2)'!M95</f>
        <v>1.2818504560257464</v>
      </c>
      <c r="T197" s="42">
        <f>'SC-NR (2)'!N95</f>
        <v>1.3003105070791539</v>
      </c>
      <c r="U197" s="42">
        <f>'SC-NR (2)'!O95</f>
        <v>1.3167521164980263</v>
      </c>
      <c r="V197" s="42">
        <f>'SC-NR (2)'!P95</f>
        <v>1.3300094986255033</v>
      </c>
      <c r="W197" s="42">
        <f>'SC-NR (2)'!Q95</f>
        <v>1.3385190725003322</v>
      </c>
      <c r="X197" s="42">
        <f>'SC-NR (2)'!R95</f>
        <v>1.3419697392725169</v>
      </c>
      <c r="Y197" s="42">
        <f>'SC-NR (2)'!S95</f>
        <v>1.344284057414489</v>
      </c>
      <c r="Z197" s="42">
        <f>'SC-NR (2)'!T95</f>
        <v>1.3459166296179534</v>
      </c>
      <c r="AA197" s="42">
        <f>'SC-NR (2)'!U95</f>
        <v>1.3457938893990089</v>
      </c>
      <c r="AB197" s="42">
        <f>'SC-NR (2)'!V95</f>
        <v>1.3457630482762957</v>
      </c>
      <c r="AC197" s="42">
        <f>'SC-NR (2)'!W95</f>
        <v>1.3444482654989602</v>
      </c>
      <c r="AD197" s="42">
        <f>'SC-NR (2)'!X95</f>
        <v>1.3420807291317727</v>
      </c>
      <c r="AE197" s="42">
        <f>'SC-NR (2)'!Y95</f>
        <v>11.487758368231615</v>
      </c>
      <c r="AF197" s="479">
        <f t="shared" si="27"/>
        <v>3.4947375480862015</v>
      </c>
      <c r="AG197" s="479">
        <f t="shared" si="28"/>
        <v>2.7795556954649423</v>
      </c>
      <c r="AH197" s="479">
        <f t="shared" si="29"/>
        <v>2.808236859858241</v>
      </c>
      <c r="AI197" s="479">
        <f t="shared" si="30"/>
        <v>2.2903234982016438</v>
      </c>
      <c r="AJ197" s="479">
        <f t="shared" si="31"/>
        <v>2.0855463533146543</v>
      </c>
      <c r="AK197" s="479">
        <f t="shared" si="32"/>
        <v>2.1429442628075841</v>
      </c>
      <c r="AL197" s="479">
        <f t="shared" si="33"/>
        <v>1.7685513298745517</v>
      </c>
      <c r="AM197" s="479">
        <f t="shared" si="34"/>
        <v>2.0173006394294912</v>
      </c>
      <c r="AN197" s="479">
        <f t="shared" si="35"/>
        <v>2.2213527165099398</v>
      </c>
      <c r="AO197" s="479">
        <f t="shared" si="36"/>
        <v>3.2418715707106038</v>
      </c>
      <c r="AP197" s="479">
        <f t="shared" si="37"/>
        <v>3.2725608642831689</v>
      </c>
      <c r="AQ197" s="479">
        <f t="shared" si="38"/>
        <v>3.5926241411613451</v>
      </c>
      <c r="AR197" s="479"/>
      <c r="AS197" s="479">
        <f t="shared" si="39"/>
        <v>1.8231437674249444</v>
      </c>
      <c r="AT197" s="479">
        <f t="shared" si="40"/>
        <v>1.4011724478818377</v>
      </c>
      <c r="AU197" s="479">
        <f t="shared" si="41"/>
        <v>1.3059421343543034</v>
      </c>
      <c r="AV197" s="479">
        <f t="shared" si="42"/>
        <v>1.2810650388439813</v>
      </c>
      <c r="AW197" s="479">
        <f t="shared" si="43"/>
        <v>1.2446594517599732</v>
      </c>
      <c r="AX197" s="479">
        <f t="shared" si="44"/>
        <v>1.1639754622244163</v>
      </c>
      <c r="AY197" s="479">
        <f t="shared" si="45"/>
        <v>1.3278694803910316</v>
      </c>
      <c r="AZ197" s="479">
        <f t="shared" si="46"/>
        <v>1.2012534865460023</v>
      </c>
      <c r="BA197" s="479">
        <f t="shared" si="47"/>
        <v>1.3923277905386595</v>
      </c>
      <c r="BB197" s="479">
        <f t="shared" si="48"/>
        <v>1.3841641150531119</v>
      </c>
      <c r="BC197" s="479">
        <f t="shared" si="49"/>
        <v>1.7432635980212496</v>
      </c>
      <c r="BD197" s="479">
        <f t="shared" si="50"/>
        <v>1.8596869119456556</v>
      </c>
    </row>
    <row r="198" spans="1:56" ht="15">
      <c r="A198" s="63" t="str">
        <f>VLOOKUP(CONCATENATE($C198," - ",$B198),[2]ACHIEV!$B$12:$C$100,2,FALSE)</f>
        <v>LO20Fast</v>
      </c>
      <c r="B198" s="63" t="str">
        <f>'SC-NR (2)'!$C$7</f>
        <v>NR</v>
      </c>
      <c r="C198" s="63" t="str">
        <f>'SC-NR (2)'!$C$8</f>
        <v>Lighting</v>
      </c>
      <c r="D198" s="63" t="s">
        <v>795</v>
      </c>
      <c r="E198" s="63" t="str">
        <f>'SC-NR (2)'!$A$9</f>
        <v>Lighting</v>
      </c>
      <c r="F198" s="478">
        <f t="shared" si="26"/>
        <v>5.2591883382486233E-3</v>
      </c>
      <c r="G198" s="71">
        <f>'SC-NR (2)'!A96</f>
        <v>20.131003317263307</v>
      </c>
      <c r="H198" s="71">
        <f>'SC-NR (2)'!B96</f>
        <v>-21.262756278752239</v>
      </c>
      <c r="I198" t="str">
        <f>'SC-NR (2)'!C96</f>
        <v>Multifamily - Low Rise</v>
      </c>
      <c r="J198" t="str">
        <f>'SC-NR (2)'!D96</f>
        <v>2017 - LEDDecorative and Mini-Base250 to 664 lumensANY</v>
      </c>
      <c r="K198" s="42">
        <f>'SC-NR (2)'!E96</f>
        <v>0</v>
      </c>
      <c r="L198" s="42">
        <f>'SC-NR (2)'!F96</f>
        <v>0.15832266379677576</v>
      </c>
      <c r="M198" s="42">
        <f>'SC-NR (2)'!G96</f>
        <v>0.2030255546612485</v>
      </c>
      <c r="N198" s="42">
        <f>'SC-NR (2)'!H96</f>
        <v>0.23757946944410044</v>
      </c>
      <c r="O198" s="42">
        <f>'SC-NR (2)'!I96</f>
        <v>0.26764868300827149</v>
      </c>
      <c r="P198" s="42">
        <f>'SC-NR (2)'!J96</f>
        <v>0.29346752149262256</v>
      </c>
      <c r="Q198" s="42">
        <f>'SC-NR (2)'!K96</f>
        <v>0.31538888024871098</v>
      </c>
      <c r="R198" s="42">
        <f>'SC-NR (2)'!L96</f>
        <v>0.33381969994544008</v>
      </c>
      <c r="S198" s="42">
        <f>'SC-NR (2)'!M96</f>
        <v>0.40723533155586966</v>
      </c>
      <c r="T198" s="42">
        <f>'SC-NR (2)'!N96</f>
        <v>0.41181933549193739</v>
      </c>
      <c r="U198" s="42">
        <f>'SC-NR (2)'!O96</f>
        <v>0.41647350432286306</v>
      </c>
      <c r="V198" s="42">
        <f>'SC-NR (2)'!P96</f>
        <v>0.41866936137679206</v>
      </c>
      <c r="W198" s="42">
        <f>'SC-NR (2)'!Q96</f>
        <v>0.41858260358209637</v>
      </c>
      <c r="X198" s="42">
        <f>'SC-NR (2)'!R96</f>
        <v>0.41847963024451551</v>
      </c>
      <c r="Y198" s="42">
        <f>'SC-NR (2)'!S96</f>
        <v>0.41850180256207786</v>
      </c>
      <c r="Z198" s="42">
        <f>'SC-NR (2)'!T96</f>
        <v>0.41864441254809892</v>
      </c>
      <c r="AA198" s="42">
        <f>'SC-NR (2)'!U96</f>
        <v>0.4184698102318713</v>
      </c>
      <c r="AB198" s="42">
        <f>'SC-NR (2)'!V96</f>
        <v>0.41804486996191792</v>
      </c>
      <c r="AC198" s="42">
        <f>'SC-NR (2)'!W96</f>
        <v>0.4170073868206472</v>
      </c>
      <c r="AD198" s="42">
        <f>'SC-NR (2)'!X96</f>
        <v>0.41592717320605954</v>
      </c>
      <c r="AE198" s="42">
        <f>'SC-NR (2)'!Y96</f>
        <v>3.6370782981452234</v>
      </c>
      <c r="AF198" s="479">
        <f t="shared" si="27"/>
        <v>1.4403486023116614</v>
      </c>
      <c r="AG198" s="479">
        <f t="shared" si="28"/>
        <v>1.1455879321189004</v>
      </c>
      <c r="AH198" s="479">
        <f t="shared" si="29"/>
        <v>1.1574088126508824</v>
      </c>
      <c r="AI198" s="479">
        <f t="shared" si="30"/>
        <v>0.94395192888885926</v>
      </c>
      <c r="AJ198" s="479">
        <f t="shared" si="31"/>
        <v>0.85955346681125078</v>
      </c>
      <c r="AK198" s="479">
        <f t="shared" si="32"/>
        <v>0.88320989238719305</v>
      </c>
      <c r="AL198" s="479">
        <f t="shared" si="33"/>
        <v>0.72890464621476858</v>
      </c>
      <c r="AM198" s="479">
        <f t="shared" si="34"/>
        <v>0.83142614186746877</v>
      </c>
      <c r="AN198" s="479">
        <f t="shared" si="35"/>
        <v>0.91552576880013092</v>
      </c>
      <c r="AO198" s="479">
        <f t="shared" si="36"/>
        <v>1.3361304308256319</v>
      </c>
      <c r="AP198" s="479">
        <f t="shared" si="37"/>
        <v>1.3487789575018005</v>
      </c>
      <c r="AQ198" s="479">
        <f t="shared" si="38"/>
        <v>1.4806923521872546</v>
      </c>
      <c r="AR198" s="479"/>
      <c r="AS198" s="479">
        <f t="shared" si="39"/>
        <v>0.75140480253281761</v>
      </c>
      <c r="AT198" s="479">
        <f t="shared" si="40"/>
        <v>0.57749022612854406</v>
      </c>
      <c r="AU198" s="479">
        <f t="shared" si="41"/>
        <v>0.53824125618452068</v>
      </c>
      <c r="AV198" s="479">
        <f t="shared" si="42"/>
        <v>0.52798821450261002</v>
      </c>
      <c r="AW198" s="479">
        <f t="shared" si="43"/>
        <v>0.51298372968757655</v>
      </c>
      <c r="AX198" s="479">
        <f t="shared" si="44"/>
        <v>0.47972999605023692</v>
      </c>
      <c r="AY198" s="479">
        <f t="shared" si="45"/>
        <v>0.54727856493284177</v>
      </c>
      <c r="AZ198" s="479">
        <f t="shared" si="46"/>
        <v>0.4950940540058737</v>
      </c>
      <c r="BA198" s="479">
        <f t="shared" si="47"/>
        <v>0.57384491953058547</v>
      </c>
      <c r="BB198" s="479">
        <f t="shared" si="48"/>
        <v>0.57048027814806623</v>
      </c>
      <c r="BC198" s="479">
        <f t="shared" si="49"/>
        <v>0.71848236164278922</v>
      </c>
      <c r="BD198" s="479">
        <f t="shared" si="50"/>
        <v>0.76646598135103916</v>
      </c>
    </row>
    <row r="199" spans="1:56" ht="15">
      <c r="A199" s="63" t="str">
        <f>VLOOKUP(CONCATENATE($C199," - ",$B199),[2]ACHIEV!$B$12:$C$100,2,FALSE)</f>
        <v>LO20Fast</v>
      </c>
      <c r="B199" s="63" t="str">
        <f>'SC-NR (2)'!$C$7</f>
        <v>NR</v>
      </c>
      <c r="C199" s="63" t="str">
        <f>'SC-NR (2)'!$C$8</f>
        <v>Lighting</v>
      </c>
      <c r="D199" s="63" t="s">
        <v>795</v>
      </c>
      <c r="E199" s="63" t="str">
        <f>'SC-NR (2)'!$A$9</f>
        <v>Lighting</v>
      </c>
      <c r="F199" s="478">
        <f t="shared" si="26"/>
        <v>3.96210803600704E-3</v>
      </c>
      <c r="G199" s="71">
        <f>'SC-NR (2)'!A97</f>
        <v>15.166068390464758</v>
      </c>
      <c r="H199" s="71">
        <f>'SC-NR (2)'!B97</f>
        <v>-19.792953526125213</v>
      </c>
      <c r="I199" t="str">
        <f>'SC-NR (2)'!C97</f>
        <v>Multifamily - Low Rise</v>
      </c>
      <c r="J199" t="str">
        <f>'SC-NR (2)'!D97</f>
        <v>2017 - LEDDecorative and Mini-Base665 to 1439 lumensANY</v>
      </c>
      <c r="K199" s="37">
        <f>'SC-NR (2)'!E97</f>
        <v>0</v>
      </c>
      <c r="L199" s="37">
        <f>'SC-NR (2)'!F97</f>
        <v>3.2713928299124874E-2</v>
      </c>
      <c r="M199" s="37">
        <f>'SC-NR (2)'!G97</f>
        <v>4.1950806528896968E-2</v>
      </c>
      <c r="N199" s="37">
        <f>'SC-NR (2)'!H97</f>
        <v>4.9090620018336945E-2</v>
      </c>
      <c r="O199" s="37">
        <f>'SC-NR (2)'!I97</f>
        <v>5.5303767731743461E-2</v>
      </c>
      <c r="P199" s="37">
        <f>'SC-NR (2)'!J97</f>
        <v>6.063866805926655E-2</v>
      </c>
      <c r="Q199" s="37">
        <f>'SC-NR (2)'!K97</f>
        <v>6.5168239134994449E-2</v>
      </c>
      <c r="R199" s="37">
        <f>'SC-NR (2)'!L97</f>
        <v>6.8976566380087048E-2</v>
      </c>
      <c r="S199" s="37">
        <f>'SC-NR (2)'!M97</f>
        <v>8.4146306775697219E-2</v>
      </c>
      <c r="T199" s="37">
        <f>'SC-NR (2)'!N97</f>
        <v>8.5093491294269491E-2</v>
      </c>
      <c r="U199" s="37">
        <f>'SC-NR (2)'!O97</f>
        <v>8.6055173859327649E-2</v>
      </c>
      <c r="V199" s="37">
        <f>'SC-NR (2)'!P97</f>
        <v>8.6508899867308225E-2</v>
      </c>
      <c r="W199" s="37">
        <f>'SC-NR (2)'!Q97</f>
        <v>8.6490973259664039E-2</v>
      </c>
      <c r="X199" s="37">
        <f>'SC-NR (2)'!R97</f>
        <v>8.6469696063452464E-2</v>
      </c>
      <c r="Y199" s="37">
        <f>'SC-NR (2)'!S97</f>
        <v>8.6474277489696605E-2</v>
      </c>
      <c r="Z199" s="37">
        <f>'SC-NR (2)'!T97</f>
        <v>8.6503744735544758E-2</v>
      </c>
      <c r="AA199" s="37">
        <f>'SC-NR (2)'!U97</f>
        <v>8.6467666971837692E-2</v>
      </c>
      <c r="AB199" s="37">
        <f>'SC-NR (2)'!V97</f>
        <v>8.6379862325368956E-2</v>
      </c>
      <c r="AC199" s="37">
        <f>'SC-NR (2)'!W97</f>
        <v>8.6165489043103768E-2</v>
      </c>
      <c r="AD199" s="37">
        <f>'SC-NR (2)'!X97</f>
        <v>8.594228643971201E-2</v>
      </c>
      <c r="AE199" s="37">
        <f>'SC-NR (2)'!Y97</f>
        <v>0.75152297094087339</v>
      </c>
      <c r="AF199" s="479">
        <f t="shared" si="27"/>
        <v>1.0851135964016425</v>
      </c>
      <c r="AG199" s="479">
        <f t="shared" si="28"/>
        <v>0.86305012482449117</v>
      </c>
      <c r="AH199" s="479">
        <f t="shared" si="29"/>
        <v>0.87195560657113691</v>
      </c>
      <c r="AI199" s="479">
        <f t="shared" si="30"/>
        <v>0.71114386527187501</v>
      </c>
      <c r="AJ199" s="479">
        <f t="shared" si="31"/>
        <v>0.64756070313402958</v>
      </c>
      <c r="AK199" s="479">
        <f t="shared" si="32"/>
        <v>0.66538271441207719</v>
      </c>
      <c r="AL199" s="479">
        <f t="shared" si="33"/>
        <v>0.54913396716500618</v>
      </c>
      <c r="AM199" s="479">
        <f t="shared" si="34"/>
        <v>0.62637045608000386</v>
      </c>
      <c r="AN199" s="479">
        <f t="shared" si="35"/>
        <v>0.68972848516440399</v>
      </c>
      <c r="AO199" s="479">
        <f t="shared" si="36"/>
        <v>1.0065988849699035</v>
      </c>
      <c r="AP199" s="479">
        <f t="shared" si="37"/>
        <v>1.0161278894405794</v>
      </c>
      <c r="AQ199" s="479">
        <f t="shared" si="38"/>
        <v>1.1155073159842306</v>
      </c>
      <c r="AR199" s="479"/>
      <c r="AS199" s="479">
        <f t="shared" si="39"/>
        <v>0.56608488134140256</v>
      </c>
      <c r="AT199" s="479">
        <f t="shared" si="40"/>
        <v>0.435063077893382</v>
      </c>
      <c r="AU199" s="479">
        <f t="shared" si="41"/>
        <v>0.40549413127680195</v>
      </c>
      <c r="AV199" s="479">
        <f t="shared" si="42"/>
        <v>0.39776981029252217</v>
      </c>
      <c r="AW199" s="479">
        <f t="shared" si="43"/>
        <v>0.38646590063227465</v>
      </c>
      <c r="AX199" s="479">
        <f t="shared" si="44"/>
        <v>0.36141357757445147</v>
      </c>
      <c r="AY199" s="479">
        <f t="shared" si="45"/>
        <v>0.4123025570856263</v>
      </c>
      <c r="AZ199" s="479">
        <f t="shared" si="46"/>
        <v>0.37298837839475796</v>
      </c>
      <c r="BA199" s="479">
        <f t="shared" si="47"/>
        <v>0.43231681789344234</v>
      </c>
      <c r="BB199" s="479">
        <f t="shared" si="48"/>
        <v>0.42978200229024216</v>
      </c>
      <c r="BC199" s="479">
        <f t="shared" si="49"/>
        <v>0.54128214387967721</v>
      </c>
      <c r="BD199" s="479">
        <f t="shared" si="50"/>
        <v>0.57743150249079578</v>
      </c>
    </row>
    <row r="200" spans="1:56" ht="15">
      <c r="A200" s="63" t="str">
        <f>VLOOKUP(CONCATENATE($C200," - ",$B200),[2]ACHIEV!$B$12:$C$100,2,FALSE)</f>
        <v>LO20Fast</v>
      </c>
      <c r="B200" s="63" t="str">
        <f>'SC-NR (2)'!$C$7</f>
        <v>NR</v>
      </c>
      <c r="C200" s="63" t="str">
        <f>'SC-NR (2)'!$C$8</f>
        <v>Lighting</v>
      </c>
      <c r="D200" s="63" t="s">
        <v>795</v>
      </c>
      <c r="E200" s="63" t="str">
        <f>'SC-NR (2)'!$A$9</f>
        <v>Lighting</v>
      </c>
      <c r="F200" s="478">
        <f t="shared" si="26"/>
        <v>1.962157373850039E-3</v>
      </c>
      <c r="G200" s="71">
        <f>'SC-NR (2)'!A98</f>
        <v>7.5107020440195642</v>
      </c>
      <c r="H200" s="71">
        <f>'SC-NR (2)'!B98</f>
        <v>253.66864707291808</v>
      </c>
      <c r="I200" t="str">
        <f>'SC-NR (2)'!C98</f>
        <v>Multifamily - Low Rise</v>
      </c>
      <c r="J200" t="str">
        <f>'SC-NR (2)'!D98</f>
        <v>2017 - LEDDecorative and Mini-Base1440 to 2600 lumensANY</v>
      </c>
      <c r="K200" s="37">
        <f>'SC-NR (2)'!E98</f>
        <v>0</v>
      </c>
      <c r="L200" s="37">
        <f>'SC-NR (2)'!F98</f>
        <v>3.1829139844819057E-4</v>
      </c>
      <c r="M200" s="37">
        <f>'SC-NR (2)'!G98</f>
        <v>4.0816195334356391E-4</v>
      </c>
      <c r="N200" s="37">
        <f>'SC-NR (2)'!H98</f>
        <v>4.7762903780476868E-4</v>
      </c>
      <c r="O200" s="37">
        <f>'SC-NR (2)'!I98</f>
        <v>5.3808009266992959E-4</v>
      </c>
      <c r="P200" s="37">
        <f>'SC-NR (2)'!J98</f>
        <v>5.8998620649100986E-4</v>
      </c>
      <c r="Q200" s="37">
        <f>'SC-NR (2)'!K98</f>
        <v>6.3405683900207021E-4</v>
      </c>
      <c r="R200" s="37">
        <f>'SC-NR (2)'!L98</f>
        <v>6.711101024776551E-4</v>
      </c>
      <c r="S200" s="37">
        <f>'SC-NR (2)'!M98</f>
        <v>8.1870466343852673E-4</v>
      </c>
      <c r="T200" s="37">
        <f>'SC-NR (2)'!N98</f>
        <v>8.2792033091349951E-4</v>
      </c>
      <c r="U200" s="37">
        <f>'SC-NR (2)'!O98</f>
        <v>8.3727705767822134E-4</v>
      </c>
      <c r="V200" s="37">
        <f>'SC-NR (2)'!P98</f>
        <v>8.4169160197482631E-4</v>
      </c>
      <c r="W200" s="37">
        <f>'SC-NR (2)'!Q98</f>
        <v>8.4151718437005792E-4</v>
      </c>
      <c r="X200" s="37">
        <f>'SC-NR (2)'!R98</f>
        <v>8.4131016708753191E-4</v>
      </c>
      <c r="Y200" s="37">
        <f>'SC-NR (2)'!S98</f>
        <v>8.4135474224685859E-4</v>
      </c>
      <c r="Z200" s="37">
        <f>'SC-NR (2)'!T98</f>
        <v>8.4164144492602513E-4</v>
      </c>
      <c r="AA200" s="37">
        <f>'SC-NR (2)'!U98</f>
        <v>8.4129042496418479E-4</v>
      </c>
      <c r="AB200" s="37">
        <f>'SC-NR (2)'!V98</f>
        <v>8.4043612634681188E-4</v>
      </c>
      <c r="AC200" s="37">
        <f>'SC-NR (2)'!W98</f>
        <v>8.3835037341679951E-4</v>
      </c>
      <c r="AD200" s="37">
        <f>'SC-NR (2)'!X98</f>
        <v>8.3617871527408912E-4</v>
      </c>
      <c r="AE200" s="37">
        <f>'SC-NR (2)'!Y98</f>
        <v>7.3119710723676184E-3</v>
      </c>
      <c r="AF200" s="479">
        <f t="shared" si="27"/>
        <v>0.53738152147667351</v>
      </c>
      <c r="AG200" s="479">
        <f t="shared" si="28"/>
        <v>0.42740888209933781</v>
      </c>
      <c r="AH200" s="479">
        <f t="shared" si="29"/>
        <v>0.43181914969377672</v>
      </c>
      <c r="AI200" s="479">
        <f t="shared" si="30"/>
        <v>0.35218024506915513</v>
      </c>
      <c r="AJ200" s="479">
        <f t="shared" si="31"/>
        <v>0.32069191377993372</v>
      </c>
      <c r="AK200" s="479">
        <f t="shared" si="32"/>
        <v>0.32951792017053727</v>
      </c>
      <c r="AL200" s="479">
        <f t="shared" si="33"/>
        <v>0.27194797645907187</v>
      </c>
      <c r="AM200" s="479">
        <f t="shared" si="34"/>
        <v>0.31019785376619841</v>
      </c>
      <c r="AN200" s="479">
        <f t="shared" si="35"/>
        <v>0.34157469226499099</v>
      </c>
      <c r="AO200" s="479">
        <f t="shared" si="36"/>
        <v>0.49849862919018445</v>
      </c>
      <c r="AP200" s="479">
        <f t="shared" si="37"/>
        <v>0.50321768435416969</v>
      </c>
      <c r="AQ200" s="479">
        <f t="shared" si="38"/>
        <v>0.5524334232561634</v>
      </c>
      <c r="AR200" s="479"/>
      <c r="AS200" s="479">
        <f t="shared" si="39"/>
        <v>0.28034258885793889</v>
      </c>
      <c r="AT200" s="479">
        <f t="shared" si="40"/>
        <v>0.21545657478807742</v>
      </c>
      <c r="AU200" s="479">
        <f t="shared" si="41"/>
        <v>0.20081312586810013</v>
      </c>
      <c r="AV200" s="479">
        <f t="shared" si="42"/>
        <v>0.19698780529643709</v>
      </c>
      <c r="AW200" s="479">
        <f t="shared" si="43"/>
        <v>0.19138976266569091</v>
      </c>
      <c r="AX200" s="479">
        <f t="shared" si="44"/>
        <v>0.17898308420734163</v>
      </c>
      <c r="AY200" s="479">
        <f t="shared" si="45"/>
        <v>0.20418486706841296</v>
      </c>
      <c r="AZ200" s="479">
        <f t="shared" si="46"/>
        <v>0.18471528044581126</v>
      </c>
      <c r="BA200" s="479">
        <f t="shared" si="47"/>
        <v>0.21409654263841862</v>
      </c>
      <c r="BB200" s="479">
        <f t="shared" si="48"/>
        <v>0.21284122423670696</v>
      </c>
      <c r="BC200" s="479">
        <f t="shared" si="49"/>
        <v>0.26805951283883145</v>
      </c>
      <c r="BD200" s="479">
        <f t="shared" si="50"/>
        <v>0.28596178352760315</v>
      </c>
    </row>
    <row r="201" spans="1:56" ht="15">
      <c r="A201" s="63" t="str">
        <f>VLOOKUP(CONCATENATE($C201," - ",$B201),[2]ACHIEV!$B$12:$C$100,2,FALSE)</f>
        <v>LO20Fast</v>
      </c>
      <c r="B201" s="63" t="str">
        <f>'SC-NR (2)'!$C$7</f>
        <v>NR</v>
      </c>
      <c r="C201" s="63" t="str">
        <f>'SC-NR (2)'!$C$8</f>
        <v>Lighting</v>
      </c>
      <c r="D201" s="63" t="s">
        <v>795</v>
      </c>
      <c r="E201" s="63" t="str">
        <f>'SC-NR (2)'!$A$9</f>
        <v>Lighting</v>
      </c>
      <c r="F201" s="478">
        <f t="shared" si="26"/>
        <v>5.0185805390402609E-4</v>
      </c>
      <c r="G201" s="71">
        <f>'SC-NR (2)'!A99</f>
        <v>1.9210010172979759</v>
      </c>
      <c r="H201" s="71">
        <f>'SC-NR (2)'!B99</f>
        <v>19.879331870717266</v>
      </c>
      <c r="I201" t="str">
        <f>'SC-NR (2)'!C99</f>
        <v>Multifamily - Low Rise</v>
      </c>
      <c r="J201" t="str">
        <f>'SC-NR (2)'!D99</f>
        <v>2017 - LEDGeneral Purpose and Dimmable250 to 664 lumensANY</v>
      </c>
      <c r="K201" s="37">
        <f>'SC-NR (2)'!E99</f>
        <v>0</v>
      </c>
      <c r="L201" s="37">
        <f>'SC-NR (2)'!F99</f>
        <v>1.2615874097889498E-2</v>
      </c>
      <c r="M201" s="37">
        <f>'SC-NR (2)'!G99</f>
        <v>1.6178004935214169E-2</v>
      </c>
      <c r="N201" s="37">
        <f>'SC-NR (2)'!H99</f>
        <v>1.8931418931893911E-2</v>
      </c>
      <c r="O201" s="37">
        <f>'SC-NR (2)'!I99</f>
        <v>2.1327471420216557E-2</v>
      </c>
      <c r="P201" s="37">
        <f>'SC-NR (2)'!J99</f>
        <v>2.3384834578850766E-2</v>
      </c>
      <c r="Q201" s="37">
        <f>'SC-NR (2)'!K99</f>
        <v>2.513162872372739E-2</v>
      </c>
      <c r="R201" s="37">
        <f>'SC-NR (2)'!L99</f>
        <v>2.6600280748893562E-2</v>
      </c>
      <c r="S201" s="37">
        <f>'SC-NR (2)'!M99</f>
        <v>3.2450374115204628E-2</v>
      </c>
      <c r="T201" s="37">
        <f>'SC-NR (2)'!N99</f>
        <v>3.28156485183431E-2</v>
      </c>
      <c r="U201" s="37">
        <f>'SC-NR (2)'!O99</f>
        <v>3.318651398127296E-2</v>
      </c>
      <c r="V201" s="37">
        <f>'SC-NR (2)'!P99</f>
        <v>3.3361489916271699E-2</v>
      </c>
      <c r="W201" s="37">
        <f>'SC-NR (2)'!Q99</f>
        <v>3.3354576658317057E-2</v>
      </c>
      <c r="X201" s="37">
        <f>'SC-NR (2)'!R99</f>
        <v>3.334637127172739E-2</v>
      </c>
      <c r="Y201" s="37">
        <f>'SC-NR (2)'!S99</f>
        <v>3.3348138063417958E-2</v>
      </c>
      <c r="Z201" s="37">
        <f>'SC-NR (2)'!T99</f>
        <v>3.3359501879473077E-2</v>
      </c>
      <c r="AA201" s="37">
        <f>'SC-NR (2)'!U99</f>
        <v>3.3345588768198271E-2</v>
      </c>
      <c r="AB201" s="37">
        <f>'SC-NR (2)'!V99</f>
        <v>3.3311727583600369E-2</v>
      </c>
      <c r="AC201" s="37">
        <f>'SC-NR (2)'!W99</f>
        <v>3.3229056180940325E-2</v>
      </c>
      <c r="AD201" s="37">
        <f>'SC-NR (2)'!X99</f>
        <v>3.3142979818695961E-2</v>
      </c>
      <c r="AE201" s="37">
        <f>'SC-NR (2)'!Y99</f>
        <v>0.28981903660024688</v>
      </c>
      <c r="AF201" s="479">
        <f t="shared" si="27"/>
        <v>0.13744526721783706</v>
      </c>
      <c r="AG201" s="479">
        <f t="shared" si="28"/>
        <v>0.10931772988768557</v>
      </c>
      <c r="AH201" s="479">
        <f t="shared" si="29"/>
        <v>0.11044573742756919</v>
      </c>
      <c r="AI201" s="479">
        <f t="shared" si="30"/>
        <v>9.0076614021560725E-2</v>
      </c>
      <c r="AJ201" s="479">
        <f t="shared" si="31"/>
        <v>8.2022890669856893E-2</v>
      </c>
      <c r="AK201" s="479">
        <f t="shared" si="32"/>
        <v>8.4280305110698436E-2</v>
      </c>
      <c r="AL201" s="479">
        <f t="shared" si="33"/>
        <v>6.955572679733403E-2</v>
      </c>
      <c r="AM201" s="479">
        <f t="shared" si="34"/>
        <v>7.9338840651120859E-2</v>
      </c>
      <c r="AN201" s="479">
        <f t="shared" si="35"/>
        <v>8.7364047658735955E-2</v>
      </c>
      <c r="AO201" s="479">
        <f t="shared" si="36"/>
        <v>0.12750024807048468</v>
      </c>
      <c r="AP201" s="479">
        <f t="shared" si="37"/>
        <v>0.12870723374473589</v>
      </c>
      <c r="AQ201" s="479">
        <f t="shared" si="38"/>
        <v>0.14129506960131633</v>
      </c>
      <c r="AR201" s="479"/>
      <c r="AS201" s="479">
        <f t="shared" si="39"/>
        <v>7.1702804242762208E-2</v>
      </c>
      <c r="AT201" s="479">
        <f t="shared" si="40"/>
        <v>5.5107005566942716E-2</v>
      </c>
      <c r="AU201" s="479">
        <f t="shared" si="41"/>
        <v>5.1361672559833739E-2</v>
      </c>
      <c r="AV201" s="479">
        <f t="shared" si="42"/>
        <v>5.0383276044223477E-2</v>
      </c>
      <c r="AW201" s="479">
        <f t="shared" si="43"/>
        <v>4.8951473061557747E-2</v>
      </c>
      <c r="AX201" s="479">
        <f t="shared" si="44"/>
        <v>4.5778235486682146E-2</v>
      </c>
      <c r="AY201" s="479">
        <f t="shared" si="45"/>
        <v>5.2224057758701252E-2</v>
      </c>
      <c r="AZ201" s="479">
        <f t="shared" si="46"/>
        <v>4.7244350736749853E-2</v>
      </c>
      <c r="BA201" s="479">
        <f t="shared" si="47"/>
        <v>5.4759152180170065E-2</v>
      </c>
      <c r="BB201" s="479">
        <f t="shared" si="48"/>
        <v>5.4438081271939699E-2</v>
      </c>
      <c r="BC201" s="479">
        <f t="shared" si="49"/>
        <v>6.8561180278722517E-2</v>
      </c>
      <c r="BD201" s="479">
        <f t="shared" si="50"/>
        <v>7.3140017250754669E-2</v>
      </c>
    </row>
    <row r="202" spans="1:56" ht="15">
      <c r="A202" s="63" t="str">
        <f>VLOOKUP(CONCATENATE($C202," - ",$B202),[2]ACHIEV!$B$12:$C$100,2,FALSE)</f>
        <v>LO20Fast</v>
      </c>
      <c r="B202" s="63" t="str">
        <f>'SC-NR (2)'!$C$7</f>
        <v>NR</v>
      </c>
      <c r="C202" s="63" t="str">
        <f>'SC-NR (2)'!$C$8</f>
        <v>Lighting</v>
      </c>
      <c r="D202" s="63" t="s">
        <v>795</v>
      </c>
      <c r="E202" s="63" t="str">
        <f>'SC-NR (2)'!$A$9</f>
        <v>Lighting</v>
      </c>
      <c r="F202" s="478">
        <f t="shared" si="26"/>
        <v>1.9587879633994761E-3</v>
      </c>
      <c r="G202" s="71">
        <f>'SC-NR (2)'!A100</f>
        <v>7.4978046901704554</v>
      </c>
      <c r="H202" s="71">
        <f>'SC-NR (2)'!B100</f>
        <v>38.047469279788793</v>
      </c>
      <c r="I202" t="str">
        <f>'SC-NR (2)'!C100</f>
        <v>Multifamily - Low Rise</v>
      </c>
      <c r="J202" t="str">
        <f>'SC-NR (2)'!D100</f>
        <v>2017 - LEDGeneral Purpose and Dimmable665 to 1439 lumensANY</v>
      </c>
      <c r="K202" s="37">
        <f>'SC-NR (2)'!E100</f>
        <v>0</v>
      </c>
      <c r="L202" s="37">
        <f>'SC-NR (2)'!F100</f>
        <v>0.37996374767584939</v>
      </c>
      <c r="M202" s="37">
        <f>'SC-NR (2)'!G100</f>
        <v>0.48724767997888485</v>
      </c>
      <c r="N202" s="37">
        <f>'SC-NR (2)'!H100</f>
        <v>0.57017475209167578</v>
      </c>
      <c r="O202" s="37">
        <f>'SC-NR (2)'!I100</f>
        <v>0.64233884282585774</v>
      </c>
      <c r="P202" s="37">
        <f>'SC-NR (2)'!J100</f>
        <v>0.7043023191588732</v>
      </c>
      <c r="Q202" s="37">
        <f>'SC-NR (2)'!K100</f>
        <v>0.75691210620617622</v>
      </c>
      <c r="R202" s="37">
        <f>'SC-NR (2)'!L100</f>
        <v>0.80114483421090599</v>
      </c>
      <c r="S202" s="37">
        <f>'SC-NR (2)'!M100</f>
        <v>0.97733741369210392</v>
      </c>
      <c r="T202" s="37">
        <f>'SC-NR (2)'!N100</f>
        <v>0.9883387149154389</v>
      </c>
      <c r="U202" s="37">
        <f>'SC-NR (2)'!O100</f>
        <v>0.99950840716862543</v>
      </c>
      <c r="V202" s="37">
        <f>'SC-NR (2)'!P100</f>
        <v>1.0047783164511159</v>
      </c>
      <c r="W202" s="37">
        <f>'SC-NR (2)'!Q100</f>
        <v>1.004570103577342</v>
      </c>
      <c r="X202" s="37">
        <f>'SC-NR (2)'!R100</f>
        <v>1.0043229744909585</v>
      </c>
      <c r="Y202" s="37">
        <f>'SC-NR (2)'!S100</f>
        <v>1.0043761865622667</v>
      </c>
      <c r="Z202" s="37">
        <f>'SC-NR (2)'!T100</f>
        <v>1.0047184409397834</v>
      </c>
      <c r="AA202" s="37">
        <f>'SC-NR (2)'!U100</f>
        <v>1.0042994071208988</v>
      </c>
      <c r="AB202" s="37">
        <f>'SC-NR (2)'!V100</f>
        <v>1.0032795790455127</v>
      </c>
      <c r="AC202" s="37">
        <f>'SC-NR (2)'!W100</f>
        <v>1.0007896892656531</v>
      </c>
      <c r="AD202" s="37">
        <f>'SC-NR (2)'!X100</f>
        <v>0.9981972492229817</v>
      </c>
      <c r="AE202" s="37">
        <f>'SC-NR (2)'!Y100</f>
        <v>8.7287433625273749</v>
      </c>
      <c r="AF202" s="479">
        <f t="shared" si="27"/>
        <v>0.53645873162376279</v>
      </c>
      <c r="AG202" s="479">
        <f t="shared" si="28"/>
        <v>0.42667493691573455</v>
      </c>
      <c r="AH202" s="479">
        <f t="shared" si="29"/>
        <v>0.43107763121257736</v>
      </c>
      <c r="AI202" s="479">
        <f t="shared" si="30"/>
        <v>0.35157548226366747</v>
      </c>
      <c r="AJ202" s="479">
        <f t="shared" si="31"/>
        <v>0.32014122263757089</v>
      </c>
      <c r="AK202" s="479">
        <f t="shared" si="32"/>
        <v>0.32895207303785196</v>
      </c>
      <c r="AL202" s="479">
        <f t="shared" si="33"/>
        <v>0.27148098825205935</v>
      </c>
      <c r="AM202" s="479">
        <f t="shared" si="34"/>
        <v>0.30966518299057599</v>
      </c>
      <c r="AN202" s="479">
        <f t="shared" si="35"/>
        <v>0.34098814128131166</v>
      </c>
      <c r="AO202" s="479">
        <f t="shared" si="36"/>
        <v>0.49764260891720863</v>
      </c>
      <c r="AP202" s="479">
        <f t="shared" si="37"/>
        <v>0.50235356053455782</v>
      </c>
      <c r="AQ202" s="479">
        <f t="shared" si="38"/>
        <v>0.55148478632501485</v>
      </c>
      <c r="AR202" s="479"/>
      <c r="AS202" s="479">
        <f t="shared" si="39"/>
        <v>0.27986118544900518</v>
      </c>
      <c r="AT202" s="479">
        <f t="shared" si="40"/>
        <v>0.21508659343774925</v>
      </c>
      <c r="AU202" s="479">
        <f t="shared" si="41"/>
        <v>0.20046829020204826</v>
      </c>
      <c r="AV202" s="479">
        <f t="shared" si="42"/>
        <v>0.19664953845879962</v>
      </c>
      <c r="AW202" s="479">
        <f t="shared" si="43"/>
        <v>0.19106110876919372</v>
      </c>
      <c r="AX202" s="479">
        <f t="shared" si="44"/>
        <v>0.17867573501994241</v>
      </c>
      <c r="AY202" s="479">
        <f t="shared" si="45"/>
        <v>0.20383424145901183</v>
      </c>
      <c r="AZ202" s="479">
        <f t="shared" si="46"/>
        <v>0.18439808794911994</v>
      </c>
      <c r="BA202" s="479">
        <f t="shared" si="47"/>
        <v>0.21372889673100612</v>
      </c>
      <c r="BB202" s="479">
        <f t="shared" si="48"/>
        <v>0.21247573395809255</v>
      </c>
      <c r="BC202" s="479">
        <f t="shared" si="49"/>
        <v>0.26759920188927711</v>
      </c>
      <c r="BD202" s="479">
        <f t="shared" si="50"/>
        <v>0.28547073085531477</v>
      </c>
    </row>
    <row r="203" spans="1:56" ht="15">
      <c r="A203" s="63" t="str">
        <f>VLOOKUP(CONCATENATE($C203," - ",$B203),[2]ACHIEV!$B$12:$C$100,2,FALSE)</f>
        <v>LO20Fast</v>
      </c>
      <c r="B203" s="63" t="str">
        <f>'SC-NR (2)'!$C$7</f>
        <v>NR</v>
      </c>
      <c r="C203" s="63" t="str">
        <f>'SC-NR (2)'!$C$8</f>
        <v>Lighting</v>
      </c>
      <c r="D203" s="63" t="s">
        <v>795</v>
      </c>
      <c r="E203" s="63" t="str">
        <f>'SC-NR (2)'!$A$9</f>
        <v>Lighting</v>
      </c>
      <c r="F203" s="478">
        <f t="shared" si="26"/>
        <v>3.659906529973458E-3</v>
      </c>
      <c r="G203" s="71">
        <f>'SC-NR (2)'!A101</f>
        <v>14.009308234872018</v>
      </c>
      <c r="H203" s="71">
        <f>'SC-NR (2)'!B101</f>
        <v>64.372768585347757</v>
      </c>
      <c r="I203" t="str">
        <f>'SC-NR (2)'!C101</f>
        <v>Multifamily - Low Rise</v>
      </c>
      <c r="J203" t="str">
        <f>'SC-NR (2)'!D101</f>
        <v>2017 - LEDGeneral Purpose and Dimmable1440 to 2600 lumensANY</v>
      </c>
      <c r="K203" s="37">
        <f>'SC-NR (2)'!E101</f>
        <v>0</v>
      </c>
      <c r="L203" s="37">
        <f>'SC-NR (2)'!F101</f>
        <v>7.0782430842068395E-2</v>
      </c>
      <c r="M203" s="37">
        <f>'SC-NR (2)'!G101</f>
        <v>9.0768067801263549E-2</v>
      </c>
      <c r="N203" s="37">
        <f>'SC-NR (2)'!H101</f>
        <v>0.10621633038595202</v>
      </c>
      <c r="O203" s="37">
        <f>'SC-NR (2)'!I101</f>
        <v>0.11965958594103365</v>
      </c>
      <c r="P203" s="37">
        <f>'SC-NR (2)'!J101</f>
        <v>0.13120259630742651</v>
      </c>
      <c r="Q203" s="37">
        <f>'SC-NR (2)'!K101</f>
        <v>0.14100313290090311</v>
      </c>
      <c r="R203" s="37">
        <f>'SC-NR (2)'!L101</f>
        <v>0.14924312955874691</v>
      </c>
      <c r="S203" s="37">
        <f>'SC-NR (2)'!M101</f>
        <v>0.18206557419536776</v>
      </c>
      <c r="T203" s="37">
        <f>'SC-NR (2)'!N101</f>
        <v>0.18411497719177619</v>
      </c>
      <c r="U203" s="37">
        <f>'SC-NR (2)'!O101</f>
        <v>0.18619574930299568</v>
      </c>
      <c r="V203" s="37">
        <f>'SC-NR (2)'!P101</f>
        <v>0.18717746661580129</v>
      </c>
      <c r="W203" s="37">
        <f>'SC-NR (2)'!Q101</f>
        <v>0.18713867919613697</v>
      </c>
      <c r="X203" s="37">
        <f>'SC-NR (2)'!R101</f>
        <v>0.18709264217925572</v>
      </c>
      <c r="Y203" s="37">
        <f>'SC-NR (2)'!S101</f>
        <v>0.18710255491377414</v>
      </c>
      <c r="Z203" s="37">
        <f>'SC-NR (2)'!T101</f>
        <v>0.18716631256685332</v>
      </c>
      <c r="AA203" s="37">
        <f>'SC-NR (2)'!U101</f>
        <v>0.18708825187688718</v>
      </c>
      <c r="AB203" s="37">
        <f>'SC-NR (2)'!V101</f>
        <v>0.18689827083091018</v>
      </c>
      <c r="AC203" s="37">
        <f>'SC-NR (2)'!W101</f>
        <v>0.18643443591975004</v>
      </c>
      <c r="AD203" s="37">
        <f>'SC-NR (2)'!X101</f>
        <v>0.18595149719426632</v>
      </c>
      <c r="AE203" s="37">
        <f>'SC-NR (2)'!Y101</f>
        <v>1.6260542674806542</v>
      </c>
      <c r="AF203" s="479">
        <f t="shared" si="27"/>
        <v>1.0023488257113993</v>
      </c>
      <c r="AG203" s="479">
        <f t="shared" si="28"/>
        <v>0.79722278111397538</v>
      </c>
      <c r="AH203" s="479">
        <f t="shared" si="29"/>
        <v>0.80544901586095996</v>
      </c>
      <c r="AI203" s="479">
        <f t="shared" si="30"/>
        <v>0.65690285388635883</v>
      </c>
      <c r="AJ203" s="479">
        <f t="shared" si="31"/>
        <v>0.59816936449388325</v>
      </c>
      <c r="AK203" s="479">
        <f t="shared" si="32"/>
        <v>0.61463203912592634</v>
      </c>
      <c r="AL203" s="479">
        <f t="shared" si="33"/>
        <v>0.50724992200941221</v>
      </c>
      <c r="AM203" s="479">
        <f t="shared" si="34"/>
        <v>0.57859535922699556</v>
      </c>
      <c r="AN203" s="479">
        <f t="shared" si="35"/>
        <v>0.63712088711894432</v>
      </c>
      <c r="AO203" s="479">
        <f t="shared" si="36"/>
        <v>0.92982265972689038</v>
      </c>
      <c r="AP203" s="479">
        <f t="shared" si="37"/>
        <v>0.93862485930585982</v>
      </c>
      <c r="AQ203" s="479">
        <f t="shared" si="38"/>
        <v>1.0304243278833694</v>
      </c>
      <c r="AR203" s="479"/>
      <c r="AS203" s="479">
        <f t="shared" si="39"/>
        <v>0.52290794064984647</v>
      </c>
      <c r="AT203" s="479">
        <f t="shared" si="40"/>
        <v>0.40187955130497377</v>
      </c>
      <c r="AU203" s="479">
        <f t="shared" si="41"/>
        <v>0.37456591426555569</v>
      </c>
      <c r="AV203" s="479">
        <f t="shared" si="42"/>
        <v>0.36743074971348882</v>
      </c>
      <c r="AW203" s="479">
        <f t="shared" si="43"/>
        <v>0.35698902212711459</v>
      </c>
      <c r="AX203" s="479">
        <f t="shared" si="44"/>
        <v>0.33384751262836426</v>
      </c>
      <c r="AY203" s="479">
        <f t="shared" si="45"/>
        <v>0.38085504163162015</v>
      </c>
      <c r="AZ203" s="479">
        <f t="shared" si="46"/>
        <v>0.34453946971797317</v>
      </c>
      <c r="BA203" s="479">
        <f t="shared" si="47"/>
        <v>0.39934275654434592</v>
      </c>
      <c r="BB203" s="479">
        <f t="shared" si="48"/>
        <v>0.39700127870120755</v>
      </c>
      <c r="BC203" s="479">
        <f t="shared" si="49"/>
        <v>0.49999698012771288</v>
      </c>
      <c r="BD203" s="479">
        <f t="shared" si="50"/>
        <v>0.53338912199583788</v>
      </c>
    </row>
    <row r="204" spans="1:56" ht="15">
      <c r="A204" s="63" t="str">
        <f>VLOOKUP(CONCATENATE($C204," - ",$B204),[2]ACHIEV!$B$12:$C$100,2,FALSE)</f>
        <v>LO20Fast</v>
      </c>
      <c r="B204" s="63" t="str">
        <f>'SC-NR (2)'!$C$7</f>
        <v>NR</v>
      </c>
      <c r="C204" s="63" t="str">
        <f>'SC-NR (2)'!$C$8</f>
        <v>Lighting</v>
      </c>
      <c r="D204" s="63" t="s">
        <v>795</v>
      </c>
      <c r="E204" s="63" t="str">
        <f>'SC-NR (2)'!$A$9</f>
        <v>Lighting</v>
      </c>
      <c r="F204" s="478">
        <f t="shared" ref="F204:F242" si="51">VLOOKUP($J204,MeasureOutput,14,FALSE)</f>
        <v>3.9190405629480479E-3</v>
      </c>
      <c r="G204" s="71">
        <f>'SC-NR (2)'!A102</f>
        <v>15.001215681785107</v>
      </c>
      <c r="H204" s="71">
        <f>'SC-NR (2)'!B102</f>
        <v>-40.723166254238713</v>
      </c>
      <c r="I204" t="str">
        <f>'SC-NR (2)'!C102</f>
        <v>Multifamily - Low Rise</v>
      </c>
      <c r="J204" t="str">
        <f>'SC-NR (2)'!D102</f>
        <v>2017 - LEDGlobe250 to 664 lumensANY</v>
      </c>
      <c r="K204" s="37">
        <f>'SC-NR (2)'!E102</f>
        <v>0</v>
      </c>
      <c r="L204" s="37">
        <f>'SC-NR (2)'!F102</f>
        <v>6.4779371768179259E-2</v>
      </c>
      <c r="M204" s="37">
        <f>'SC-NR (2)'!G102</f>
        <v>8.3070026542274827E-2</v>
      </c>
      <c r="N204" s="37">
        <f>'SC-NR (2)'!H102</f>
        <v>9.7208121733987587E-2</v>
      </c>
      <c r="O204" s="37">
        <f>'SC-NR (2)'!I102</f>
        <v>0.10951125457383491</v>
      </c>
      <c r="P204" s="37">
        <f>'SC-NR (2)'!J102</f>
        <v>0.12007530204935755</v>
      </c>
      <c r="Q204" s="37">
        <f>'SC-NR (2)'!K102</f>
        <v>0.12904465498007298</v>
      </c>
      <c r="R204" s="37">
        <f>'SC-NR (2)'!L102</f>
        <v>0.13658581739166076</v>
      </c>
      <c r="S204" s="37">
        <f>'SC-NR (2)'!M102</f>
        <v>0.16662458998199764</v>
      </c>
      <c r="T204" s="37">
        <f>'SC-NR (2)'!N102</f>
        <v>0.16850018307802145</v>
      </c>
      <c r="U204" s="37">
        <f>'SC-NR (2)'!O102</f>
        <v>0.17040448487373536</v>
      </c>
      <c r="V204" s="37">
        <f>'SC-NR (2)'!P102</f>
        <v>0.17130294272578889</v>
      </c>
      <c r="W204" s="37">
        <f>'SC-NR (2)'!Q102</f>
        <v>0.1712674448677968</v>
      </c>
      <c r="X204" s="37">
        <f>'SC-NR (2)'!R102</f>
        <v>0.17122531225104193</v>
      </c>
      <c r="Y204" s="37">
        <f>'SC-NR (2)'!S102</f>
        <v>0.17123438428638982</v>
      </c>
      <c r="Z204" s="37">
        <f>'SC-NR (2)'!T102</f>
        <v>0.17129273465190775</v>
      </c>
      <c r="AA204" s="37">
        <f>'SC-NR (2)'!U102</f>
        <v>0.1712212942902864</v>
      </c>
      <c r="AB204" s="37">
        <f>'SC-NR (2)'!V102</f>
        <v>0.17104742553980917</v>
      </c>
      <c r="AC204" s="37">
        <f>'SC-NR (2)'!W102</f>
        <v>0.17062292847476568</v>
      </c>
      <c r="AD204" s="37">
        <f>'SC-NR (2)'!X102</f>
        <v>0.17018094779019202</v>
      </c>
      <c r="AE204" s="37">
        <f>'SC-NR (2)'!Y102</f>
        <v>1.4881485794601967</v>
      </c>
      <c r="AF204" s="479">
        <f t="shared" ref="AF204:AF242" si="52">VLOOKUP($J204,MeasureOutput,15,FALSE)</f>
        <v>1.0733185872412989</v>
      </c>
      <c r="AG204" s="479">
        <f t="shared" ref="AG204:AG242" si="53">VLOOKUP($J204,MeasureOutput,16,FALSE)</f>
        <v>0.85366890965780484</v>
      </c>
      <c r="AH204" s="479">
        <f t="shared" ref="AH204:AH242" si="54">VLOOKUP($J204,MeasureOutput,17,FALSE)</f>
        <v>0.86247759025927351</v>
      </c>
      <c r="AI204" s="479">
        <f t="shared" ref="AI204:AI242" si="55">VLOOKUP($J204,MeasureOutput,18,FALSE)</f>
        <v>0.70341384655953076</v>
      </c>
      <c r="AJ204" s="479">
        <f t="shared" ref="AJ204:AJ242" si="56">VLOOKUP($J204,MeasureOutput,19,FALSE)</f>
        <v>0.64052182310278416</v>
      </c>
      <c r="AK204" s="479">
        <f t="shared" ref="AK204:AK242" si="57">VLOOKUP($J204,MeasureOutput,20,FALSE)</f>
        <v>0.65815011200284546</v>
      </c>
      <c r="AL204" s="479">
        <f t="shared" ref="AL204:AL242" si="58">VLOOKUP($J204,MeasureOutput,21,FALSE)</f>
        <v>0.54316496982275031</v>
      </c>
      <c r="AM204" s="479">
        <f t="shared" ref="AM204:AM242" si="59">VLOOKUP($J204,MeasureOutput,22,FALSE)</f>
        <v>0.61956191060445931</v>
      </c>
      <c r="AN204" s="479">
        <f t="shared" ref="AN204:AN242" si="60">VLOOKUP($J204,MeasureOutput,23,FALSE)</f>
        <v>0.68223124816761238</v>
      </c>
      <c r="AO204" s="479">
        <f t="shared" ref="AO204:AO242" si="61">VLOOKUP($J204,MeasureOutput,24,FALSE)</f>
        <v>0.99565731801471724</v>
      </c>
      <c r="AP204" s="479">
        <f t="shared" ref="AP204:AP242" si="62">VLOOKUP($J204,MeasureOutput,25,FALSE)</f>
        <v>1.0050827437491268</v>
      </c>
      <c r="AQ204" s="479">
        <f t="shared" ref="AQ204:AQ242" si="63">VLOOKUP($J204,MeasureOutput,26,FALSE)</f>
        <v>1.1033819320114413</v>
      </c>
      <c r="AR204" s="479"/>
      <c r="AS204" s="479">
        <f t="shared" ref="AS204:AS242" si="64">VLOOKUP($J204,MeasureOutput,28,FALSE)</f>
        <v>0.55993163030566262</v>
      </c>
      <c r="AT204" s="479">
        <f t="shared" ref="AT204:AT242" si="65">VLOOKUP($J204,MeasureOutput,29,FALSE)</f>
        <v>0.43033401265440924</v>
      </c>
      <c r="AU204" s="479">
        <f t="shared" ref="AU204:AU242" si="66">VLOOKUP($J204,MeasureOutput,30,FALSE)</f>
        <v>0.40108647570162925</v>
      </c>
      <c r="AV204" s="479">
        <f t="shared" ref="AV204:AV242" si="67">VLOOKUP($J204,MeasureOutput,31,FALSE)</f>
        <v>0.39344611683621805</v>
      </c>
      <c r="AW204" s="479">
        <f t="shared" ref="AW204:AW242" si="68">VLOOKUP($J204,MeasureOutput,32,FALSE)</f>
        <v>0.38226507884436772</v>
      </c>
      <c r="AX204" s="479">
        <f t="shared" ref="AX204:AX242" si="69">VLOOKUP($J204,MeasureOutput,33,FALSE)</f>
        <v>0.35748507048330508</v>
      </c>
      <c r="AY204" s="479">
        <f t="shared" ref="AY204:AY242" si="70">VLOOKUP($J204,MeasureOutput,34,FALSE)</f>
        <v>0.40782089502389868</v>
      </c>
      <c r="AZ204" s="479">
        <f t="shared" ref="AZ204:AZ242" si="71">VLOOKUP($J204,MeasureOutput,35,FALSE)</f>
        <v>0.36893405509214999</v>
      </c>
      <c r="BA204" s="479">
        <f t="shared" ref="BA204:BA242" si="72">VLOOKUP($J204,MeasureOutput,36,FALSE)</f>
        <v>0.42761760405616928</v>
      </c>
      <c r="BB204" s="479">
        <f t="shared" ref="BB204:BB242" si="73">VLOOKUP($J204,MeasureOutput,37,FALSE)</f>
        <v>0.42511034148829985</v>
      </c>
      <c r="BC204" s="479">
        <f t="shared" ref="BC204:BC242" si="74">VLOOKUP($J204,MeasureOutput,38,FALSE)</f>
        <v>0.53539849458566535</v>
      </c>
      <c r="BD204" s="479">
        <f t="shared" ref="BD204:BD242" si="75">VLOOKUP($J204,MeasureOutput,39,FALSE)</f>
        <v>0.57115491551968489</v>
      </c>
    </row>
    <row r="205" spans="1:56" ht="15">
      <c r="A205" s="63" t="str">
        <f>VLOOKUP(CONCATENATE($C205," - ",$B205),[2]ACHIEV!$B$12:$C$100,2,FALSE)</f>
        <v>LO20Fast</v>
      </c>
      <c r="B205" s="63" t="str">
        <f>'SC-NR (2)'!$C$7</f>
        <v>NR</v>
      </c>
      <c r="C205" s="63" t="str">
        <f>'SC-NR (2)'!$C$8</f>
        <v>Lighting</v>
      </c>
      <c r="D205" s="63" t="s">
        <v>795</v>
      </c>
      <c r="E205" s="63" t="str">
        <f>'SC-NR (2)'!$A$9</f>
        <v>Lighting</v>
      </c>
      <c r="F205" s="478">
        <f t="shared" si="51"/>
        <v>2.6990998985958756E-3</v>
      </c>
      <c r="G205" s="71">
        <f>'SC-NR (2)'!A103</f>
        <v>10.331554133000125</v>
      </c>
      <c r="H205" s="71">
        <f>'SC-NR (2)'!B103</f>
        <v>-97.483290128606981</v>
      </c>
      <c r="I205" t="str">
        <f>'SC-NR (2)'!C103</f>
        <v>Multifamily - Low Rise</v>
      </c>
      <c r="J205" t="str">
        <f>'SC-NR (2)'!D103</f>
        <v>2017 - LEDGlobe665 to 1439 lumensANY</v>
      </c>
      <c r="K205" s="37">
        <f>'SC-NR (2)'!E103</f>
        <v>0</v>
      </c>
      <c r="L205" s="37">
        <f>'SC-NR (2)'!F103</f>
        <v>2.7204775753751145E-2</v>
      </c>
      <c r="M205" s="37">
        <f>'SC-NR (2)'!G103</f>
        <v>3.4886127825198274E-2</v>
      </c>
      <c r="N205" s="37">
        <f>'SC-NR (2)'!H103</f>
        <v>4.0823569000950258E-2</v>
      </c>
      <c r="O205" s="37">
        <f>'SC-NR (2)'!I103</f>
        <v>4.5990398515358584E-2</v>
      </c>
      <c r="P205" s="37">
        <f>'SC-NR (2)'!J103</f>
        <v>5.0426880913675802E-2</v>
      </c>
      <c r="Q205" s="37">
        <f>'SC-NR (2)'!K103</f>
        <v>5.4193654633087271E-2</v>
      </c>
      <c r="R205" s="37">
        <f>'SC-NR (2)'!L103</f>
        <v>5.736064478334741E-2</v>
      </c>
      <c r="S205" s="37">
        <f>'SC-NR (2)'!M103</f>
        <v>6.9975741996121915E-2</v>
      </c>
      <c r="T205" s="37">
        <f>'SC-NR (2)'!N103</f>
        <v>7.0763416964091816E-2</v>
      </c>
      <c r="U205" s="37">
        <f>'SC-NR (2)'!O103</f>
        <v>7.1563148451227215E-2</v>
      </c>
      <c r="V205" s="37">
        <f>'SC-NR (2)'!P103</f>
        <v>7.1940465237762027E-2</v>
      </c>
      <c r="W205" s="37">
        <f>'SC-NR (2)'!Q103</f>
        <v>7.1925557540449547E-2</v>
      </c>
      <c r="X205" s="37">
        <f>'SC-NR (2)'!R103</f>
        <v>7.1907863506693911E-2</v>
      </c>
      <c r="Y205" s="37">
        <f>'SC-NR (2)'!S103</f>
        <v>7.1911673402970028E-2</v>
      </c>
      <c r="Z205" s="37">
        <f>'SC-NR (2)'!T103</f>
        <v>7.193617825020357E-2</v>
      </c>
      <c r="AA205" s="37">
        <f>'SC-NR (2)'!U103</f>
        <v>7.1906176121985479E-2</v>
      </c>
      <c r="AB205" s="37">
        <f>'SC-NR (2)'!V103</f>
        <v>7.1833158118905061E-2</v>
      </c>
      <c r="AC205" s="37">
        <f>'SC-NR (2)'!W103</f>
        <v>7.1654886129729839E-2</v>
      </c>
      <c r="AD205" s="37">
        <f>'SC-NR (2)'!X103</f>
        <v>7.1469271711387769E-2</v>
      </c>
      <c r="AE205" s="37">
        <f>'SC-NR (2)'!Y103</f>
        <v>0.62496358466330126</v>
      </c>
      <c r="AF205" s="479">
        <f t="shared" si="52"/>
        <v>0.73921002945803449</v>
      </c>
      <c r="AG205" s="479">
        <f t="shared" si="53"/>
        <v>0.58793412073249252</v>
      </c>
      <c r="AH205" s="479">
        <f t="shared" si="54"/>
        <v>0.59400078642178622</v>
      </c>
      <c r="AI205" s="479">
        <f t="shared" si="55"/>
        <v>0.48445128633513773</v>
      </c>
      <c r="AJ205" s="479">
        <f t="shared" si="56"/>
        <v>0.44113664046505252</v>
      </c>
      <c r="AK205" s="479">
        <f t="shared" si="57"/>
        <v>0.4532774979066459</v>
      </c>
      <c r="AL205" s="479">
        <f t="shared" si="58"/>
        <v>0.37408556799080311</v>
      </c>
      <c r="AM205" s="479">
        <f t="shared" si="59"/>
        <v>0.42670124568152651</v>
      </c>
      <c r="AN205" s="479">
        <f t="shared" si="60"/>
        <v>0.46986252455702143</v>
      </c>
      <c r="AO205" s="479">
        <f t="shared" si="61"/>
        <v>0.68572359048721321</v>
      </c>
      <c r="AP205" s="479">
        <f t="shared" si="62"/>
        <v>0.69221501746668568</v>
      </c>
      <c r="AQ205" s="479">
        <f t="shared" si="63"/>
        <v>0.75991508966784882</v>
      </c>
      <c r="AR205" s="479"/>
      <c r="AS205" s="479">
        <f t="shared" si="64"/>
        <v>0.38563300948377344</v>
      </c>
      <c r="AT205" s="479">
        <f t="shared" si="65"/>
        <v>0.29637725643853452</v>
      </c>
      <c r="AU205" s="479">
        <f t="shared" si="66"/>
        <v>0.27623405486777952</v>
      </c>
      <c r="AV205" s="479">
        <f t="shared" si="67"/>
        <v>0.27097202925012304</v>
      </c>
      <c r="AW205" s="479">
        <f t="shared" si="68"/>
        <v>0.26327148672567968</v>
      </c>
      <c r="AX205" s="479">
        <f t="shared" si="69"/>
        <v>0.24620513668917057</v>
      </c>
      <c r="AY205" s="479">
        <f t="shared" si="70"/>
        <v>0.28087214682367551</v>
      </c>
      <c r="AZ205" s="479">
        <f t="shared" si="71"/>
        <v>0.25409021792280639</v>
      </c>
      <c r="BA205" s="479">
        <f t="shared" si="72"/>
        <v>0.29450642656211723</v>
      </c>
      <c r="BB205" s="479">
        <f t="shared" si="73"/>
        <v>0.29277963858072437</v>
      </c>
      <c r="BC205" s="479">
        <f t="shared" si="74"/>
        <v>0.36873668420453914</v>
      </c>
      <c r="BD205" s="479">
        <f t="shared" si="75"/>
        <v>0.39336264828095202</v>
      </c>
    </row>
    <row r="206" spans="1:56" ht="15">
      <c r="A206" s="63" t="str">
        <f>VLOOKUP(CONCATENATE($C206," - ",$B206),[2]ACHIEV!$B$12:$C$100,2,FALSE)</f>
        <v>LO20Fast</v>
      </c>
      <c r="B206" s="63" t="str">
        <f>'SC-NR (2)'!$C$7</f>
        <v>NR</v>
      </c>
      <c r="C206" s="63" t="str">
        <f>'SC-NR (2)'!$C$8</f>
        <v>Lighting</v>
      </c>
      <c r="D206" s="63" t="s">
        <v>795</v>
      </c>
      <c r="E206" s="63" t="str">
        <f>'SC-NR (2)'!$A$9</f>
        <v>Lighting</v>
      </c>
      <c r="F206" s="478">
        <f t="shared" si="51"/>
        <v>2.920231287037374E-3</v>
      </c>
      <c r="G206" s="71">
        <f>'SC-NR (2)'!A104</f>
        <v>11.177995908414712</v>
      </c>
      <c r="H206" s="71">
        <f>'SC-NR (2)'!B104</f>
        <v>-118.66739310804593</v>
      </c>
      <c r="I206" t="str">
        <f>'SC-NR (2)'!C104</f>
        <v>Multifamily - Low Rise</v>
      </c>
      <c r="J206" t="str">
        <f>'SC-NR (2)'!D104</f>
        <v>2017 - LEDGlobe1440 to 2600 lumensANY</v>
      </c>
      <c r="K206" s="37">
        <f>'SC-NR (2)'!E104</f>
        <v>0</v>
      </c>
      <c r="L206" s="37">
        <f>'SC-NR (2)'!F104</f>
        <v>2.2178460563091642E-3</v>
      </c>
      <c r="M206" s="37">
        <f>'SC-NR (2)'!G104</f>
        <v>2.8440617087735006E-3</v>
      </c>
      <c r="N206" s="37">
        <f>'SC-NR (2)'!H104</f>
        <v>3.32810651823654E-3</v>
      </c>
      <c r="O206" s="37">
        <f>'SC-NR (2)'!I104</f>
        <v>3.7493278716443962E-3</v>
      </c>
      <c r="P206" s="37">
        <f>'SC-NR (2)'!J104</f>
        <v>4.1110083015827373E-3</v>
      </c>
      <c r="Q206" s="37">
        <f>'SC-NR (2)'!K104</f>
        <v>4.4180913047372049E-3</v>
      </c>
      <c r="R206" s="37">
        <f>'SC-NR (2)'!L104</f>
        <v>4.6762774658253336E-3</v>
      </c>
      <c r="S206" s="37">
        <f>'SC-NR (2)'!M104</f>
        <v>5.7047124676999888E-3</v>
      </c>
      <c r="T206" s="37">
        <f>'SC-NR (2)'!N104</f>
        <v>5.7689269952218569E-3</v>
      </c>
      <c r="U206" s="37">
        <f>'SC-NR (2)'!O104</f>
        <v>5.834124420148433E-3</v>
      </c>
      <c r="V206" s="37">
        <f>'SC-NR (2)'!P104</f>
        <v>5.8648848481912949E-3</v>
      </c>
      <c r="W206" s="37">
        <f>'SC-NR (2)'!Q104</f>
        <v>5.8636695109287344E-3</v>
      </c>
      <c r="X206" s="37">
        <f>'SC-NR (2)'!R104</f>
        <v>5.8622270199727208E-3</v>
      </c>
      <c r="Y206" s="37">
        <f>'SC-NR (2)'!S104</f>
        <v>5.8625376185053989E-3</v>
      </c>
      <c r="Z206" s="37">
        <f>'SC-NR (2)'!T104</f>
        <v>5.864535355200211E-3</v>
      </c>
      <c r="AA206" s="37">
        <f>'SC-NR (2)'!U104</f>
        <v>5.8620894573787521E-3</v>
      </c>
      <c r="AB206" s="37">
        <f>'SC-NR (2)'!V104</f>
        <v>5.8561367271802991E-3</v>
      </c>
      <c r="AC206" s="37">
        <f>'SC-NR (2)'!W104</f>
        <v>5.8416032558618247E-3</v>
      </c>
      <c r="AD206" s="37">
        <f>'SC-NR (2)'!X104</f>
        <v>5.8264711992905708E-3</v>
      </c>
      <c r="AE206" s="37">
        <f>'SC-NR (2)'!Y104</f>
        <v>5.0949621277110571E-2</v>
      </c>
      <c r="AF206" s="479">
        <f t="shared" si="52"/>
        <v>0.79977190056512937</v>
      </c>
      <c r="AG206" s="479">
        <f t="shared" si="53"/>
        <v>0.63610228542226255</v>
      </c>
      <c r="AH206" s="479">
        <f t="shared" si="54"/>
        <v>0.64266597984612883</v>
      </c>
      <c r="AI206" s="479">
        <f t="shared" si="55"/>
        <v>0.52414132731335006</v>
      </c>
      <c r="AJ206" s="479">
        <f t="shared" si="56"/>
        <v>0.47727800664760928</v>
      </c>
      <c r="AK206" s="479">
        <f t="shared" si="57"/>
        <v>0.49041353815233252</v>
      </c>
      <c r="AL206" s="479">
        <f t="shared" si="58"/>
        <v>0.40473358553500982</v>
      </c>
      <c r="AM206" s="479">
        <f t="shared" si="59"/>
        <v>0.46165995134349902</v>
      </c>
      <c r="AN206" s="479">
        <f t="shared" si="60"/>
        <v>0.50835733999011201</v>
      </c>
      <c r="AO206" s="479">
        <f t="shared" si="61"/>
        <v>0.74190343389738511</v>
      </c>
      <c r="AP206" s="479">
        <f t="shared" si="62"/>
        <v>0.74892668938075402</v>
      </c>
      <c r="AQ206" s="479">
        <f t="shared" si="63"/>
        <v>0.82217328135735079</v>
      </c>
      <c r="AR206" s="479"/>
      <c r="AS206" s="479">
        <f t="shared" si="64"/>
        <v>0.41722708381217544</v>
      </c>
      <c r="AT206" s="479">
        <f t="shared" si="65"/>
        <v>0.32065880090927812</v>
      </c>
      <c r="AU206" s="479">
        <f t="shared" si="66"/>
        <v>0.29886531061326499</v>
      </c>
      <c r="AV206" s="479">
        <f t="shared" si="67"/>
        <v>0.29317217867329254</v>
      </c>
      <c r="AW206" s="479">
        <f t="shared" si="68"/>
        <v>0.28484074743625698</v>
      </c>
      <c r="AX206" s="479">
        <f t="shared" si="69"/>
        <v>0.26637618843343092</v>
      </c>
      <c r="AY206" s="479">
        <f t="shared" si="70"/>
        <v>0.30388339136263259</v>
      </c>
      <c r="AZ206" s="479">
        <f t="shared" si="71"/>
        <v>0.27490727723502484</v>
      </c>
      <c r="BA206" s="479">
        <f t="shared" si="72"/>
        <v>0.3186346980071661</v>
      </c>
      <c r="BB206" s="479">
        <f t="shared" si="73"/>
        <v>0.31676643803947591</v>
      </c>
      <c r="BC206" s="479">
        <f t="shared" si="74"/>
        <v>0.3989464793254543</v>
      </c>
      <c r="BD206" s="479">
        <f t="shared" si="75"/>
        <v>0.42558999511633339</v>
      </c>
    </row>
    <row r="207" spans="1:56" ht="15">
      <c r="A207" s="63" t="str">
        <f>VLOOKUP(CONCATENATE($C207," - ",$B207),[2]ACHIEV!$B$12:$C$100,2,FALSE)</f>
        <v>LO20Fast</v>
      </c>
      <c r="B207" s="63" t="str">
        <f>'SC-NR (2)'!$C$7</f>
        <v>NR</v>
      </c>
      <c r="C207" s="63" t="str">
        <f>'SC-NR (2)'!$C$8</f>
        <v>Lighting</v>
      </c>
      <c r="D207" s="63" t="s">
        <v>795</v>
      </c>
      <c r="E207" s="63" t="str">
        <f>'SC-NR (2)'!$A$9</f>
        <v>Lighting</v>
      </c>
      <c r="F207" s="478">
        <f t="shared" si="51"/>
        <v>5.5704529633071051E-3</v>
      </c>
      <c r="G207" s="71">
        <f>'SC-NR (2)'!A105</f>
        <v>21.322455076849025</v>
      </c>
      <c r="H207" s="71">
        <f>'SC-NR (2)'!B105</f>
        <v>-49.256412709384371</v>
      </c>
      <c r="I207" t="str">
        <f>'SC-NR (2)'!C105</f>
        <v>Multifamily - Low Rise</v>
      </c>
      <c r="J207" t="str">
        <f>'SC-NR (2)'!D105</f>
        <v>2017 - LEDReflectors and Outdoor250 to 664 lumensANY</v>
      </c>
      <c r="K207" s="37">
        <f>'SC-NR (2)'!E105</f>
        <v>0</v>
      </c>
      <c r="L207" s="37">
        <f>'SC-NR (2)'!F105</f>
        <v>2.9287514319720674E-2</v>
      </c>
      <c r="M207" s="37">
        <f>'SC-NR (2)'!G105</f>
        <v>3.7556934028365178E-2</v>
      </c>
      <c r="N207" s="37">
        <f>'SC-NR (2)'!H105</f>
        <v>4.394893280943795E-2</v>
      </c>
      <c r="O207" s="37">
        <f>'SC-NR (2)'!I105</f>
        <v>4.9511323573490605E-2</v>
      </c>
      <c r="P207" s="37">
        <f>'SC-NR (2)'!J105</f>
        <v>5.4287453431939761E-2</v>
      </c>
      <c r="Q207" s="37">
        <f>'SC-NR (2)'!K105</f>
        <v>5.8342603169066323E-2</v>
      </c>
      <c r="R207" s="37">
        <f>'SC-NR (2)'!L105</f>
        <v>6.1752051209209381E-2</v>
      </c>
      <c r="S207" s="37">
        <f>'SC-NR (2)'!M105</f>
        <v>7.533293287528442E-2</v>
      </c>
      <c r="T207" s="37">
        <f>'SC-NR (2)'!N105</f>
        <v>7.6180910528638998E-2</v>
      </c>
      <c r="U207" s="37">
        <f>'SC-NR (2)'!O105</f>
        <v>7.7041867722089874E-2</v>
      </c>
      <c r="V207" s="37">
        <f>'SC-NR (2)'!P105</f>
        <v>7.7448071062589205E-2</v>
      </c>
      <c r="W207" s="37">
        <f>'SC-NR (2)'!Q105</f>
        <v>7.7432022064337386E-2</v>
      </c>
      <c r="X207" s="37">
        <f>'SC-NR (2)'!R105</f>
        <v>7.7412973413773872E-2</v>
      </c>
      <c r="Y207" s="37">
        <f>'SC-NR (2)'!S105</f>
        <v>7.7417074987437037E-2</v>
      </c>
      <c r="Z207" s="37">
        <f>'SC-NR (2)'!T105</f>
        <v>7.744345587257101E-2</v>
      </c>
      <c r="AA207" s="37">
        <f>'SC-NR (2)'!U105</f>
        <v>7.7411156846555751E-2</v>
      </c>
      <c r="AB207" s="37">
        <f>'SC-NR (2)'!V105</f>
        <v>7.7332548743692733E-2</v>
      </c>
      <c r="AC207" s="37">
        <f>'SC-NR (2)'!W105</f>
        <v>7.714062863808209E-2</v>
      </c>
      <c r="AD207" s="37">
        <f>'SC-NR (2)'!X105</f>
        <v>7.6940803982869108E-2</v>
      </c>
      <c r="AE207" s="37">
        <f>'SC-NR (2)'!Y105</f>
        <v>0.67280943981339736</v>
      </c>
      <c r="AF207" s="479">
        <f t="shared" si="52"/>
        <v>1.5255955147280642</v>
      </c>
      <c r="AG207" s="479">
        <f t="shared" si="53"/>
        <v>1.2133894587478662</v>
      </c>
      <c r="AH207" s="479">
        <f t="shared" si="54"/>
        <v>1.2259099571124876</v>
      </c>
      <c r="AI207" s="479">
        <f t="shared" si="55"/>
        <v>0.99981964541118984</v>
      </c>
      <c r="AJ207" s="479">
        <f t="shared" si="56"/>
        <v>0.91042606736425147</v>
      </c>
      <c r="AK207" s="479">
        <f t="shared" si="57"/>
        <v>0.93548259652339649</v>
      </c>
      <c r="AL207" s="479">
        <f t="shared" si="58"/>
        <v>0.77204480717028579</v>
      </c>
      <c r="AM207" s="479">
        <f t="shared" si="59"/>
        <v>0.88063402902945986</v>
      </c>
      <c r="AN207" s="479">
        <f t="shared" si="60"/>
        <v>0.96971108539821449</v>
      </c>
      <c r="AO207" s="479">
        <f t="shared" si="61"/>
        <v>1.4152091994172629</v>
      </c>
      <c r="AP207" s="479">
        <f t="shared" si="62"/>
        <v>1.4286063280943841</v>
      </c>
      <c r="AQ207" s="479">
        <f t="shared" si="63"/>
        <v>1.5683270060897629</v>
      </c>
      <c r="AR207" s="479"/>
      <c r="AS207" s="479">
        <f t="shared" si="64"/>
        <v>0.7958766333715297</v>
      </c>
      <c r="AT207" s="479">
        <f t="shared" si="65"/>
        <v>0.61166893720522297</v>
      </c>
      <c r="AU207" s="479">
        <f t="shared" si="66"/>
        <v>0.57009702023442965</v>
      </c>
      <c r="AV207" s="479">
        <f t="shared" si="67"/>
        <v>0.55923715313202227</v>
      </c>
      <c r="AW207" s="479">
        <f t="shared" si="68"/>
        <v>0.5433446291292342</v>
      </c>
      <c r="AX207" s="479">
        <f t="shared" si="69"/>
        <v>0.50812277602807099</v>
      </c>
      <c r="AY207" s="479">
        <f t="shared" si="70"/>
        <v>0.57966920135053146</v>
      </c>
      <c r="AZ207" s="479">
        <f t="shared" si="71"/>
        <v>0.52439615447792887</v>
      </c>
      <c r="BA207" s="479">
        <f t="shared" si="72"/>
        <v>0.60780788343898273</v>
      </c>
      <c r="BB207" s="479">
        <f t="shared" si="73"/>
        <v>0.60424410603565037</v>
      </c>
      <c r="BC207" s="479">
        <f t="shared" si="74"/>
        <v>0.7610056805514156</v>
      </c>
      <c r="BD207" s="479">
        <f t="shared" si="75"/>
        <v>0.81182920680737636</v>
      </c>
    </row>
    <row r="208" spans="1:56" ht="15">
      <c r="A208" s="63" t="str">
        <f>VLOOKUP(CONCATENATE($C208," - ",$B208),[2]ACHIEV!$B$12:$C$100,2,FALSE)</f>
        <v>LO20Fast</v>
      </c>
      <c r="B208" s="63" t="str">
        <f>'SC-NR (2)'!$C$7</f>
        <v>NR</v>
      </c>
      <c r="C208" s="63" t="str">
        <f>'SC-NR (2)'!$C$8</f>
        <v>Lighting</v>
      </c>
      <c r="D208" s="63" t="s">
        <v>795</v>
      </c>
      <c r="E208" s="63" t="str">
        <f>'SC-NR (2)'!$A$9</f>
        <v>Lighting</v>
      </c>
      <c r="F208" s="478">
        <f t="shared" si="51"/>
        <v>4.2475887264408763E-3</v>
      </c>
      <c r="G208" s="71">
        <f>'SC-NR (2)'!A106</f>
        <v>16.258824982644914</v>
      </c>
      <c r="H208" s="71">
        <f>'SC-NR (2)'!B106</f>
        <v>-57.558538168362972</v>
      </c>
      <c r="I208" t="str">
        <f>'SC-NR (2)'!C106</f>
        <v>Multifamily - Low Rise</v>
      </c>
      <c r="J208" t="str">
        <f>'SC-NR (2)'!D106</f>
        <v>2017 - LEDReflectors and Outdoor665 to 1439 lumensANY</v>
      </c>
      <c r="K208" s="37">
        <f>'SC-NR (2)'!E106</f>
        <v>0</v>
      </c>
      <c r="L208" s="37">
        <f>'SC-NR (2)'!F106</f>
        <v>0.22566170140787728</v>
      </c>
      <c r="M208" s="37">
        <f>'SC-NR (2)'!G106</f>
        <v>0.28937797656653846</v>
      </c>
      <c r="N208" s="37">
        <f>'SC-NR (2)'!H106</f>
        <v>0.33862863350476491</v>
      </c>
      <c r="O208" s="37">
        <f>'SC-NR (2)'!I106</f>
        <v>0.38148712091372844</v>
      </c>
      <c r="P208" s="37">
        <f>'SC-NR (2)'!J106</f>
        <v>0.41828743036426008</v>
      </c>
      <c r="Q208" s="37">
        <f>'SC-NR (2)'!K106</f>
        <v>0.44953255342775994</v>
      </c>
      <c r="R208" s="37">
        <f>'SC-NR (2)'!L106</f>
        <v>0.47580251397140277</v>
      </c>
      <c r="S208" s="37">
        <f>'SC-NR (2)'!M106</f>
        <v>0.5804438580584953</v>
      </c>
      <c r="T208" s="37">
        <f>'SC-NR (2)'!N106</f>
        <v>0.5869775665160617</v>
      </c>
      <c r="U208" s="37">
        <f>'SC-NR (2)'!O106</f>
        <v>0.59361128295210097</v>
      </c>
      <c r="V208" s="37">
        <f>'SC-NR (2)'!P106</f>
        <v>0.59674109915753171</v>
      </c>
      <c r="W208" s="37">
        <f>'SC-NR (2)'!Q106</f>
        <v>0.59661744085686952</v>
      </c>
      <c r="X208" s="37">
        <f>'SC-NR (2)'!R106</f>
        <v>0.59647067009139043</v>
      </c>
      <c r="Y208" s="37">
        <f>'SC-NR (2)'!S106</f>
        <v>0.59650227291302871</v>
      </c>
      <c r="Z208" s="37">
        <f>'SC-NR (2)'!T106</f>
        <v>0.59670553889726308</v>
      </c>
      <c r="AA208" s="37">
        <f>'SC-NR (2)'!U106</f>
        <v>0.59645667335391761</v>
      </c>
      <c r="AB208" s="37">
        <f>'SC-NR (2)'!V106</f>
        <v>0.59585099415414455</v>
      </c>
      <c r="AC208" s="37">
        <f>'SC-NR (2)'!W106</f>
        <v>0.59437224054283788</v>
      </c>
      <c r="AD208" s="37">
        <f>'SC-NR (2)'!X106</f>
        <v>0.59283258199802791</v>
      </c>
      <c r="AE208" s="37">
        <f>'SC-NR (2)'!Y106</f>
        <v>5.184028977472475</v>
      </c>
      <c r="AF208" s="479">
        <f t="shared" si="52"/>
        <v>1.1632989906121636</v>
      </c>
      <c r="AG208" s="479">
        <f t="shared" si="53"/>
        <v>0.92523524024153736</v>
      </c>
      <c r="AH208" s="479">
        <f t="shared" si="54"/>
        <v>0.93478238623725807</v>
      </c>
      <c r="AI208" s="479">
        <f t="shared" si="55"/>
        <v>0.76238372037188906</v>
      </c>
      <c r="AJ208" s="479">
        <f t="shared" si="56"/>
        <v>0.69421921798230934</v>
      </c>
      <c r="AK208" s="479">
        <f t="shared" si="57"/>
        <v>0.71332535378153095</v>
      </c>
      <c r="AL208" s="479">
        <f t="shared" si="58"/>
        <v>0.58870056723301578</v>
      </c>
      <c r="AM208" s="479">
        <f t="shared" si="59"/>
        <v>0.67150215583276607</v>
      </c>
      <c r="AN208" s="479">
        <f t="shared" si="60"/>
        <v>0.73942530371836135</v>
      </c>
      <c r="AO208" s="479">
        <f t="shared" si="61"/>
        <v>1.0791270800770567</v>
      </c>
      <c r="AP208" s="479">
        <f t="shared" si="62"/>
        <v>1.0893426753096991</v>
      </c>
      <c r="AQ208" s="479">
        <f t="shared" si="63"/>
        <v>1.1958826605879354</v>
      </c>
      <c r="AR208" s="479"/>
      <c r="AS208" s="479">
        <f t="shared" si="64"/>
        <v>0.60687284100854089</v>
      </c>
      <c r="AT208" s="479">
        <f t="shared" si="65"/>
        <v>0.46641055926707059</v>
      </c>
      <c r="AU208" s="479">
        <f t="shared" si="66"/>
        <v>0.4347110893990323</v>
      </c>
      <c r="AV208" s="479">
        <f t="shared" si="67"/>
        <v>0.42643021002015935</v>
      </c>
      <c r="AW208" s="479">
        <f t="shared" si="68"/>
        <v>0.41431182283807694</v>
      </c>
      <c r="AX208" s="479">
        <f t="shared" si="69"/>
        <v>0.38745441157505511</v>
      </c>
      <c r="AY208" s="479">
        <f t="shared" si="70"/>
        <v>0.44201008085700272</v>
      </c>
      <c r="AZ208" s="479">
        <f t="shared" si="71"/>
        <v>0.39986320836412004</v>
      </c>
      <c r="BA208" s="479">
        <f t="shared" si="72"/>
        <v>0.46346642374385677</v>
      </c>
      <c r="BB208" s="479">
        <f t="shared" si="73"/>
        <v>0.46074896776287089</v>
      </c>
      <c r="BC208" s="479">
        <f t="shared" si="74"/>
        <v>0.58028299866454724</v>
      </c>
      <c r="BD208" s="479">
        <f t="shared" si="75"/>
        <v>0.61903701715905535</v>
      </c>
    </row>
    <row r="209" spans="1:56" ht="15">
      <c r="A209" s="63" t="str">
        <f>VLOOKUP(CONCATENATE($C209," - ",$B209),[2]ACHIEV!$B$12:$C$100,2,FALSE)</f>
        <v>LO20Fast</v>
      </c>
      <c r="B209" s="63" t="str">
        <f>'SC-NR (2)'!$C$7</f>
        <v>NR</v>
      </c>
      <c r="C209" s="63" t="str">
        <f>'SC-NR (2)'!$C$8</f>
        <v>Lighting</v>
      </c>
      <c r="D209" s="63" t="s">
        <v>795</v>
      </c>
      <c r="E209" s="63" t="str">
        <f>'SC-NR (2)'!$A$9</f>
        <v>Lighting</v>
      </c>
      <c r="F209" s="478">
        <f t="shared" si="51"/>
        <v>2.2739503245659785E-2</v>
      </c>
      <c r="G209" s="71">
        <f>'SC-NR (2)'!A107</f>
        <v>87.041761167225999</v>
      </c>
      <c r="H209" s="71">
        <f>'SC-NR (2)'!B107</f>
        <v>-31.342168529326845</v>
      </c>
      <c r="I209" t="str">
        <f>'SC-NR (2)'!C107</f>
        <v>Multifamily - Low Rise</v>
      </c>
      <c r="J209" t="str">
        <f>'SC-NR (2)'!D107</f>
        <v>2017 - LEDReflectors and Outdoor1440 to 2600 lumensANY</v>
      </c>
      <c r="K209" s="37">
        <f>'SC-NR (2)'!E107</f>
        <v>0</v>
      </c>
      <c r="L209" s="37">
        <f>'SC-NR (2)'!F107</f>
        <v>9.9276935197806518E-2</v>
      </c>
      <c r="M209" s="37">
        <f>'SC-NR (2)'!G107</f>
        <v>0.12730808306431463</v>
      </c>
      <c r="N209" s="37">
        <f>'SC-NR (2)'!H107</f>
        <v>0.14897527003844879</v>
      </c>
      <c r="O209" s="37">
        <f>'SC-NR (2)'!I107</f>
        <v>0.1678303050338871</v>
      </c>
      <c r="P209" s="37">
        <f>'SC-NR (2)'!J107</f>
        <v>0.18402012330515949</v>
      </c>
      <c r="Q209" s="37">
        <f>'SC-NR (2)'!K107</f>
        <v>0.19776600946249165</v>
      </c>
      <c r="R209" s="37">
        <f>'SC-NR (2)'!L107</f>
        <v>0.20932313747433035</v>
      </c>
      <c r="S209" s="37">
        <f>'SC-NR (2)'!M107</f>
        <v>0.25535873798222858</v>
      </c>
      <c r="T209" s="37">
        <f>'SC-NR (2)'!N107</f>
        <v>0.25823315817447368</v>
      </c>
      <c r="U209" s="37">
        <f>'SC-NR (2)'!O107</f>
        <v>0.26115157557819146</v>
      </c>
      <c r="V209" s="37">
        <f>'SC-NR (2)'!P107</f>
        <v>0.26252849757545127</v>
      </c>
      <c r="W209" s="37">
        <f>'SC-NR (2)'!Q107</f>
        <v>0.26247409571184332</v>
      </c>
      <c r="X209" s="37">
        <f>'SC-NR (2)'!R107</f>
        <v>0.26240952581946686</v>
      </c>
      <c r="Y209" s="37">
        <f>'SC-NR (2)'!S107</f>
        <v>0.26242342907046728</v>
      </c>
      <c r="Z209" s="37">
        <f>'SC-NR (2)'!T107</f>
        <v>0.26251285330071489</v>
      </c>
      <c r="AA209" s="37">
        <f>'SC-NR (2)'!U107</f>
        <v>0.26240336813657072</v>
      </c>
      <c r="AB209" s="37">
        <f>'SC-NR (2)'!V107</f>
        <v>0.26213690743769541</v>
      </c>
      <c r="AC209" s="37">
        <f>'SC-NR (2)'!W107</f>
        <v>0.26148634898879919</v>
      </c>
      <c r="AD209" s="37">
        <f>'SC-NR (2)'!X107</f>
        <v>0.26080899620529086</v>
      </c>
      <c r="AE209" s="37">
        <f>'SC-NR (2)'!Y107</f>
        <v>2.2806462312799036</v>
      </c>
      <c r="AF209" s="479">
        <f t="shared" si="52"/>
        <v>6.2277312791681956</v>
      </c>
      <c r="AG209" s="479">
        <f t="shared" si="53"/>
        <v>4.9532549179026795</v>
      </c>
      <c r="AH209" s="479">
        <f t="shared" si="54"/>
        <v>5.0043656471512685</v>
      </c>
      <c r="AI209" s="479">
        <f t="shared" si="55"/>
        <v>4.0814278877609365</v>
      </c>
      <c r="AJ209" s="479">
        <f t="shared" si="56"/>
        <v>3.7165086304708308</v>
      </c>
      <c r="AK209" s="479">
        <f t="shared" si="57"/>
        <v>3.8187934948961253</v>
      </c>
      <c r="AL209" s="479">
        <f t="shared" si="58"/>
        <v>3.1516136145633622</v>
      </c>
      <c r="AM209" s="479">
        <f t="shared" si="59"/>
        <v>3.594892640376083</v>
      </c>
      <c r="AN209" s="479">
        <f t="shared" si="60"/>
        <v>3.9585198042267882</v>
      </c>
      <c r="AO209" s="479">
        <f t="shared" si="61"/>
        <v>5.777116222938341</v>
      </c>
      <c r="AP209" s="479">
        <f t="shared" si="62"/>
        <v>5.831805500999323</v>
      </c>
      <c r="AQ209" s="479">
        <f t="shared" si="63"/>
        <v>6.4021682402038298</v>
      </c>
      <c r="AR209" s="479"/>
      <c r="AS209" s="479">
        <f t="shared" si="64"/>
        <v>3.2488990405103846</v>
      </c>
      <c r="AT209" s="479">
        <f t="shared" si="65"/>
        <v>2.4969329917094965</v>
      </c>
      <c r="AU209" s="479">
        <f t="shared" si="66"/>
        <v>2.3272296036524454</v>
      </c>
      <c r="AV209" s="479">
        <f t="shared" si="67"/>
        <v>2.2828978437669774</v>
      </c>
      <c r="AW209" s="479">
        <f t="shared" si="68"/>
        <v>2.2180219524303819</v>
      </c>
      <c r="AX209" s="479">
        <f t="shared" si="69"/>
        <v>2.0742405672920801</v>
      </c>
      <c r="AY209" s="479">
        <f t="shared" si="70"/>
        <v>2.3663048180006183</v>
      </c>
      <c r="AZ209" s="479">
        <f t="shared" si="71"/>
        <v>2.1406711689892717</v>
      </c>
      <c r="BA209" s="479">
        <f t="shared" si="72"/>
        <v>2.4811715365410532</v>
      </c>
      <c r="BB209" s="479">
        <f t="shared" si="73"/>
        <v>2.4666236122764214</v>
      </c>
      <c r="BC209" s="479">
        <f t="shared" si="74"/>
        <v>3.1065500879107617</v>
      </c>
      <c r="BD209" s="479">
        <f t="shared" si="75"/>
        <v>3.3140200634883259</v>
      </c>
    </row>
    <row r="210" spans="1:56" ht="15">
      <c r="A210" s="63" t="str">
        <f>VLOOKUP(CONCATENATE($C210," - ",$B210),[2]ACHIEV!$B$12:$C$100,2,FALSE)</f>
        <v>LO20Fast</v>
      </c>
      <c r="B210" s="63" t="str">
        <f>'SC-NR (2)'!$C$7</f>
        <v>NR</v>
      </c>
      <c r="C210" s="63" t="str">
        <f>'SC-NR (2)'!$C$8</f>
        <v>Lighting</v>
      </c>
      <c r="D210" s="63" t="s">
        <v>795</v>
      </c>
      <c r="E210" s="63" t="str">
        <f>'SC-NR (2)'!$A$9</f>
        <v>Lighting</v>
      </c>
      <c r="F210" s="478">
        <f t="shared" si="51"/>
        <v>1.3238383828380332E-2</v>
      </c>
      <c r="G210" s="71">
        <f>'SC-NR (2)'!A108</f>
        <v>50.673589083344737</v>
      </c>
      <c r="H210" s="71">
        <f>'SC-NR (2)'!B108</f>
        <v>-6.4266835469852737</v>
      </c>
      <c r="I210" t="str">
        <f>'SC-NR (2)'!C108</f>
        <v>Multifamily - Low Rise</v>
      </c>
      <c r="J210" t="str">
        <f>'SC-NR (2)'!D108</f>
        <v>2017 - LEDThree-Way250 to 664 lumensANY</v>
      </c>
      <c r="K210" s="37">
        <f>'SC-NR (2)'!E108</f>
        <v>0</v>
      </c>
      <c r="L210" s="37">
        <f>'SC-NR (2)'!F108</f>
        <v>9.069071917854896E-4</v>
      </c>
      <c r="M210" s="37">
        <f>'SC-NR (2)'!G108</f>
        <v>1.1629752255486873E-3</v>
      </c>
      <c r="N210" s="37">
        <f>'SC-NR (2)'!H108</f>
        <v>1.3609076824023442E-3</v>
      </c>
      <c r="O210" s="37">
        <f>'SC-NR (2)'!I108</f>
        <v>1.5331507800026005E-3</v>
      </c>
      <c r="P210" s="37">
        <f>'SC-NR (2)'!J108</f>
        <v>1.6810467902356142E-3</v>
      </c>
      <c r="Q210" s="37">
        <f>'SC-NR (2)'!K108</f>
        <v>1.80661717562987E-3</v>
      </c>
      <c r="R210" s="37">
        <f>'SC-NR (2)'!L108</f>
        <v>1.9121929822302499E-3</v>
      </c>
      <c r="S210" s="37">
        <f>'SC-NR (2)'!M108</f>
        <v>2.3327339376454318E-3</v>
      </c>
      <c r="T210" s="37">
        <f>'SC-NR (2)'!N108</f>
        <v>2.358992124800046E-3</v>
      </c>
      <c r="U210" s="37">
        <f>'SC-NR (2)'!O108</f>
        <v>2.3856522319718678E-3</v>
      </c>
      <c r="V210" s="37">
        <f>'SC-NR (2)'!P108</f>
        <v>2.3982305862427218E-3</v>
      </c>
      <c r="W210" s="37">
        <f>'SC-NR (2)'!Q108</f>
        <v>2.3977336184298633E-3</v>
      </c>
      <c r="X210" s="37">
        <f>'SC-NR (2)'!R108</f>
        <v>2.3971437644053372E-3</v>
      </c>
      <c r="Y210" s="37">
        <f>'SC-NR (2)'!S108</f>
        <v>2.3972707723382107E-3</v>
      </c>
      <c r="Z210" s="37">
        <f>'SC-NR (2)'!T108</f>
        <v>2.3980876738407581E-3</v>
      </c>
      <c r="AA210" s="37">
        <f>'SC-NR (2)'!U108</f>
        <v>2.3970875132036649E-3</v>
      </c>
      <c r="AB210" s="37">
        <f>'SC-NR (2)'!V108</f>
        <v>2.3946533614678492E-3</v>
      </c>
      <c r="AC210" s="37">
        <f>'SC-NR (2)'!W108</f>
        <v>2.3887104288540925E-3</v>
      </c>
      <c r="AD210" s="37">
        <f>'SC-NR (2)'!X108</f>
        <v>2.3825227266499938E-3</v>
      </c>
      <c r="AE210" s="37">
        <f>'SC-NR (2)'!Y108</f>
        <v>2.0833987924235561E-2</v>
      </c>
      <c r="AF210" s="479">
        <f t="shared" si="52"/>
        <v>3.6256331619458151</v>
      </c>
      <c r="AG210" s="479">
        <f t="shared" si="53"/>
        <v>2.8836641282181006</v>
      </c>
      <c r="AH210" s="479">
        <f t="shared" si="54"/>
        <v>2.9134195474210416</v>
      </c>
      <c r="AI210" s="479">
        <f t="shared" si="55"/>
        <v>2.3761077083488051</v>
      </c>
      <c r="AJ210" s="479">
        <f t="shared" si="56"/>
        <v>2.1636606226678121</v>
      </c>
      <c r="AK210" s="479">
        <f t="shared" si="57"/>
        <v>2.2232083744576121</v>
      </c>
      <c r="AL210" s="479">
        <f t="shared" si="58"/>
        <v>1.83479253076042</v>
      </c>
      <c r="AM210" s="479">
        <f t="shared" si="59"/>
        <v>2.0928587612924954</v>
      </c>
      <c r="AN210" s="479">
        <f t="shared" si="60"/>
        <v>2.3045536217068179</v>
      </c>
      <c r="AO210" s="479">
        <f t="shared" si="61"/>
        <v>3.3632960735418895</v>
      </c>
      <c r="AP210" s="479">
        <f t="shared" si="62"/>
        <v>3.3951348365283454</v>
      </c>
      <c r="AQ210" s="479">
        <f t="shared" si="63"/>
        <v>3.7271861034986045</v>
      </c>
      <c r="AR210" s="479"/>
      <c r="AS210" s="479">
        <f t="shared" si="64"/>
        <v>1.8914297314802717</v>
      </c>
      <c r="AT210" s="479">
        <f t="shared" si="65"/>
        <v>1.4536534497210483</v>
      </c>
      <c r="AU210" s="479">
        <f t="shared" si="66"/>
        <v>1.3548562788327785</v>
      </c>
      <c r="AV210" s="479">
        <f t="shared" si="67"/>
        <v>1.3290474101512062</v>
      </c>
      <c r="AW210" s="479">
        <f t="shared" si="68"/>
        <v>1.291278249521628</v>
      </c>
      <c r="AX210" s="479">
        <f t="shared" si="69"/>
        <v>1.2075722361019934</v>
      </c>
      <c r="AY210" s="479">
        <f t="shared" si="70"/>
        <v>1.377604914989379</v>
      </c>
      <c r="AZ210" s="479">
        <f t="shared" si="71"/>
        <v>1.2462465111605538</v>
      </c>
      <c r="BA210" s="479">
        <f t="shared" si="72"/>
        <v>1.4444775151828353</v>
      </c>
      <c r="BB210" s="479">
        <f t="shared" si="73"/>
        <v>1.4360080687204035</v>
      </c>
      <c r="BC210" s="479">
        <f t="shared" si="74"/>
        <v>1.8085576453259091</v>
      </c>
      <c r="BD210" s="479">
        <f t="shared" si="75"/>
        <v>1.9293416017689646</v>
      </c>
    </row>
    <row r="211" spans="1:56" ht="15">
      <c r="A211" s="63" t="str">
        <f>VLOOKUP(CONCATENATE($C211," - ",$B211),[2]ACHIEV!$B$12:$C$100,2,FALSE)</f>
        <v>LO20Fast</v>
      </c>
      <c r="B211" s="63" t="str">
        <f>'SC-NR (2)'!$C$7</f>
        <v>NR</v>
      </c>
      <c r="C211" s="63" t="str">
        <f>'SC-NR (2)'!$C$8</f>
        <v>Lighting</v>
      </c>
      <c r="D211" s="63" t="s">
        <v>795</v>
      </c>
      <c r="E211" s="63" t="str">
        <f>'SC-NR (2)'!$A$9</f>
        <v>Lighting</v>
      </c>
      <c r="F211" s="478">
        <f t="shared" si="51"/>
        <v>1.4259875898113245E-2</v>
      </c>
      <c r="G211" s="71">
        <f>'SC-NR (2)'!A109</f>
        <v>54.583633546821666</v>
      </c>
      <c r="H211" s="71">
        <f>'SC-NR (2)'!B109</f>
        <v>-12.334283459818346</v>
      </c>
      <c r="I211" t="str">
        <f>'SC-NR (2)'!C109</f>
        <v>Multifamily - Low Rise</v>
      </c>
      <c r="J211" t="str">
        <f>'SC-NR (2)'!D109</f>
        <v>2017 - LEDThree-Way665 to 1439 lumensANY</v>
      </c>
      <c r="K211" s="37">
        <f>'SC-NR (2)'!E109</f>
        <v>0</v>
      </c>
      <c r="L211" s="37">
        <f>'SC-NR (2)'!F109</f>
        <v>1.2058107657886685E-2</v>
      </c>
      <c r="M211" s="37">
        <f>'SC-NR (2)'!G109</f>
        <v>1.5462751426099666E-2</v>
      </c>
      <c r="N211" s="37">
        <f>'SC-NR (2)'!H109</f>
        <v>1.8094432920467977E-2</v>
      </c>
      <c r="O211" s="37">
        <f>'SC-NR (2)'!I109</f>
        <v>2.0384552386940383E-2</v>
      </c>
      <c r="P211" s="37">
        <f>'SC-NR (2)'!J109</f>
        <v>2.235095647956931E-2</v>
      </c>
      <c r="Q211" s="37">
        <f>'SC-NR (2)'!K109</f>
        <v>2.4020522273556749E-2</v>
      </c>
      <c r="R211" s="37">
        <f>'SC-NR (2)'!L109</f>
        <v>2.5424243022037381E-2</v>
      </c>
      <c r="S211" s="37">
        <f>'SC-NR (2)'!M109</f>
        <v>3.1015695114244644E-2</v>
      </c>
      <c r="T211" s="37">
        <f>'SC-NR (2)'!N109</f>
        <v>3.136482019614846E-2</v>
      </c>
      <c r="U211" s="37">
        <f>'SC-NR (2)'!O109</f>
        <v>3.1719289148826775E-2</v>
      </c>
      <c r="V211" s="37">
        <f>'SC-NR (2)'!P109</f>
        <v>3.188652913912654E-2</v>
      </c>
      <c r="W211" s="37">
        <f>'SC-NR (2)'!Q109</f>
        <v>3.1879921526523809E-2</v>
      </c>
      <c r="X211" s="37">
        <f>'SC-NR (2)'!R109</f>
        <v>3.1872078912202742E-2</v>
      </c>
      <c r="Y211" s="37">
        <f>'SC-NR (2)'!S109</f>
        <v>3.1873767591421368E-2</v>
      </c>
      <c r="Z211" s="37">
        <f>'SC-NR (2)'!T109</f>
        <v>3.1884628996373093E-2</v>
      </c>
      <c r="AA211" s="37">
        <f>'SC-NR (2)'!U109</f>
        <v>3.1871331004311179E-2</v>
      </c>
      <c r="AB211" s="37">
        <f>'SC-NR (2)'!V109</f>
        <v>3.1838966872730842E-2</v>
      </c>
      <c r="AC211" s="37">
        <f>'SC-NR (2)'!W109</f>
        <v>3.17599504949699E-2</v>
      </c>
      <c r="AD211" s="37">
        <f>'SC-NR (2)'!X109</f>
        <v>3.1677679695920356E-2</v>
      </c>
      <c r="AE211" s="37">
        <f>'SC-NR (2)'!Y109</f>
        <v>0.27700570864252683</v>
      </c>
      <c r="AF211" s="479">
        <f t="shared" si="52"/>
        <v>3.9053920487329368</v>
      </c>
      <c r="AG211" s="479">
        <f t="shared" si="53"/>
        <v>3.1061716545849691</v>
      </c>
      <c r="AH211" s="479">
        <f t="shared" si="54"/>
        <v>3.1382230432311156</v>
      </c>
      <c r="AI211" s="479">
        <f t="shared" si="55"/>
        <v>2.5594514769216872</v>
      </c>
      <c r="AJ211" s="479">
        <f t="shared" si="56"/>
        <v>2.3306116792545248</v>
      </c>
      <c r="AK211" s="479">
        <f t="shared" si="57"/>
        <v>2.3947542182186701</v>
      </c>
      <c r="AL211" s="479">
        <f t="shared" si="58"/>
        <v>1.9763676689399765</v>
      </c>
      <c r="AM211" s="479">
        <f t="shared" si="59"/>
        <v>2.2543466479896805</v>
      </c>
      <c r="AN211" s="479">
        <f t="shared" si="60"/>
        <v>2.4823761776445838</v>
      </c>
      <c r="AO211" s="479">
        <f t="shared" si="61"/>
        <v>3.6228126664904727</v>
      </c>
      <c r="AP211" s="479">
        <f t="shared" si="62"/>
        <v>3.6571081526179396</v>
      </c>
      <c r="AQ211" s="479">
        <f t="shared" si="63"/>
        <v>4.0147809562011307</v>
      </c>
      <c r="AR211" s="479"/>
      <c r="AS211" s="479">
        <f t="shared" si="64"/>
        <v>2.0373750746740664</v>
      </c>
      <c r="AT211" s="479">
        <f t="shared" si="65"/>
        <v>1.5658193674251897</v>
      </c>
      <c r="AU211" s="479">
        <f t="shared" si="66"/>
        <v>1.4593988697107205</v>
      </c>
      <c r="AV211" s="479">
        <f t="shared" si="67"/>
        <v>1.4315985529015838</v>
      </c>
      <c r="AW211" s="479">
        <f t="shared" si="68"/>
        <v>1.3909150714180603</v>
      </c>
      <c r="AX211" s="479">
        <f t="shared" si="69"/>
        <v>1.3007501858275035</v>
      </c>
      <c r="AY211" s="479">
        <f t="shared" si="70"/>
        <v>1.4839028222059658</v>
      </c>
      <c r="AZ211" s="479">
        <f t="shared" si="71"/>
        <v>1.3424086216255566</v>
      </c>
      <c r="BA211" s="479">
        <f t="shared" si="72"/>
        <v>1.5559354050427407</v>
      </c>
      <c r="BB211" s="479">
        <f t="shared" si="73"/>
        <v>1.5468124443365345</v>
      </c>
      <c r="BC211" s="479">
        <f t="shared" si="74"/>
        <v>1.9481084633339767</v>
      </c>
      <c r="BD211" s="479">
        <f t="shared" si="75"/>
        <v>2.0782122774920686</v>
      </c>
    </row>
    <row r="212" spans="1:56" ht="15">
      <c r="A212" s="63" t="str">
        <f>VLOOKUP(CONCATENATE($C212," - ",$B212),[2]ACHIEV!$B$12:$C$100,2,FALSE)</f>
        <v>LO20Fast</v>
      </c>
      <c r="B212" s="63" t="str">
        <f>'SC-NR (2)'!$C$7</f>
        <v>NR</v>
      </c>
      <c r="C212" s="63" t="str">
        <f>'SC-NR (2)'!$C$8</f>
        <v>Lighting</v>
      </c>
      <c r="D212" s="63" t="s">
        <v>795</v>
      </c>
      <c r="E212" s="63" t="str">
        <f>'SC-NR (2)'!$A$9</f>
        <v>Lighting</v>
      </c>
      <c r="F212" s="478">
        <f t="shared" si="51"/>
        <v>1.2760440721528607E-2</v>
      </c>
      <c r="G212" s="71">
        <f>'SC-NR (2)'!A110</f>
        <v>48.844129164687544</v>
      </c>
      <c r="H212" s="71">
        <f>'SC-NR (2)'!B110</f>
        <v>-29.993229849727555</v>
      </c>
      <c r="I212" t="str">
        <f>'SC-NR (2)'!C110</f>
        <v>Multifamily - Low Rise</v>
      </c>
      <c r="J212" t="str">
        <f>'SC-NR (2)'!D110</f>
        <v>2017 - LEDThree-Way1440 to 2600 lumensANY</v>
      </c>
      <c r="K212" s="37">
        <f>'SC-NR (2)'!E110</f>
        <v>0</v>
      </c>
      <c r="L212" s="37">
        <f>'SC-NR (2)'!F110</f>
        <v>4.172450472491062E-2</v>
      </c>
      <c r="M212" s="37">
        <f>'SC-NR (2)'!G110</f>
        <v>5.3505546910292544E-2</v>
      </c>
      <c r="N212" s="37">
        <f>'SC-NR (2)'!H110</f>
        <v>6.2611918329560118E-2</v>
      </c>
      <c r="O212" s="37">
        <f>'SC-NR (2)'!I110</f>
        <v>7.0536387343314508E-2</v>
      </c>
      <c r="P212" s="37">
        <f>'SC-NR (2)'!J110</f>
        <v>7.7340708484062951E-2</v>
      </c>
      <c r="Q212" s="37">
        <f>'SC-NR (2)'!K110</f>
        <v>8.3117884126894054E-2</v>
      </c>
      <c r="R212" s="37">
        <f>'SC-NR (2)'!L110</f>
        <v>8.7975159801002636E-2</v>
      </c>
      <c r="S212" s="37">
        <f>'SC-NR (2)'!M110</f>
        <v>0.10732318486924969</v>
      </c>
      <c r="T212" s="37">
        <f>'SC-NR (2)'!N110</f>
        <v>0.10853125760692782</v>
      </c>
      <c r="U212" s="37">
        <f>'SC-NR (2)'!O110</f>
        <v>0.1097578216674325</v>
      </c>
      <c r="V212" s="37">
        <f>'SC-NR (2)'!P110</f>
        <v>0.11033651991457352</v>
      </c>
      <c r="W212" s="37">
        <f>'SC-NR (2)'!Q110</f>
        <v>0.11031365568321273</v>
      </c>
      <c r="X212" s="37">
        <f>'SC-NR (2)'!R110</f>
        <v>0.11028651799232631</v>
      </c>
      <c r="Y212" s="37">
        <f>'SC-NR (2)'!S110</f>
        <v>0.11029236130589055</v>
      </c>
      <c r="Z212" s="37">
        <f>'SC-NR (2)'!T110</f>
        <v>0.1103299448766369</v>
      </c>
      <c r="AA212" s="37">
        <f>'SC-NR (2)'!U110</f>
        <v>0.11028393001689595</v>
      </c>
      <c r="AB212" s="37">
        <f>'SC-NR (2)'!V110</f>
        <v>0.1101719408557975</v>
      </c>
      <c r="AC212" s="37">
        <f>'SC-NR (2)'!W110</f>
        <v>0.10989852156640549</v>
      </c>
      <c r="AD212" s="37">
        <f>'SC-NR (2)'!X110</f>
        <v>0.10961384104761616</v>
      </c>
      <c r="AE212" s="37">
        <f>'SC-NR (2)'!Y110</f>
        <v>0.95851905846294116</v>
      </c>
      <c r="AF212" s="479">
        <f t="shared" si="52"/>
        <v>3.4947375480862015</v>
      </c>
      <c r="AG212" s="479">
        <f t="shared" si="53"/>
        <v>2.7795556954649423</v>
      </c>
      <c r="AH212" s="479">
        <f t="shared" si="54"/>
        <v>2.808236859858241</v>
      </c>
      <c r="AI212" s="479">
        <f t="shared" si="55"/>
        <v>2.2903234982016438</v>
      </c>
      <c r="AJ212" s="479">
        <f t="shared" si="56"/>
        <v>2.0855463533146543</v>
      </c>
      <c r="AK212" s="479">
        <f t="shared" si="57"/>
        <v>2.1429442628075841</v>
      </c>
      <c r="AL212" s="479">
        <f t="shared" si="58"/>
        <v>1.7685513298745517</v>
      </c>
      <c r="AM212" s="479">
        <f t="shared" si="59"/>
        <v>2.0173006394294912</v>
      </c>
      <c r="AN212" s="479">
        <f t="shared" si="60"/>
        <v>2.2213527165099398</v>
      </c>
      <c r="AO212" s="479">
        <f t="shared" si="61"/>
        <v>3.2418715707106038</v>
      </c>
      <c r="AP212" s="479">
        <f t="shared" si="62"/>
        <v>3.2725608642831689</v>
      </c>
      <c r="AQ212" s="479">
        <f t="shared" si="63"/>
        <v>3.5926241411613451</v>
      </c>
      <c r="AR212" s="479"/>
      <c r="AS212" s="479">
        <f t="shared" si="64"/>
        <v>1.8231437674249444</v>
      </c>
      <c r="AT212" s="479">
        <f t="shared" si="65"/>
        <v>1.4011724478818377</v>
      </c>
      <c r="AU212" s="479">
        <f t="shared" si="66"/>
        <v>1.3059421343543034</v>
      </c>
      <c r="AV212" s="479">
        <f t="shared" si="67"/>
        <v>1.2810650388439813</v>
      </c>
      <c r="AW212" s="479">
        <f t="shared" si="68"/>
        <v>1.2446594517599732</v>
      </c>
      <c r="AX212" s="479">
        <f t="shared" si="69"/>
        <v>1.1639754622244163</v>
      </c>
      <c r="AY212" s="479">
        <f t="shared" si="70"/>
        <v>1.3278694803910316</v>
      </c>
      <c r="AZ212" s="479">
        <f t="shared" si="71"/>
        <v>1.2012534865460023</v>
      </c>
      <c r="BA212" s="479">
        <f t="shared" si="72"/>
        <v>1.3923277905386595</v>
      </c>
      <c r="BB212" s="479">
        <f t="shared" si="73"/>
        <v>1.3841641150531119</v>
      </c>
      <c r="BC212" s="479">
        <f t="shared" si="74"/>
        <v>1.7432635980212496</v>
      </c>
      <c r="BD212" s="479">
        <f t="shared" si="75"/>
        <v>1.8596869119456556</v>
      </c>
    </row>
    <row r="213" spans="1:56" ht="15">
      <c r="A213" s="63" t="str">
        <f>VLOOKUP(CONCATENATE($C213," - ",$B213),[2]ACHIEV!$B$12:$C$100,2,FALSE)</f>
        <v>LO20Fast</v>
      </c>
      <c r="B213" s="63" t="str">
        <f>'SC-NR (2)'!$C$7</f>
        <v>NR</v>
      </c>
      <c r="C213" s="63" t="str">
        <f>'SC-NR (2)'!$C$8</f>
        <v>Lighting</v>
      </c>
      <c r="D213" s="63" t="s">
        <v>795</v>
      </c>
      <c r="E213" s="63" t="str">
        <f>'SC-NR (2)'!$A$9</f>
        <v>Lighting</v>
      </c>
      <c r="F213" s="478">
        <f t="shared" si="51"/>
        <v>5.2591883382486233E-3</v>
      </c>
      <c r="G213" s="71">
        <f>'SC-NR (2)'!A111</f>
        <v>20.131003317263307</v>
      </c>
      <c r="H213" s="71">
        <f>'SC-NR (2)'!B111</f>
        <v>-21.262756278752239</v>
      </c>
      <c r="I213" t="str">
        <f>'SC-NR (2)'!C111</f>
        <v>Multifamily - High Rise</v>
      </c>
      <c r="J213" t="str">
        <f>'SC-NR (2)'!D111</f>
        <v>2017 - LEDDecorative and Mini-Base250 to 664 lumensANY</v>
      </c>
      <c r="K213" s="42">
        <f>'SC-NR (2)'!E111</f>
        <v>0</v>
      </c>
      <c r="L213" s="42">
        <f>'SC-NR (2)'!F111</f>
        <v>3.6096989169673126E-2</v>
      </c>
      <c r="M213" s="42">
        <f>'SC-NR (2)'!G111</f>
        <v>4.6289085037004102E-2</v>
      </c>
      <c r="N213" s="42">
        <f>'SC-NR (2)'!H111</f>
        <v>5.4167251420608215E-2</v>
      </c>
      <c r="O213" s="42">
        <f>'SC-NR (2)'!I111</f>
        <v>6.1022922303961412E-2</v>
      </c>
      <c r="P213" s="42">
        <f>'SC-NR (2)'!J111</f>
        <v>6.690952319099211E-2</v>
      </c>
      <c r="Q213" s="42">
        <f>'SC-NR (2)'!K111</f>
        <v>7.1907512933122461E-2</v>
      </c>
      <c r="R213" s="42">
        <f>'SC-NR (2)'!L111</f>
        <v>7.6109672516762428E-2</v>
      </c>
      <c r="S213" s="42">
        <f>'SC-NR (2)'!M111</f>
        <v>9.2644687679236004E-2</v>
      </c>
      <c r="T213" s="42">
        <f>'SC-NR (2)'!N111</f>
        <v>9.3876088237984656E-2</v>
      </c>
      <c r="U213" s="42">
        <f>'SC-NR (2)'!O111</f>
        <v>9.5090625867268117E-2</v>
      </c>
      <c r="V213" s="42">
        <f>'SC-NR (2)'!P111</f>
        <v>9.536855965073901E-2</v>
      </c>
      <c r="W213" s="42">
        <f>'SC-NR (2)'!Q111</f>
        <v>9.5220132376836034E-2</v>
      </c>
      <c r="X213" s="42">
        <f>'SC-NR (2)'!R111</f>
        <v>9.5319276002762882E-2</v>
      </c>
      <c r="Y213" s="42">
        <f>'SC-NR (2)'!S111</f>
        <v>9.5351228304587671E-2</v>
      </c>
      <c r="Z213" s="42">
        <f>'SC-NR (2)'!T111</f>
        <v>9.5452953801491047E-2</v>
      </c>
      <c r="AA213" s="42">
        <f>'SC-NR (2)'!U111</f>
        <v>9.5379289967220143E-2</v>
      </c>
      <c r="AB213" s="42">
        <f>'SC-NR (2)'!V111</f>
        <v>9.528403089811209E-2</v>
      </c>
      <c r="AC213" s="42">
        <f>'SC-NR (2)'!W111</f>
        <v>9.5001152523605845E-2</v>
      </c>
      <c r="AD213" s="42">
        <f>'SC-NR (2)'!X111</f>
        <v>9.4753305698763904E-2</v>
      </c>
      <c r="AE213" s="42">
        <f>'SC-NR (2)'!Y111</f>
        <v>0.82843278907854467</v>
      </c>
      <c r="AF213" s="479">
        <f t="shared" si="52"/>
        <v>1.4403486023116614</v>
      </c>
      <c r="AG213" s="479">
        <f t="shared" si="53"/>
        <v>1.1455879321189004</v>
      </c>
      <c r="AH213" s="479">
        <f t="shared" si="54"/>
        <v>1.1574088126508824</v>
      </c>
      <c r="AI213" s="479">
        <f t="shared" si="55"/>
        <v>0.94395192888885926</v>
      </c>
      <c r="AJ213" s="479">
        <f t="shared" si="56"/>
        <v>0.85955346681125078</v>
      </c>
      <c r="AK213" s="479">
        <f t="shared" si="57"/>
        <v>0.88320989238719305</v>
      </c>
      <c r="AL213" s="479">
        <f t="shared" si="58"/>
        <v>0.72890464621476858</v>
      </c>
      <c r="AM213" s="479">
        <f t="shared" si="59"/>
        <v>0.83142614186746877</v>
      </c>
      <c r="AN213" s="479">
        <f t="shared" si="60"/>
        <v>0.91552576880013092</v>
      </c>
      <c r="AO213" s="479">
        <f t="shared" si="61"/>
        <v>1.3361304308256319</v>
      </c>
      <c r="AP213" s="479">
        <f t="shared" si="62"/>
        <v>1.3487789575018005</v>
      </c>
      <c r="AQ213" s="479">
        <f t="shared" si="63"/>
        <v>1.4806923521872546</v>
      </c>
      <c r="AR213" s="479"/>
      <c r="AS213" s="479">
        <f t="shared" si="64"/>
        <v>0.75140480253281761</v>
      </c>
      <c r="AT213" s="479">
        <f t="shared" si="65"/>
        <v>0.57749022612854406</v>
      </c>
      <c r="AU213" s="479">
        <f t="shared" si="66"/>
        <v>0.53824125618452068</v>
      </c>
      <c r="AV213" s="479">
        <f t="shared" si="67"/>
        <v>0.52798821450261002</v>
      </c>
      <c r="AW213" s="479">
        <f t="shared" si="68"/>
        <v>0.51298372968757655</v>
      </c>
      <c r="AX213" s="479">
        <f t="shared" si="69"/>
        <v>0.47972999605023692</v>
      </c>
      <c r="AY213" s="479">
        <f t="shared" si="70"/>
        <v>0.54727856493284177</v>
      </c>
      <c r="AZ213" s="479">
        <f t="shared" si="71"/>
        <v>0.4950940540058737</v>
      </c>
      <c r="BA213" s="479">
        <f t="shared" si="72"/>
        <v>0.57384491953058547</v>
      </c>
      <c r="BB213" s="479">
        <f t="shared" si="73"/>
        <v>0.57048027814806623</v>
      </c>
      <c r="BC213" s="479">
        <f t="shared" si="74"/>
        <v>0.71848236164278922</v>
      </c>
      <c r="BD213" s="479">
        <f t="shared" si="75"/>
        <v>0.76646598135103916</v>
      </c>
    </row>
    <row r="214" spans="1:56" ht="15">
      <c r="A214" s="63" t="str">
        <f>VLOOKUP(CONCATENATE($C214," - ",$B214),[2]ACHIEV!$B$12:$C$100,2,FALSE)</f>
        <v>LO20Fast</v>
      </c>
      <c r="B214" s="63" t="str">
        <f>'SC-NR (2)'!$C$7</f>
        <v>NR</v>
      </c>
      <c r="C214" s="63" t="str">
        <f>'SC-NR (2)'!$C$8</f>
        <v>Lighting</v>
      </c>
      <c r="D214" s="63" t="s">
        <v>795</v>
      </c>
      <c r="E214" s="63" t="str">
        <f>'SC-NR (2)'!$A$9</f>
        <v>Lighting</v>
      </c>
      <c r="F214" s="478">
        <f t="shared" si="51"/>
        <v>3.96210803600704E-3</v>
      </c>
      <c r="G214" s="71">
        <f>'SC-NR (2)'!A112</f>
        <v>15.166068390464758</v>
      </c>
      <c r="H214" s="71">
        <f>'SC-NR (2)'!B112</f>
        <v>-19.792953526125213</v>
      </c>
      <c r="I214" t="str">
        <f>'SC-NR (2)'!C112</f>
        <v>Multifamily - High Rise</v>
      </c>
      <c r="J214" t="str">
        <f>'SC-NR (2)'!D112</f>
        <v>2017 - LEDDecorative and Mini-Base665 to 1439 lumensANY</v>
      </c>
      <c r="K214" s="42">
        <f>'SC-NR (2)'!E112</f>
        <v>0</v>
      </c>
      <c r="L214" s="42">
        <f>'SC-NR (2)'!F112</f>
        <v>7.4586561847314143E-3</v>
      </c>
      <c r="M214" s="42">
        <f>'SC-NR (2)'!G112</f>
        <v>9.5646306891122752E-3</v>
      </c>
      <c r="N214" s="42">
        <f>'SC-NR (2)'!H112</f>
        <v>1.1192482090934441E-2</v>
      </c>
      <c r="O214" s="42">
        <f>'SC-NR (2)'!I112</f>
        <v>1.2609057079896837E-2</v>
      </c>
      <c r="P214" s="42">
        <f>'SC-NR (2)'!J112</f>
        <v>1.3825394872135325E-2</v>
      </c>
      <c r="Q214" s="42">
        <f>'SC-NR (2)'!K112</f>
        <v>1.4858120535933458E-2</v>
      </c>
      <c r="R214" s="42">
        <f>'SC-NR (2)'!L112</f>
        <v>1.5726405240245503E-2</v>
      </c>
      <c r="S214" s="42">
        <f>'SC-NR (2)'!M112</f>
        <v>1.9143005791790284E-2</v>
      </c>
      <c r="T214" s="42">
        <f>'SC-NR (2)'!N112</f>
        <v>1.9397447882520357E-2</v>
      </c>
      <c r="U214" s="42">
        <f>'SC-NR (2)'!O112</f>
        <v>1.9648405616354152E-2</v>
      </c>
      <c r="V214" s="42">
        <f>'SC-NR (2)'!P112</f>
        <v>1.9705834575963133E-2</v>
      </c>
      <c r="W214" s="42">
        <f>'SC-NR (2)'!Q112</f>
        <v>1.9675165314344788E-2</v>
      </c>
      <c r="X214" s="42">
        <f>'SC-NR (2)'!R112</f>
        <v>1.9695651184100296E-2</v>
      </c>
      <c r="Y214" s="42">
        <f>'SC-NR (2)'!S112</f>
        <v>1.9702253430966418E-2</v>
      </c>
      <c r="Z214" s="42">
        <f>'SC-NR (2)'!T112</f>
        <v>1.9723272788094978E-2</v>
      </c>
      <c r="AA214" s="42">
        <f>'SC-NR (2)'!U112</f>
        <v>1.9708051762028424E-2</v>
      </c>
      <c r="AB214" s="42">
        <f>'SC-NR (2)'!V112</f>
        <v>1.9688368551287087E-2</v>
      </c>
      <c r="AC214" s="42">
        <f>'SC-NR (2)'!W112</f>
        <v>1.96299178996934E-2</v>
      </c>
      <c r="AD214" s="42">
        <f>'SC-NR (2)'!X112</f>
        <v>1.9578705754428757E-2</v>
      </c>
      <c r="AE214" s="42">
        <f>'SC-NR (2)'!Y112</f>
        <v>0.17117758261916932</v>
      </c>
      <c r="AF214" s="479">
        <f t="shared" si="52"/>
        <v>1.0851135964016425</v>
      </c>
      <c r="AG214" s="479">
        <f t="shared" si="53"/>
        <v>0.86305012482449117</v>
      </c>
      <c r="AH214" s="479">
        <f t="shared" si="54"/>
        <v>0.87195560657113691</v>
      </c>
      <c r="AI214" s="479">
        <f t="shared" si="55"/>
        <v>0.71114386527187501</v>
      </c>
      <c r="AJ214" s="479">
        <f t="shared" si="56"/>
        <v>0.64756070313402958</v>
      </c>
      <c r="AK214" s="479">
        <f t="shared" si="57"/>
        <v>0.66538271441207719</v>
      </c>
      <c r="AL214" s="479">
        <f t="shared" si="58"/>
        <v>0.54913396716500618</v>
      </c>
      <c r="AM214" s="479">
        <f t="shared" si="59"/>
        <v>0.62637045608000386</v>
      </c>
      <c r="AN214" s="479">
        <f t="shared" si="60"/>
        <v>0.68972848516440399</v>
      </c>
      <c r="AO214" s="479">
        <f t="shared" si="61"/>
        <v>1.0065988849699035</v>
      </c>
      <c r="AP214" s="479">
        <f t="shared" si="62"/>
        <v>1.0161278894405794</v>
      </c>
      <c r="AQ214" s="479">
        <f t="shared" si="63"/>
        <v>1.1155073159842306</v>
      </c>
      <c r="AR214" s="479"/>
      <c r="AS214" s="479">
        <f t="shared" si="64"/>
        <v>0.56608488134140256</v>
      </c>
      <c r="AT214" s="479">
        <f t="shared" si="65"/>
        <v>0.435063077893382</v>
      </c>
      <c r="AU214" s="479">
        <f t="shared" si="66"/>
        <v>0.40549413127680195</v>
      </c>
      <c r="AV214" s="479">
        <f t="shared" si="67"/>
        <v>0.39776981029252217</v>
      </c>
      <c r="AW214" s="479">
        <f t="shared" si="68"/>
        <v>0.38646590063227465</v>
      </c>
      <c r="AX214" s="479">
        <f t="shared" si="69"/>
        <v>0.36141357757445147</v>
      </c>
      <c r="AY214" s="479">
        <f t="shared" si="70"/>
        <v>0.4123025570856263</v>
      </c>
      <c r="AZ214" s="479">
        <f t="shared" si="71"/>
        <v>0.37298837839475796</v>
      </c>
      <c r="BA214" s="479">
        <f t="shared" si="72"/>
        <v>0.43231681789344234</v>
      </c>
      <c r="BB214" s="479">
        <f t="shared" si="73"/>
        <v>0.42978200229024216</v>
      </c>
      <c r="BC214" s="479">
        <f t="shared" si="74"/>
        <v>0.54128214387967721</v>
      </c>
      <c r="BD214" s="479">
        <f t="shared" si="75"/>
        <v>0.57743150249079578</v>
      </c>
    </row>
    <row r="215" spans="1:56" ht="15">
      <c r="A215" s="63" t="str">
        <f>VLOOKUP(CONCATENATE($C215," - ",$B215),[2]ACHIEV!$B$12:$C$100,2,FALSE)</f>
        <v>LO20Fast</v>
      </c>
      <c r="B215" s="63" t="str">
        <f>'SC-NR (2)'!$C$7</f>
        <v>NR</v>
      </c>
      <c r="C215" s="63" t="str">
        <f>'SC-NR (2)'!$C$8</f>
        <v>Lighting</v>
      </c>
      <c r="D215" s="63" t="s">
        <v>795</v>
      </c>
      <c r="E215" s="63" t="str">
        <f>'SC-NR (2)'!$A$9</f>
        <v>Lighting</v>
      </c>
      <c r="F215" s="478">
        <f t="shared" si="51"/>
        <v>1.962157373850039E-3</v>
      </c>
      <c r="G215" s="71">
        <f>'SC-NR (2)'!A113</f>
        <v>7.5107020440195642</v>
      </c>
      <c r="H215" s="71">
        <f>'SC-NR (2)'!B113</f>
        <v>253.66864707291808</v>
      </c>
      <c r="I215" t="str">
        <f>'SC-NR (2)'!C113</f>
        <v>Multifamily - High Rise</v>
      </c>
      <c r="J215" t="str">
        <f>'SC-NR (2)'!D113</f>
        <v>2017 - LEDDecorative and Mini-Base1440 to 2600 lumensANY</v>
      </c>
      <c r="K215" s="42">
        <f>'SC-NR (2)'!E113</f>
        <v>0</v>
      </c>
      <c r="L215" s="42">
        <f>'SC-NR (2)'!F113</f>
        <v>7.2569276482944249E-5</v>
      </c>
      <c r="M215" s="42">
        <f>'SC-NR (2)'!G113</f>
        <v>9.3059434802254115E-5</v>
      </c>
      <c r="N215" s="42">
        <f>'SC-NR (2)'!H113</f>
        <v>1.0889767637367937E-4</v>
      </c>
      <c r="O215" s="42">
        <f>'SC-NR (2)'!I113</f>
        <v>1.2268029612270024E-4</v>
      </c>
      <c r="P215" s="42">
        <f>'SC-NR (2)'!J113</f>
        <v>1.345147005188036E-4</v>
      </c>
      <c r="Q215" s="42">
        <f>'SC-NR (2)'!K113</f>
        <v>1.4456264379049061E-4</v>
      </c>
      <c r="R215" s="42">
        <f>'SC-NR (2)'!L113</f>
        <v>1.5301065254870653E-4</v>
      </c>
      <c r="S215" s="42">
        <f>'SC-NR (2)'!M113</f>
        <v>1.8625259639435405E-4</v>
      </c>
      <c r="T215" s="42">
        <f>'SC-NR (2)'!N113</f>
        <v>1.8872820030660942E-4</v>
      </c>
      <c r="U215" s="42">
        <f>'SC-NR (2)'!O113</f>
        <v>1.9116990303710919E-4</v>
      </c>
      <c r="V215" s="42">
        <f>'SC-NR (2)'!P113</f>
        <v>1.91728660264252E-4</v>
      </c>
      <c r="W215" s="42">
        <f>'SC-NR (2)'!Q113</f>
        <v>1.9143026252734253E-4</v>
      </c>
      <c r="X215" s="42">
        <f>'SC-NR (2)'!R113</f>
        <v>1.9162958056928749E-4</v>
      </c>
      <c r="Y215" s="42">
        <f>'SC-NR (2)'!S113</f>
        <v>1.91693817379025E-4</v>
      </c>
      <c r="Z215" s="42">
        <f>'SC-NR (2)'!T113</f>
        <v>1.9189832600647439E-4</v>
      </c>
      <c r="AA215" s="42">
        <f>'SC-NR (2)'!U113</f>
        <v>1.9175023245964501E-4</v>
      </c>
      <c r="AB215" s="42">
        <f>'SC-NR (2)'!V113</f>
        <v>1.9155872391883247E-4</v>
      </c>
      <c r="AC215" s="42">
        <f>'SC-NR (2)'!W113</f>
        <v>1.9099002610101456E-4</v>
      </c>
      <c r="AD215" s="42">
        <f>'SC-NR (2)'!X113</f>
        <v>1.9049175560336085E-4</v>
      </c>
      <c r="AE215" s="42">
        <f>'SC-NR (2)'!Y113</f>
        <v>1.6654787421629706E-3</v>
      </c>
      <c r="AF215" s="479">
        <f t="shared" si="52"/>
        <v>0.53738152147667351</v>
      </c>
      <c r="AG215" s="479">
        <f t="shared" si="53"/>
        <v>0.42740888209933781</v>
      </c>
      <c r="AH215" s="479">
        <f t="shared" si="54"/>
        <v>0.43181914969377672</v>
      </c>
      <c r="AI215" s="479">
        <f t="shared" si="55"/>
        <v>0.35218024506915513</v>
      </c>
      <c r="AJ215" s="479">
        <f t="shared" si="56"/>
        <v>0.32069191377993372</v>
      </c>
      <c r="AK215" s="479">
        <f t="shared" si="57"/>
        <v>0.32951792017053727</v>
      </c>
      <c r="AL215" s="479">
        <f t="shared" si="58"/>
        <v>0.27194797645907187</v>
      </c>
      <c r="AM215" s="479">
        <f t="shared" si="59"/>
        <v>0.31019785376619841</v>
      </c>
      <c r="AN215" s="479">
        <f t="shared" si="60"/>
        <v>0.34157469226499099</v>
      </c>
      <c r="AO215" s="479">
        <f t="shared" si="61"/>
        <v>0.49849862919018445</v>
      </c>
      <c r="AP215" s="479">
        <f t="shared" si="62"/>
        <v>0.50321768435416969</v>
      </c>
      <c r="AQ215" s="479">
        <f t="shared" si="63"/>
        <v>0.5524334232561634</v>
      </c>
      <c r="AR215" s="479"/>
      <c r="AS215" s="479">
        <f t="shared" si="64"/>
        <v>0.28034258885793889</v>
      </c>
      <c r="AT215" s="479">
        <f t="shared" si="65"/>
        <v>0.21545657478807742</v>
      </c>
      <c r="AU215" s="479">
        <f t="shared" si="66"/>
        <v>0.20081312586810013</v>
      </c>
      <c r="AV215" s="479">
        <f t="shared" si="67"/>
        <v>0.19698780529643709</v>
      </c>
      <c r="AW215" s="479">
        <f t="shared" si="68"/>
        <v>0.19138976266569091</v>
      </c>
      <c r="AX215" s="479">
        <f t="shared" si="69"/>
        <v>0.17898308420734163</v>
      </c>
      <c r="AY215" s="479">
        <f t="shared" si="70"/>
        <v>0.20418486706841296</v>
      </c>
      <c r="AZ215" s="479">
        <f t="shared" si="71"/>
        <v>0.18471528044581126</v>
      </c>
      <c r="BA215" s="479">
        <f t="shared" si="72"/>
        <v>0.21409654263841862</v>
      </c>
      <c r="BB215" s="479">
        <f t="shared" si="73"/>
        <v>0.21284122423670696</v>
      </c>
      <c r="BC215" s="479">
        <f t="shared" si="74"/>
        <v>0.26805951283883145</v>
      </c>
      <c r="BD215" s="479">
        <f t="shared" si="75"/>
        <v>0.28596178352760315</v>
      </c>
    </row>
    <row r="216" spans="1:56" ht="15">
      <c r="A216" s="63" t="str">
        <f>VLOOKUP(CONCATENATE($C216," - ",$B216),[2]ACHIEV!$B$12:$C$100,2,FALSE)</f>
        <v>LO20Fast</v>
      </c>
      <c r="B216" s="63" t="str">
        <f>'SC-NR (2)'!$C$7</f>
        <v>NR</v>
      </c>
      <c r="C216" s="63" t="str">
        <f>'SC-NR (2)'!$C$8</f>
        <v>Lighting</v>
      </c>
      <c r="D216" s="63" t="s">
        <v>795</v>
      </c>
      <c r="E216" s="63" t="str">
        <f>'SC-NR (2)'!$A$9</f>
        <v>Lighting</v>
      </c>
      <c r="F216" s="478">
        <f t="shared" si="51"/>
        <v>5.0185805390402609E-4</v>
      </c>
      <c r="G216" s="71">
        <f>'SC-NR (2)'!A114</f>
        <v>1.9210010172979759</v>
      </c>
      <c r="H216" s="71">
        <f>'SC-NR (2)'!B114</f>
        <v>19.879331870717266</v>
      </c>
      <c r="I216" t="str">
        <f>'SC-NR (2)'!C114</f>
        <v>Multifamily - High Rise</v>
      </c>
      <c r="J216" t="str">
        <f>'SC-NR (2)'!D114</f>
        <v>2017 - LEDGeneral Purpose and Dimmable250 to 664 lumensANY</v>
      </c>
      <c r="K216" s="42">
        <f>'SC-NR (2)'!E114</f>
        <v>0</v>
      </c>
      <c r="L216" s="42">
        <f>'SC-NR (2)'!F114</f>
        <v>2.8763732226109182E-3</v>
      </c>
      <c r="M216" s="42">
        <f>'SC-NR (2)'!G114</f>
        <v>3.6885260450325815E-3</v>
      </c>
      <c r="N216" s="42">
        <f>'SC-NR (2)'!H114</f>
        <v>4.3162943811272331E-3</v>
      </c>
      <c r="O216" s="42">
        <f>'SC-NR (2)'!I114</f>
        <v>4.8625855983592172E-3</v>
      </c>
      <c r="P216" s="42">
        <f>'SC-NR (2)'!J114</f>
        <v>5.3316568852763606E-3</v>
      </c>
      <c r="Q216" s="42">
        <f>'SC-NR (2)'!K114</f>
        <v>5.7299195712187624E-3</v>
      </c>
      <c r="R216" s="42">
        <f>'SC-NR (2)'!L114</f>
        <v>6.064766869609918E-3</v>
      </c>
      <c r="S216" s="42">
        <f>'SC-NR (2)'!M114</f>
        <v>7.3823525171343033E-3</v>
      </c>
      <c r="T216" s="42">
        <f>'SC-NR (2)'!N114</f>
        <v>7.4804761466936492E-3</v>
      </c>
      <c r="U216" s="42">
        <f>'SC-NR (2)'!O114</f>
        <v>7.5772560608937901E-3</v>
      </c>
      <c r="V216" s="42">
        <f>'SC-NR (2)'!P114</f>
        <v>7.5994030961680304E-3</v>
      </c>
      <c r="W216" s="42">
        <f>'SC-NR (2)'!Q114</f>
        <v>7.5875757320033096E-3</v>
      </c>
      <c r="X216" s="42">
        <f>'SC-NR (2)'!R114</f>
        <v>7.5954759496493877E-3</v>
      </c>
      <c r="Y216" s="42">
        <f>'SC-NR (2)'!S114</f>
        <v>7.598022055224498E-3</v>
      </c>
      <c r="Z216" s="42">
        <f>'SC-NR (2)'!T114</f>
        <v>7.6061280081607474E-3</v>
      </c>
      <c r="AA216" s="42">
        <f>'SC-NR (2)'!U114</f>
        <v>7.600258136871047E-3</v>
      </c>
      <c r="AB216" s="42">
        <f>'SC-NR (2)'!V114</f>
        <v>7.5926674584821845E-3</v>
      </c>
      <c r="AC216" s="42">
        <f>'SC-NR (2)'!W114</f>
        <v>7.5701264155752295E-3</v>
      </c>
      <c r="AD216" s="42">
        <f>'SC-NR (2)'!X114</f>
        <v>7.5503768467972488E-3</v>
      </c>
      <c r="AE216" s="42">
        <f>'SC-NR (2)'!Y114</f>
        <v>6.6013314297148712E-2</v>
      </c>
      <c r="AF216" s="479">
        <f t="shared" si="52"/>
        <v>0.13744526721783706</v>
      </c>
      <c r="AG216" s="479">
        <f t="shared" si="53"/>
        <v>0.10931772988768557</v>
      </c>
      <c r="AH216" s="479">
        <f t="shared" si="54"/>
        <v>0.11044573742756919</v>
      </c>
      <c r="AI216" s="479">
        <f t="shared" si="55"/>
        <v>9.0076614021560725E-2</v>
      </c>
      <c r="AJ216" s="479">
        <f t="shared" si="56"/>
        <v>8.2022890669856893E-2</v>
      </c>
      <c r="AK216" s="479">
        <f t="shared" si="57"/>
        <v>8.4280305110698436E-2</v>
      </c>
      <c r="AL216" s="479">
        <f t="shared" si="58"/>
        <v>6.955572679733403E-2</v>
      </c>
      <c r="AM216" s="479">
        <f t="shared" si="59"/>
        <v>7.9338840651120859E-2</v>
      </c>
      <c r="AN216" s="479">
        <f t="shared" si="60"/>
        <v>8.7364047658735955E-2</v>
      </c>
      <c r="AO216" s="479">
        <f t="shared" si="61"/>
        <v>0.12750024807048468</v>
      </c>
      <c r="AP216" s="479">
        <f t="shared" si="62"/>
        <v>0.12870723374473589</v>
      </c>
      <c r="AQ216" s="479">
        <f t="shared" si="63"/>
        <v>0.14129506960131633</v>
      </c>
      <c r="AR216" s="479"/>
      <c r="AS216" s="479">
        <f t="shared" si="64"/>
        <v>7.1702804242762208E-2</v>
      </c>
      <c r="AT216" s="479">
        <f t="shared" si="65"/>
        <v>5.5107005566942716E-2</v>
      </c>
      <c r="AU216" s="479">
        <f t="shared" si="66"/>
        <v>5.1361672559833739E-2</v>
      </c>
      <c r="AV216" s="479">
        <f t="shared" si="67"/>
        <v>5.0383276044223477E-2</v>
      </c>
      <c r="AW216" s="479">
        <f t="shared" si="68"/>
        <v>4.8951473061557747E-2</v>
      </c>
      <c r="AX216" s="479">
        <f t="shared" si="69"/>
        <v>4.5778235486682146E-2</v>
      </c>
      <c r="AY216" s="479">
        <f t="shared" si="70"/>
        <v>5.2224057758701252E-2</v>
      </c>
      <c r="AZ216" s="479">
        <f t="shared" si="71"/>
        <v>4.7244350736749853E-2</v>
      </c>
      <c r="BA216" s="479">
        <f t="shared" si="72"/>
        <v>5.4759152180170065E-2</v>
      </c>
      <c r="BB216" s="479">
        <f t="shared" si="73"/>
        <v>5.4438081271939699E-2</v>
      </c>
      <c r="BC216" s="479">
        <f t="shared" si="74"/>
        <v>6.8561180278722517E-2</v>
      </c>
      <c r="BD216" s="479">
        <f t="shared" si="75"/>
        <v>7.3140017250754669E-2</v>
      </c>
    </row>
    <row r="217" spans="1:56" ht="15">
      <c r="A217" s="63" t="str">
        <f>VLOOKUP(CONCATENATE($C217," - ",$B217),[2]ACHIEV!$B$12:$C$100,2,FALSE)</f>
        <v>LO20Fast</v>
      </c>
      <c r="B217" s="63" t="str">
        <f>'SC-NR (2)'!$C$7</f>
        <v>NR</v>
      </c>
      <c r="C217" s="63" t="str">
        <f>'SC-NR (2)'!$C$8</f>
        <v>Lighting</v>
      </c>
      <c r="D217" s="63" t="s">
        <v>795</v>
      </c>
      <c r="E217" s="63" t="str">
        <f>'SC-NR (2)'!$A$9</f>
        <v>Lighting</v>
      </c>
      <c r="F217" s="478">
        <f t="shared" si="51"/>
        <v>1.9587879633994761E-3</v>
      </c>
      <c r="G217" s="71">
        <f>'SC-NR (2)'!A115</f>
        <v>7.4978046901704554</v>
      </c>
      <c r="H217" s="71">
        <f>'SC-NR (2)'!B115</f>
        <v>38.047469279788793</v>
      </c>
      <c r="I217" t="str">
        <f>'SC-NR (2)'!C115</f>
        <v>Multifamily - High Rise</v>
      </c>
      <c r="J217" t="str">
        <f>'SC-NR (2)'!D115</f>
        <v>2017 - LEDGeneral Purpose and Dimmable665 to 1439 lumensANY</v>
      </c>
      <c r="K217" s="42">
        <f>'SC-NR (2)'!E115</f>
        <v>0</v>
      </c>
      <c r="L217" s="42">
        <f>'SC-NR (2)'!F115</f>
        <v>8.6630346886589354E-2</v>
      </c>
      <c r="M217" s="42">
        <f>'SC-NR (2)'!G115</f>
        <v>0.11109069166321307</v>
      </c>
      <c r="N217" s="42">
        <f>'SC-NR (2)'!H115</f>
        <v>0.12999776126488732</v>
      </c>
      <c r="O217" s="42">
        <f>'SC-NR (2)'!I115</f>
        <v>0.1464509104173975</v>
      </c>
      <c r="P217" s="42">
        <f>'SC-NR (2)'!J115</f>
        <v>0.16057835673790161</v>
      </c>
      <c r="Q217" s="42">
        <f>'SC-NR (2)'!K115</f>
        <v>0.17257319605985075</v>
      </c>
      <c r="R217" s="42">
        <f>'SC-NR (2)'!L115</f>
        <v>0.18265809651214054</v>
      </c>
      <c r="S217" s="42">
        <f>'SC-NR (2)'!M115</f>
        <v>0.22234102110640447</v>
      </c>
      <c r="T217" s="42">
        <f>'SC-NR (2)'!N115</f>
        <v>0.22529629964942377</v>
      </c>
      <c r="U217" s="42">
        <f>'SC-NR (2)'!O115</f>
        <v>0.22821110829557095</v>
      </c>
      <c r="V217" s="42">
        <f>'SC-NR (2)'!P115</f>
        <v>0.2288781306879486</v>
      </c>
      <c r="W217" s="42">
        <f>'SC-NR (2)'!Q115</f>
        <v>0.22852191521066303</v>
      </c>
      <c r="X217" s="42">
        <f>'SC-NR (2)'!R115</f>
        <v>0.22875985324658246</v>
      </c>
      <c r="Y217" s="42">
        <f>'SC-NR (2)'!S115</f>
        <v>0.2288365366225254</v>
      </c>
      <c r="Z217" s="42">
        <f>'SC-NR (2)'!T115</f>
        <v>0.22908067097518642</v>
      </c>
      <c r="AA217" s="42">
        <f>'SC-NR (2)'!U115</f>
        <v>0.22890388272600895</v>
      </c>
      <c r="AB217" s="42">
        <f>'SC-NR (2)'!V115</f>
        <v>0.22867526736526145</v>
      </c>
      <c r="AC217" s="42">
        <f>'SC-NR (2)'!W115</f>
        <v>0.22799637828686767</v>
      </c>
      <c r="AD217" s="42">
        <f>'SC-NR (2)'!X115</f>
        <v>0.22740156257218652</v>
      </c>
      <c r="AE217" s="42">
        <f>'SC-NR (2)'!Y115</f>
        <v>1.9881829909070208</v>
      </c>
      <c r="AF217" s="479">
        <f t="shared" si="52"/>
        <v>0.53645873162376279</v>
      </c>
      <c r="AG217" s="479">
        <f t="shared" si="53"/>
        <v>0.42667493691573455</v>
      </c>
      <c r="AH217" s="479">
        <f t="shared" si="54"/>
        <v>0.43107763121257736</v>
      </c>
      <c r="AI217" s="479">
        <f t="shared" si="55"/>
        <v>0.35157548226366747</v>
      </c>
      <c r="AJ217" s="479">
        <f t="shared" si="56"/>
        <v>0.32014122263757089</v>
      </c>
      <c r="AK217" s="479">
        <f t="shared" si="57"/>
        <v>0.32895207303785196</v>
      </c>
      <c r="AL217" s="479">
        <f t="shared" si="58"/>
        <v>0.27148098825205935</v>
      </c>
      <c r="AM217" s="479">
        <f t="shared" si="59"/>
        <v>0.30966518299057599</v>
      </c>
      <c r="AN217" s="479">
        <f t="shared" si="60"/>
        <v>0.34098814128131166</v>
      </c>
      <c r="AO217" s="479">
        <f t="shared" si="61"/>
        <v>0.49764260891720863</v>
      </c>
      <c r="AP217" s="479">
        <f t="shared" si="62"/>
        <v>0.50235356053455782</v>
      </c>
      <c r="AQ217" s="479">
        <f t="shared" si="63"/>
        <v>0.55148478632501485</v>
      </c>
      <c r="AR217" s="479"/>
      <c r="AS217" s="479">
        <f t="shared" si="64"/>
        <v>0.27986118544900518</v>
      </c>
      <c r="AT217" s="479">
        <f t="shared" si="65"/>
        <v>0.21508659343774925</v>
      </c>
      <c r="AU217" s="479">
        <f t="shared" si="66"/>
        <v>0.20046829020204826</v>
      </c>
      <c r="AV217" s="479">
        <f t="shared" si="67"/>
        <v>0.19664953845879962</v>
      </c>
      <c r="AW217" s="479">
        <f t="shared" si="68"/>
        <v>0.19106110876919372</v>
      </c>
      <c r="AX217" s="479">
        <f t="shared" si="69"/>
        <v>0.17867573501994241</v>
      </c>
      <c r="AY217" s="479">
        <f t="shared" si="70"/>
        <v>0.20383424145901183</v>
      </c>
      <c r="AZ217" s="479">
        <f t="shared" si="71"/>
        <v>0.18439808794911994</v>
      </c>
      <c r="BA217" s="479">
        <f t="shared" si="72"/>
        <v>0.21372889673100612</v>
      </c>
      <c r="BB217" s="479">
        <f t="shared" si="73"/>
        <v>0.21247573395809255</v>
      </c>
      <c r="BC217" s="479">
        <f t="shared" si="74"/>
        <v>0.26759920188927711</v>
      </c>
      <c r="BD217" s="479">
        <f t="shared" si="75"/>
        <v>0.28547073085531477</v>
      </c>
    </row>
    <row r="218" spans="1:56" ht="15">
      <c r="A218" s="63" t="str">
        <f>VLOOKUP(CONCATENATE($C218," - ",$B218),[2]ACHIEV!$B$12:$C$100,2,FALSE)</f>
        <v>LO20Fast</v>
      </c>
      <c r="B218" s="63" t="str">
        <f>'SC-NR (2)'!$C$7</f>
        <v>NR</v>
      </c>
      <c r="C218" s="63" t="str">
        <f>'SC-NR (2)'!$C$8</f>
        <v>Lighting</v>
      </c>
      <c r="D218" s="63" t="s">
        <v>795</v>
      </c>
      <c r="E218" s="63" t="str">
        <f>'SC-NR (2)'!$A$9</f>
        <v>Lighting</v>
      </c>
      <c r="F218" s="478">
        <f t="shared" si="51"/>
        <v>3.659906529973458E-3</v>
      </c>
      <c r="G218" s="71">
        <f>'SC-NR (2)'!A116</f>
        <v>14.009308234872018</v>
      </c>
      <c r="H218" s="71">
        <f>'SC-NR (2)'!B116</f>
        <v>64.372768585347757</v>
      </c>
      <c r="I218" t="str">
        <f>'SC-NR (2)'!C116</f>
        <v>Multifamily - High Rise</v>
      </c>
      <c r="J218" t="str">
        <f>'SC-NR (2)'!D116</f>
        <v>2017 - LEDGeneral Purpose and Dimmable1440 to 2600 lumensANY</v>
      </c>
      <c r="K218" s="42">
        <f>'SC-NR (2)'!E116</f>
        <v>0</v>
      </c>
      <c r="L218" s="42">
        <f>'SC-NR (2)'!F116</f>
        <v>1.6138135742769844E-2</v>
      </c>
      <c r="M218" s="42">
        <f>'SC-NR (2)'!G116</f>
        <v>2.0694787984239887E-2</v>
      </c>
      <c r="N218" s="42">
        <f>'SC-NR (2)'!H116</f>
        <v>2.4216935438286968E-2</v>
      </c>
      <c r="O218" s="42">
        <f>'SC-NR (2)'!I116</f>
        <v>2.7281948611636644E-2</v>
      </c>
      <c r="P218" s="42">
        <f>'SC-NR (2)'!J116</f>
        <v>2.9913712821440154E-2</v>
      </c>
      <c r="Q218" s="42">
        <f>'SC-NR (2)'!K116</f>
        <v>3.2148199374330722E-2</v>
      </c>
      <c r="R218" s="42">
        <f>'SC-NR (2)'!L116</f>
        <v>3.4026888520807728E-2</v>
      </c>
      <c r="S218" s="42">
        <f>'SC-NR (2)'!M116</f>
        <v>4.1419314463771006E-2</v>
      </c>
      <c r="T218" s="42">
        <f>'SC-NR (2)'!N116</f>
        <v>4.196984540355099E-2</v>
      </c>
      <c r="U218" s="42">
        <f>'SC-NR (2)'!O116</f>
        <v>4.2512837314426101E-2</v>
      </c>
      <c r="V218" s="42">
        <f>'SC-NR (2)'!P116</f>
        <v>4.2637095132829504E-2</v>
      </c>
      <c r="W218" s="42">
        <f>'SC-NR (2)'!Q116</f>
        <v>4.2570736703794979E-2</v>
      </c>
      <c r="X218" s="42">
        <f>'SC-NR (2)'!R116</f>
        <v>4.2615061544454595E-2</v>
      </c>
      <c r="Y218" s="42">
        <f>'SC-NR (2)'!S116</f>
        <v>4.2629346685570349E-2</v>
      </c>
      <c r="Z218" s="42">
        <f>'SC-NR (2)'!T116</f>
        <v>4.2674825821511865E-2</v>
      </c>
      <c r="AA218" s="42">
        <f>'SC-NR (2)'!U116</f>
        <v>4.2641892411159864E-2</v>
      </c>
      <c r="AB218" s="42">
        <f>'SC-NR (2)'!V116</f>
        <v>4.2599304266736811E-2</v>
      </c>
      <c r="AC218" s="42">
        <f>'SC-NR (2)'!W116</f>
        <v>4.2472835835117281E-2</v>
      </c>
      <c r="AD218" s="42">
        <f>'SC-NR (2)'!X116</f>
        <v>4.2362029205680322E-2</v>
      </c>
      <c r="AE218" s="42">
        <f>'SC-NR (2)'!Y116</f>
        <v>0.37037329459996177</v>
      </c>
      <c r="AF218" s="479">
        <f t="shared" si="52"/>
        <v>1.0023488257113993</v>
      </c>
      <c r="AG218" s="479">
        <f t="shared" si="53"/>
        <v>0.79722278111397538</v>
      </c>
      <c r="AH218" s="479">
        <f t="shared" si="54"/>
        <v>0.80544901586095996</v>
      </c>
      <c r="AI218" s="479">
        <f t="shared" si="55"/>
        <v>0.65690285388635883</v>
      </c>
      <c r="AJ218" s="479">
        <f t="shared" si="56"/>
        <v>0.59816936449388325</v>
      </c>
      <c r="AK218" s="479">
        <f t="shared" si="57"/>
        <v>0.61463203912592634</v>
      </c>
      <c r="AL218" s="479">
        <f t="shared" si="58"/>
        <v>0.50724992200941221</v>
      </c>
      <c r="AM218" s="479">
        <f t="shared" si="59"/>
        <v>0.57859535922699556</v>
      </c>
      <c r="AN218" s="479">
        <f t="shared" si="60"/>
        <v>0.63712088711894432</v>
      </c>
      <c r="AO218" s="479">
        <f t="shared" si="61"/>
        <v>0.92982265972689038</v>
      </c>
      <c r="AP218" s="479">
        <f t="shared" si="62"/>
        <v>0.93862485930585982</v>
      </c>
      <c r="AQ218" s="479">
        <f t="shared" si="63"/>
        <v>1.0304243278833694</v>
      </c>
      <c r="AR218" s="479"/>
      <c r="AS218" s="479">
        <f t="shared" si="64"/>
        <v>0.52290794064984647</v>
      </c>
      <c r="AT218" s="479">
        <f t="shared" si="65"/>
        <v>0.40187955130497377</v>
      </c>
      <c r="AU218" s="479">
        <f t="shared" si="66"/>
        <v>0.37456591426555569</v>
      </c>
      <c r="AV218" s="479">
        <f t="shared" si="67"/>
        <v>0.36743074971348882</v>
      </c>
      <c r="AW218" s="479">
        <f t="shared" si="68"/>
        <v>0.35698902212711459</v>
      </c>
      <c r="AX218" s="479">
        <f t="shared" si="69"/>
        <v>0.33384751262836426</v>
      </c>
      <c r="AY218" s="479">
        <f t="shared" si="70"/>
        <v>0.38085504163162015</v>
      </c>
      <c r="AZ218" s="479">
        <f t="shared" si="71"/>
        <v>0.34453946971797317</v>
      </c>
      <c r="BA218" s="479">
        <f t="shared" si="72"/>
        <v>0.39934275654434592</v>
      </c>
      <c r="BB218" s="479">
        <f t="shared" si="73"/>
        <v>0.39700127870120755</v>
      </c>
      <c r="BC218" s="479">
        <f t="shared" si="74"/>
        <v>0.49999698012771288</v>
      </c>
      <c r="BD218" s="479">
        <f t="shared" si="75"/>
        <v>0.53338912199583788</v>
      </c>
    </row>
    <row r="219" spans="1:56" ht="15">
      <c r="A219" s="63" t="str">
        <f>VLOOKUP(CONCATENATE($C219," - ",$B219),[2]ACHIEV!$B$12:$C$100,2,FALSE)</f>
        <v>LO20Fast</v>
      </c>
      <c r="B219" s="63" t="str">
        <f>'SC-NR (2)'!$C$7</f>
        <v>NR</v>
      </c>
      <c r="C219" s="63" t="str">
        <f>'SC-NR (2)'!$C$8</f>
        <v>Lighting</v>
      </c>
      <c r="D219" s="63" t="s">
        <v>795</v>
      </c>
      <c r="E219" s="63" t="str">
        <f>'SC-NR (2)'!$A$9</f>
        <v>Lighting</v>
      </c>
      <c r="F219" s="478">
        <f t="shared" si="51"/>
        <v>3.9190405629480479E-3</v>
      </c>
      <c r="G219" s="71">
        <f>'SC-NR (2)'!A117</f>
        <v>15.001215681785107</v>
      </c>
      <c r="H219" s="71">
        <f>'SC-NR (2)'!B117</f>
        <v>-40.723166254238713</v>
      </c>
      <c r="I219" t="str">
        <f>'SC-NR (2)'!C117</f>
        <v>Multifamily - High Rise</v>
      </c>
      <c r="J219" t="str">
        <f>'SC-NR (2)'!D117</f>
        <v>2017 - LEDGlobe250 to 664 lumensANY</v>
      </c>
      <c r="K219" s="42">
        <f>'SC-NR (2)'!E117</f>
        <v>0</v>
      </c>
      <c r="L219" s="42">
        <f>'SC-NR (2)'!F117</f>
        <v>1.4769460196398087E-2</v>
      </c>
      <c r="M219" s="42">
        <f>'SC-NR (2)'!G117</f>
        <v>1.8939662689543627E-2</v>
      </c>
      <c r="N219" s="42">
        <f>'SC-NR (2)'!H117</f>
        <v>2.2163096762571496E-2</v>
      </c>
      <c r="O219" s="42">
        <f>'SC-NR (2)'!I117</f>
        <v>2.4968166120443575E-2</v>
      </c>
      <c r="P219" s="42">
        <f>'SC-NR (2)'!J117</f>
        <v>2.7376730366187527E-2</v>
      </c>
      <c r="Q219" s="42">
        <f>'SC-NR (2)'!K117</f>
        <v>2.9421710079354797E-2</v>
      </c>
      <c r="R219" s="42">
        <f>'SC-NR (2)'!L117</f>
        <v>3.1141067569746991E-2</v>
      </c>
      <c r="S219" s="42">
        <f>'SC-NR (2)'!M117</f>
        <v>3.7906541752124719E-2</v>
      </c>
      <c r="T219" s="42">
        <f>'SC-NR (2)'!N117</f>
        <v>3.8410382154236165E-2</v>
      </c>
      <c r="U219" s="42">
        <f>'SC-NR (2)'!O117</f>
        <v>3.8907322912602814E-2</v>
      </c>
      <c r="V219" s="42">
        <f>'SC-NR (2)'!P117</f>
        <v>3.9021042423471514E-2</v>
      </c>
      <c r="W219" s="42">
        <f>'SC-NR (2)'!Q117</f>
        <v>3.8960311853847941E-2</v>
      </c>
      <c r="X219" s="42">
        <f>'SC-NR (2)'!R117</f>
        <v>3.9000877504073508E-2</v>
      </c>
      <c r="Y219" s="42">
        <f>'SC-NR (2)'!S117</f>
        <v>3.9013951122146368E-2</v>
      </c>
      <c r="Z219" s="42">
        <f>'SC-NR (2)'!T117</f>
        <v>3.905557317185282E-2</v>
      </c>
      <c r="AA219" s="42">
        <f>'SC-NR (2)'!U117</f>
        <v>3.9025432844551157E-2</v>
      </c>
      <c r="AB219" s="42">
        <f>'SC-NR (2)'!V117</f>
        <v>3.8986456601326998E-2</v>
      </c>
      <c r="AC219" s="42">
        <f>'SC-NR (2)'!W117</f>
        <v>3.8870713959383837E-2</v>
      </c>
      <c r="AD219" s="42">
        <f>'SC-NR (2)'!X117</f>
        <v>3.8769304841933611E-2</v>
      </c>
      <c r="AE219" s="42">
        <f>'SC-NR (2)'!Y117</f>
        <v>0.33896192965496064</v>
      </c>
      <c r="AF219" s="479">
        <f t="shared" si="52"/>
        <v>1.0733185872412989</v>
      </c>
      <c r="AG219" s="479">
        <f t="shared" si="53"/>
        <v>0.85366890965780484</v>
      </c>
      <c r="AH219" s="479">
        <f t="shared" si="54"/>
        <v>0.86247759025927351</v>
      </c>
      <c r="AI219" s="479">
        <f t="shared" si="55"/>
        <v>0.70341384655953076</v>
      </c>
      <c r="AJ219" s="479">
        <f t="shared" si="56"/>
        <v>0.64052182310278416</v>
      </c>
      <c r="AK219" s="479">
        <f t="shared" si="57"/>
        <v>0.65815011200284546</v>
      </c>
      <c r="AL219" s="479">
        <f t="shared" si="58"/>
        <v>0.54316496982275031</v>
      </c>
      <c r="AM219" s="479">
        <f t="shared" si="59"/>
        <v>0.61956191060445931</v>
      </c>
      <c r="AN219" s="479">
        <f t="shared" si="60"/>
        <v>0.68223124816761238</v>
      </c>
      <c r="AO219" s="479">
        <f t="shared" si="61"/>
        <v>0.99565731801471724</v>
      </c>
      <c r="AP219" s="479">
        <f t="shared" si="62"/>
        <v>1.0050827437491268</v>
      </c>
      <c r="AQ219" s="479">
        <f t="shared" si="63"/>
        <v>1.1033819320114413</v>
      </c>
      <c r="AR219" s="479"/>
      <c r="AS219" s="479">
        <f t="shared" si="64"/>
        <v>0.55993163030566262</v>
      </c>
      <c r="AT219" s="479">
        <f t="shared" si="65"/>
        <v>0.43033401265440924</v>
      </c>
      <c r="AU219" s="479">
        <f t="shared" si="66"/>
        <v>0.40108647570162925</v>
      </c>
      <c r="AV219" s="479">
        <f t="shared" si="67"/>
        <v>0.39344611683621805</v>
      </c>
      <c r="AW219" s="479">
        <f t="shared" si="68"/>
        <v>0.38226507884436772</v>
      </c>
      <c r="AX219" s="479">
        <f t="shared" si="69"/>
        <v>0.35748507048330508</v>
      </c>
      <c r="AY219" s="479">
        <f t="shared" si="70"/>
        <v>0.40782089502389868</v>
      </c>
      <c r="AZ219" s="479">
        <f t="shared" si="71"/>
        <v>0.36893405509214999</v>
      </c>
      <c r="BA219" s="479">
        <f t="shared" si="72"/>
        <v>0.42761760405616928</v>
      </c>
      <c r="BB219" s="479">
        <f t="shared" si="73"/>
        <v>0.42511034148829985</v>
      </c>
      <c r="BC219" s="479">
        <f t="shared" si="74"/>
        <v>0.53539849458566535</v>
      </c>
      <c r="BD219" s="479">
        <f t="shared" si="75"/>
        <v>0.57115491551968489</v>
      </c>
    </row>
    <row r="220" spans="1:56" ht="15">
      <c r="A220" s="63" t="str">
        <f>VLOOKUP(CONCATENATE($C220," - ",$B220),[2]ACHIEV!$B$12:$C$100,2,FALSE)</f>
        <v>LO20Fast</v>
      </c>
      <c r="B220" s="63" t="str">
        <f>'SC-NR (2)'!$C$7</f>
        <v>NR</v>
      </c>
      <c r="C220" s="63" t="str">
        <f>'SC-NR (2)'!$C$8</f>
        <v>Lighting</v>
      </c>
      <c r="D220" s="63" t="s">
        <v>795</v>
      </c>
      <c r="E220" s="63" t="str">
        <f>'SC-NR (2)'!$A$9</f>
        <v>Lighting</v>
      </c>
      <c r="F220" s="478">
        <f t="shared" si="51"/>
        <v>2.6990998985958756E-3</v>
      </c>
      <c r="G220" s="71">
        <f>'SC-NR (2)'!A118</f>
        <v>10.331554133000125</v>
      </c>
      <c r="H220" s="71">
        <f>'SC-NR (2)'!B118</f>
        <v>-97.483290128606981</v>
      </c>
      <c r="I220" t="str">
        <f>'SC-NR (2)'!C118</f>
        <v>Multifamily - High Rise</v>
      </c>
      <c r="J220" t="str">
        <f>'SC-NR (2)'!D118</f>
        <v>2017 - LEDGlobe665 to 1439 lumensANY</v>
      </c>
      <c r="K220" s="42">
        <f>'SC-NR (2)'!E118</f>
        <v>0</v>
      </c>
      <c r="L220" s="42">
        <f>'SC-NR (2)'!F118</f>
        <v>6.2025895231718536E-3</v>
      </c>
      <c r="M220" s="42">
        <f>'SC-NR (2)'!G118</f>
        <v>7.9539097440556056E-3</v>
      </c>
      <c r="N220" s="42">
        <f>'SC-NR (2)'!H118</f>
        <v>9.3076246492810374E-3</v>
      </c>
      <c r="O220" s="42">
        <f>'SC-NR (2)'!I118</f>
        <v>1.0485642909904461E-2</v>
      </c>
      <c r="P220" s="42">
        <f>'SC-NR (2)'!J118</f>
        <v>1.1497144695202013E-2</v>
      </c>
      <c r="Q220" s="42">
        <f>'SC-NR (2)'!K118</f>
        <v>1.2355955347407408E-2</v>
      </c>
      <c r="R220" s="42">
        <f>'SC-NR (2)'!L118</f>
        <v>1.307801753618628E-2</v>
      </c>
      <c r="S220" s="42">
        <f>'SC-NR (2)'!M118</f>
        <v>1.5919249289066437E-2</v>
      </c>
      <c r="T220" s="42">
        <f>'SC-NR (2)'!N118</f>
        <v>1.6130842343784122E-2</v>
      </c>
      <c r="U220" s="42">
        <f>'SC-NR (2)'!O118</f>
        <v>1.633953782083573E-2</v>
      </c>
      <c r="V220" s="42">
        <f>'SC-NR (2)'!P118</f>
        <v>1.6387295520664626E-2</v>
      </c>
      <c r="W220" s="42">
        <f>'SC-NR (2)'!Q118</f>
        <v>1.6361791081783691E-2</v>
      </c>
      <c r="X220" s="42">
        <f>'SC-NR (2)'!R118</f>
        <v>1.6378827051530993E-2</v>
      </c>
      <c r="Y220" s="42">
        <f>'SC-NR (2)'!S118</f>
        <v>1.6384317454390025E-2</v>
      </c>
      <c r="Z220" s="42">
        <f>'SC-NR (2)'!T118</f>
        <v>1.6401797070165359E-2</v>
      </c>
      <c r="AA220" s="42">
        <f>'SC-NR (2)'!U118</f>
        <v>1.6389139323987757E-2</v>
      </c>
      <c r="AB220" s="42">
        <f>'SC-NR (2)'!V118</f>
        <v>1.6372770842360121E-2</v>
      </c>
      <c r="AC220" s="42">
        <f>'SC-NR (2)'!W118</f>
        <v>1.6324163507443715E-2</v>
      </c>
      <c r="AD220" s="42">
        <f>'SC-NR (2)'!X118</f>
        <v>1.6281575686285275E-2</v>
      </c>
      <c r="AE220" s="42">
        <f>'SC-NR (2)'!Y118</f>
        <v>0.14235061306740976</v>
      </c>
      <c r="AF220" s="479">
        <f t="shared" si="52"/>
        <v>0.73921002945803449</v>
      </c>
      <c r="AG220" s="479">
        <f t="shared" si="53"/>
        <v>0.58793412073249252</v>
      </c>
      <c r="AH220" s="479">
        <f t="shared" si="54"/>
        <v>0.59400078642178622</v>
      </c>
      <c r="AI220" s="479">
        <f t="shared" si="55"/>
        <v>0.48445128633513773</v>
      </c>
      <c r="AJ220" s="479">
        <f t="shared" si="56"/>
        <v>0.44113664046505252</v>
      </c>
      <c r="AK220" s="479">
        <f t="shared" si="57"/>
        <v>0.4532774979066459</v>
      </c>
      <c r="AL220" s="479">
        <f t="shared" si="58"/>
        <v>0.37408556799080311</v>
      </c>
      <c r="AM220" s="479">
        <f t="shared" si="59"/>
        <v>0.42670124568152651</v>
      </c>
      <c r="AN220" s="479">
        <f t="shared" si="60"/>
        <v>0.46986252455702143</v>
      </c>
      <c r="AO220" s="479">
        <f t="shared" si="61"/>
        <v>0.68572359048721321</v>
      </c>
      <c r="AP220" s="479">
        <f t="shared" si="62"/>
        <v>0.69221501746668568</v>
      </c>
      <c r="AQ220" s="479">
        <f t="shared" si="63"/>
        <v>0.75991508966784882</v>
      </c>
      <c r="AR220" s="479"/>
      <c r="AS220" s="479">
        <f t="shared" si="64"/>
        <v>0.38563300948377344</v>
      </c>
      <c r="AT220" s="479">
        <f t="shared" si="65"/>
        <v>0.29637725643853452</v>
      </c>
      <c r="AU220" s="479">
        <f t="shared" si="66"/>
        <v>0.27623405486777952</v>
      </c>
      <c r="AV220" s="479">
        <f t="shared" si="67"/>
        <v>0.27097202925012304</v>
      </c>
      <c r="AW220" s="479">
        <f t="shared" si="68"/>
        <v>0.26327148672567968</v>
      </c>
      <c r="AX220" s="479">
        <f t="shared" si="69"/>
        <v>0.24620513668917057</v>
      </c>
      <c r="AY220" s="479">
        <f t="shared" si="70"/>
        <v>0.28087214682367551</v>
      </c>
      <c r="AZ220" s="479">
        <f t="shared" si="71"/>
        <v>0.25409021792280639</v>
      </c>
      <c r="BA220" s="479">
        <f t="shared" si="72"/>
        <v>0.29450642656211723</v>
      </c>
      <c r="BB220" s="479">
        <f t="shared" si="73"/>
        <v>0.29277963858072437</v>
      </c>
      <c r="BC220" s="479">
        <f t="shared" si="74"/>
        <v>0.36873668420453914</v>
      </c>
      <c r="BD220" s="479">
        <f t="shared" si="75"/>
        <v>0.39336264828095202</v>
      </c>
    </row>
    <row r="221" spans="1:56" ht="15">
      <c r="A221" s="63" t="str">
        <f>VLOOKUP(CONCATENATE($C221," - ",$B221),[2]ACHIEV!$B$12:$C$100,2,FALSE)</f>
        <v>LO20Fast</v>
      </c>
      <c r="B221" s="63" t="str">
        <f>'SC-NR (2)'!$C$7</f>
        <v>NR</v>
      </c>
      <c r="C221" s="63" t="str">
        <f>'SC-NR (2)'!$C$8</f>
        <v>Lighting</v>
      </c>
      <c r="D221" s="63" t="s">
        <v>795</v>
      </c>
      <c r="E221" s="63" t="str">
        <f>'SC-NR (2)'!$A$9</f>
        <v>Lighting</v>
      </c>
      <c r="F221" s="478">
        <f t="shared" si="51"/>
        <v>2.920231287037374E-3</v>
      </c>
      <c r="G221" s="71">
        <f>'SC-NR (2)'!A119</f>
        <v>11.177995908414712</v>
      </c>
      <c r="H221" s="71">
        <f>'SC-NR (2)'!B119</f>
        <v>-118.66739310804593</v>
      </c>
      <c r="I221" t="str">
        <f>'SC-NR (2)'!C119</f>
        <v>Multifamily - High Rise</v>
      </c>
      <c r="J221" t="str">
        <f>'SC-NR (2)'!D119</f>
        <v>2017 - LEDGlobe1440 to 2600 lumensANY</v>
      </c>
      <c r="K221" s="42">
        <f>'SC-NR (2)'!E119</f>
        <v>0</v>
      </c>
      <c r="L221" s="42">
        <f>'SC-NR (2)'!F119</f>
        <v>5.0566080152211616E-4</v>
      </c>
      <c r="M221" s="42">
        <f>'SC-NR (2)'!G119</f>
        <v>6.4843568341710659E-4</v>
      </c>
      <c r="N221" s="42">
        <f>'SC-NR (2)'!H119</f>
        <v>7.5879613229921808E-4</v>
      </c>
      <c r="O221" s="42">
        <f>'SC-NR (2)'!I119</f>
        <v>8.5483306262471763E-4</v>
      </c>
      <c r="P221" s="42">
        <f>'SC-NR (2)'!J119</f>
        <v>9.3729487983570969E-4</v>
      </c>
      <c r="Q221" s="42">
        <f>'SC-NR (2)'!K119</f>
        <v>1.0073086831234434E-3</v>
      </c>
      <c r="R221" s="42">
        <f>'SC-NR (2)'!L119</f>
        <v>1.066174184985644E-3</v>
      </c>
      <c r="S221" s="42">
        <f>'SC-NR (2)'!M119</f>
        <v>1.2978031715732933E-3</v>
      </c>
      <c r="T221" s="42">
        <f>'SC-NR (2)'!N119</f>
        <v>1.3150531142376179E-3</v>
      </c>
      <c r="U221" s="42">
        <f>'SC-NR (2)'!O119</f>
        <v>1.3320668343630136E-3</v>
      </c>
      <c r="V221" s="42">
        <f>'SC-NR (2)'!P119</f>
        <v>1.3359602399614519E-3</v>
      </c>
      <c r="W221" s="42">
        <f>'SC-NR (2)'!Q119</f>
        <v>1.3338810124132279E-3</v>
      </c>
      <c r="X221" s="42">
        <f>'SC-NR (2)'!R119</f>
        <v>1.335269855264257E-3</v>
      </c>
      <c r="Y221" s="42">
        <f>'SC-NR (2)'!S119</f>
        <v>1.3357174556576099E-3</v>
      </c>
      <c r="Z221" s="42">
        <f>'SC-NR (2)'!T119</f>
        <v>1.3371424663713182E-3</v>
      </c>
      <c r="AA221" s="42">
        <f>'SC-NR (2)'!U119</f>
        <v>1.3361105544490929E-3</v>
      </c>
      <c r="AB221" s="42">
        <f>'SC-NR (2)'!V119</f>
        <v>1.3347761279956566E-3</v>
      </c>
      <c r="AC221" s="42">
        <f>'SC-NR (2)'!W119</f>
        <v>1.3308134566239877E-3</v>
      </c>
      <c r="AD221" s="42">
        <f>'SC-NR (2)'!X119</f>
        <v>1.3273415209587944E-3</v>
      </c>
      <c r="AE221" s="42">
        <f>'SC-NR (2)'!Y119</f>
        <v>1.1605011879622438E-2</v>
      </c>
      <c r="AF221" s="479">
        <f t="shared" si="52"/>
        <v>0.79977190056512937</v>
      </c>
      <c r="AG221" s="479">
        <f t="shared" si="53"/>
        <v>0.63610228542226255</v>
      </c>
      <c r="AH221" s="479">
        <f t="shared" si="54"/>
        <v>0.64266597984612883</v>
      </c>
      <c r="AI221" s="479">
        <f t="shared" si="55"/>
        <v>0.52414132731335006</v>
      </c>
      <c r="AJ221" s="479">
        <f t="shared" si="56"/>
        <v>0.47727800664760928</v>
      </c>
      <c r="AK221" s="479">
        <f t="shared" si="57"/>
        <v>0.49041353815233252</v>
      </c>
      <c r="AL221" s="479">
        <f t="shared" si="58"/>
        <v>0.40473358553500982</v>
      </c>
      <c r="AM221" s="479">
        <f t="shared" si="59"/>
        <v>0.46165995134349902</v>
      </c>
      <c r="AN221" s="479">
        <f t="shared" si="60"/>
        <v>0.50835733999011201</v>
      </c>
      <c r="AO221" s="479">
        <f t="shared" si="61"/>
        <v>0.74190343389738511</v>
      </c>
      <c r="AP221" s="479">
        <f t="shared" si="62"/>
        <v>0.74892668938075402</v>
      </c>
      <c r="AQ221" s="479">
        <f t="shared" si="63"/>
        <v>0.82217328135735079</v>
      </c>
      <c r="AR221" s="479"/>
      <c r="AS221" s="479">
        <f t="shared" si="64"/>
        <v>0.41722708381217544</v>
      </c>
      <c r="AT221" s="479">
        <f t="shared" si="65"/>
        <v>0.32065880090927812</v>
      </c>
      <c r="AU221" s="479">
        <f t="shared" si="66"/>
        <v>0.29886531061326499</v>
      </c>
      <c r="AV221" s="479">
        <f t="shared" si="67"/>
        <v>0.29317217867329254</v>
      </c>
      <c r="AW221" s="479">
        <f t="shared" si="68"/>
        <v>0.28484074743625698</v>
      </c>
      <c r="AX221" s="479">
        <f t="shared" si="69"/>
        <v>0.26637618843343092</v>
      </c>
      <c r="AY221" s="479">
        <f t="shared" si="70"/>
        <v>0.30388339136263259</v>
      </c>
      <c r="AZ221" s="479">
        <f t="shared" si="71"/>
        <v>0.27490727723502484</v>
      </c>
      <c r="BA221" s="479">
        <f t="shared" si="72"/>
        <v>0.3186346980071661</v>
      </c>
      <c r="BB221" s="479">
        <f t="shared" si="73"/>
        <v>0.31676643803947591</v>
      </c>
      <c r="BC221" s="479">
        <f t="shared" si="74"/>
        <v>0.3989464793254543</v>
      </c>
      <c r="BD221" s="479">
        <f t="shared" si="75"/>
        <v>0.42558999511633339</v>
      </c>
    </row>
    <row r="222" spans="1:56" ht="15">
      <c r="A222" s="63" t="str">
        <f>VLOOKUP(CONCATENATE($C222," - ",$B222),[2]ACHIEV!$B$12:$C$100,2,FALSE)</f>
        <v>LO20Fast</v>
      </c>
      <c r="B222" s="63" t="str">
        <f>'SC-NR (2)'!$C$7</f>
        <v>NR</v>
      </c>
      <c r="C222" s="63" t="str">
        <f>'SC-NR (2)'!$C$8</f>
        <v>Lighting</v>
      </c>
      <c r="D222" s="63" t="s">
        <v>795</v>
      </c>
      <c r="E222" s="63" t="str">
        <f>'SC-NR (2)'!$A$9</f>
        <v>Lighting</v>
      </c>
      <c r="F222" s="478">
        <f t="shared" si="51"/>
        <v>5.5704529633071051E-3</v>
      </c>
      <c r="G222" s="71">
        <f>'SC-NR (2)'!A120</f>
        <v>21.322455076849025</v>
      </c>
      <c r="H222" s="71">
        <f>'SC-NR (2)'!B120</f>
        <v>-49.256412709384371</v>
      </c>
      <c r="I222" t="str">
        <f>'SC-NR (2)'!C120</f>
        <v>Multifamily - High Rise</v>
      </c>
      <c r="J222" t="str">
        <f>'SC-NR (2)'!D120</f>
        <v>2017 - LEDReflectors and Outdoor250 to 664 lumensANY</v>
      </c>
      <c r="K222" s="42">
        <f>'SC-NR (2)'!E120</f>
        <v>0</v>
      </c>
      <c r="L222" s="42">
        <f>'SC-NR (2)'!F120</f>
        <v>6.6774463102934065E-3</v>
      </c>
      <c r="M222" s="42">
        <f>'SC-NR (2)'!G120</f>
        <v>8.5628438049034049E-3</v>
      </c>
      <c r="N222" s="42">
        <f>'SC-NR (2)'!H120</f>
        <v>1.0020196184150364E-2</v>
      </c>
      <c r="O222" s="42">
        <f>'SC-NR (2)'!I120</f>
        <v>1.1288400965148923E-2</v>
      </c>
      <c r="P222" s="42">
        <f>'SC-NR (2)'!J120</f>
        <v>1.2377341131003453E-2</v>
      </c>
      <c r="Q222" s="42">
        <f>'SC-NR (2)'!K120</f>
        <v>1.3301900462132145E-2</v>
      </c>
      <c r="R222" s="42">
        <f>'SC-NR (2)'!L120</f>
        <v>1.4079242164376251E-2</v>
      </c>
      <c r="S222" s="42">
        <f>'SC-NR (2)'!M120</f>
        <v>1.7137992451507322E-2</v>
      </c>
      <c r="T222" s="42">
        <f>'SC-NR (2)'!N120</f>
        <v>1.7365784611093241E-2</v>
      </c>
      <c r="U222" s="42">
        <f>'SC-NR (2)'!O120</f>
        <v>1.7590457360758052E-2</v>
      </c>
      <c r="V222" s="42">
        <f>'SC-NR (2)'!P120</f>
        <v>1.7641871286396563E-2</v>
      </c>
      <c r="W222" s="42">
        <f>'SC-NR (2)'!Q120</f>
        <v>1.7614414283048951E-2</v>
      </c>
      <c r="X222" s="42">
        <f>'SC-NR (2)'!R120</f>
        <v>1.7632754489652402E-2</v>
      </c>
      <c r="Y222" s="42">
        <f>'SC-NR (2)'!S120</f>
        <v>1.7638665225833815E-2</v>
      </c>
      <c r="Z222" s="42">
        <f>'SC-NR (2)'!T120</f>
        <v>1.7657483043041988E-2</v>
      </c>
      <c r="AA222" s="42">
        <f>'SC-NR (2)'!U120</f>
        <v>1.7643856247298934E-2</v>
      </c>
      <c r="AB222" s="42">
        <f>'SC-NR (2)'!V120</f>
        <v>1.7626234630256365E-2</v>
      </c>
      <c r="AC222" s="42">
        <f>'SC-NR (2)'!W120</f>
        <v>1.7573906023312734E-2</v>
      </c>
      <c r="AD222" s="42">
        <f>'SC-NR (2)'!X120</f>
        <v>1.7528057771031093E-2</v>
      </c>
      <c r="AE222" s="42">
        <f>'SC-NR (2)'!Y120</f>
        <v>0.15324866693885256</v>
      </c>
      <c r="AF222" s="479">
        <f t="shared" si="52"/>
        <v>1.5255955147280642</v>
      </c>
      <c r="AG222" s="479">
        <f t="shared" si="53"/>
        <v>1.2133894587478662</v>
      </c>
      <c r="AH222" s="479">
        <f t="shared" si="54"/>
        <v>1.2259099571124876</v>
      </c>
      <c r="AI222" s="479">
        <f t="shared" si="55"/>
        <v>0.99981964541118984</v>
      </c>
      <c r="AJ222" s="479">
        <f t="shared" si="56"/>
        <v>0.91042606736425147</v>
      </c>
      <c r="AK222" s="479">
        <f t="shared" si="57"/>
        <v>0.93548259652339649</v>
      </c>
      <c r="AL222" s="479">
        <f t="shared" si="58"/>
        <v>0.77204480717028579</v>
      </c>
      <c r="AM222" s="479">
        <f t="shared" si="59"/>
        <v>0.88063402902945986</v>
      </c>
      <c r="AN222" s="479">
        <f t="shared" si="60"/>
        <v>0.96971108539821449</v>
      </c>
      <c r="AO222" s="479">
        <f t="shared" si="61"/>
        <v>1.4152091994172629</v>
      </c>
      <c r="AP222" s="479">
        <f t="shared" si="62"/>
        <v>1.4286063280943841</v>
      </c>
      <c r="AQ222" s="479">
        <f t="shared" si="63"/>
        <v>1.5683270060897629</v>
      </c>
      <c r="AR222" s="479"/>
      <c r="AS222" s="479">
        <f t="shared" si="64"/>
        <v>0.7958766333715297</v>
      </c>
      <c r="AT222" s="479">
        <f t="shared" si="65"/>
        <v>0.61166893720522297</v>
      </c>
      <c r="AU222" s="479">
        <f t="shared" si="66"/>
        <v>0.57009702023442965</v>
      </c>
      <c r="AV222" s="479">
        <f t="shared" si="67"/>
        <v>0.55923715313202227</v>
      </c>
      <c r="AW222" s="479">
        <f t="shared" si="68"/>
        <v>0.5433446291292342</v>
      </c>
      <c r="AX222" s="479">
        <f t="shared" si="69"/>
        <v>0.50812277602807099</v>
      </c>
      <c r="AY222" s="479">
        <f t="shared" si="70"/>
        <v>0.57966920135053146</v>
      </c>
      <c r="AZ222" s="479">
        <f t="shared" si="71"/>
        <v>0.52439615447792887</v>
      </c>
      <c r="BA222" s="479">
        <f t="shared" si="72"/>
        <v>0.60780788343898273</v>
      </c>
      <c r="BB222" s="479">
        <f t="shared" si="73"/>
        <v>0.60424410603565037</v>
      </c>
      <c r="BC222" s="479">
        <f t="shared" si="74"/>
        <v>0.7610056805514156</v>
      </c>
      <c r="BD222" s="479">
        <f t="shared" si="75"/>
        <v>0.81182920680737636</v>
      </c>
    </row>
    <row r="223" spans="1:56" ht="15">
      <c r="A223" s="63" t="str">
        <f>VLOOKUP(CONCATENATE($C223," - ",$B223),[2]ACHIEV!$B$12:$C$100,2,FALSE)</f>
        <v>LO20Fast</v>
      </c>
      <c r="B223" s="63" t="str">
        <f>'SC-NR (2)'!$C$7</f>
        <v>NR</v>
      </c>
      <c r="C223" s="63" t="str">
        <f>'SC-NR (2)'!$C$8</f>
        <v>Lighting</v>
      </c>
      <c r="D223" s="63" t="s">
        <v>795</v>
      </c>
      <c r="E223" s="63" t="str">
        <f>'SC-NR (2)'!$A$9</f>
        <v>Lighting</v>
      </c>
      <c r="F223" s="478">
        <f t="shared" si="51"/>
        <v>4.2475887264408763E-3</v>
      </c>
      <c r="G223" s="71">
        <f>'SC-NR (2)'!A121</f>
        <v>16.258824982644914</v>
      </c>
      <c r="H223" s="71">
        <f>'SC-NR (2)'!B121</f>
        <v>-57.558538168362972</v>
      </c>
      <c r="I223" t="str">
        <f>'SC-NR (2)'!C121</f>
        <v>Multifamily - High Rise</v>
      </c>
      <c r="J223" t="str">
        <f>'SC-NR (2)'!D121</f>
        <v>2017 - LEDReflectors and Outdoor665 to 1439 lumensANY</v>
      </c>
      <c r="K223" s="42">
        <f>'SC-NR (2)'!E121</f>
        <v>0</v>
      </c>
      <c r="L223" s="42">
        <f>'SC-NR (2)'!F121</f>
        <v>5.1450043830654928E-2</v>
      </c>
      <c r="M223" s="42">
        <f>'SC-NR (2)'!G121</f>
        <v>6.5977121882388315E-2</v>
      </c>
      <c r="N223" s="42">
        <f>'SC-NR (2)'!H121</f>
        <v>7.7206091806621316E-2</v>
      </c>
      <c r="O223" s="42">
        <f>'SC-NR (2)'!I121</f>
        <v>8.6977670421643533E-2</v>
      </c>
      <c r="P223" s="42">
        <f>'SC-NR (2)'!J121</f>
        <v>9.5368006585906065E-2</v>
      </c>
      <c r="Q223" s="42">
        <f>'SC-NR (2)'!K121</f>
        <v>0.10249178054082117</v>
      </c>
      <c r="R223" s="42">
        <f>'SC-NR (2)'!L121</f>
        <v>0.10848123560992498</v>
      </c>
      <c r="S223" s="42">
        <f>'SC-NR (2)'!M121</f>
        <v>0.13204905315977611</v>
      </c>
      <c r="T223" s="42">
        <f>'SC-NR (2)'!N121</f>
        <v>0.13380420266609391</v>
      </c>
      <c r="U223" s="42">
        <f>'SC-NR (2)'!O121</f>
        <v>0.13553531696947504</v>
      </c>
      <c r="V223" s="42">
        <f>'SC-NR (2)'!P121</f>
        <v>0.13593146373048001</v>
      </c>
      <c r="W223" s="42">
        <f>'SC-NR (2)'!Q121</f>
        <v>0.13571990620383761</v>
      </c>
      <c r="X223" s="42">
        <f>'SC-NR (2)'!R121</f>
        <v>0.13586121837465301</v>
      </c>
      <c r="Y223" s="42">
        <f>'SC-NR (2)'!S121</f>
        <v>0.13590676088019685</v>
      </c>
      <c r="Z223" s="42">
        <f>'SC-NR (2)'!T121</f>
        <v>0.13605175306361059</v>
      </c>
      <c r="AA223" s="42">
        <f>'SC-NR (2)'!U121</f>
        <v>0.13594675794936001</v>
      </c>
      <c r="AB223" s="42">
        <f>'SC-NR (2)'!V121</f>
        <v>0.13581098254554894</v>
      </c>
      <c r="AC223" s="42">
        <f>'SC-NR (2)'!W121</f>
        <v>0.13540778812125279</v>
      </c>
      <c r="AD223" s="42">
        <f>'SC-NR (2)'!X121</f>
        <v>0.13505452514019176</v>
      </c>
      <c r="AE223" s="42">
        <f>'SC-NR (2)'!Y121</f>
        <v>1.1807883230508447</v>
      </c>
      <c r="AF223" s="479">
        <f t="shared" si="52"/>
        <v>1.1632989906121636</v>
      </c>
      <c r="AG223" s="479">
        <f t="shared" si="53"/>
        <v>0.92523524024153736</v>
      </c>
      <c r="AH223" s="479">
        <f t="shared" si="54"/>
        <v>0.93478238623725807</v>
      </c>
      <c r="AI223" s="479">
        <f t="shared" si="55"/>
        <v>0.76238372037188906</v>
      </c>
      <c r="AJ223" s="479">
        <f t="shared" si="56"/>
        <v>0.69421921798230934</v>
      </c>
      <c r="AK223" s="479">
        <f t="shared" si="57"/>
        <v>0.71332535378153095</v>
      </c>
      <c r="AL223" s="479">
        <f t="shared" si="58"/>
        <v>0.58870056723301578</v>
      </c>
      <c r="AM223" s="479">
        <f t="shared" si="59"/>
        <v>0.67150215583276607</v>
      </c>
      <c r="AN223" s="479">
        <f t="shared" si="60"/>
        <v>0.73942530371836135</v>
      </c>
      <c r="AO223" s="479">
        <f t="shared" si="61"/>
        <v>1.0791270800770567</v>
      </c>
      <c r="AP223" s="479">
        <f t="shared" si="62"/>
        <v>1.0893426753096991</v>
      </c>
      <c r="AQ223" s="479">
        <f t="shared" si="63"/>
        <v>1.1958826605879354</v>
      </c>
      <c r="AR223" s="479"/>
      <c r="AS223" s="479">
        <f t="shared" si="64"/>
        <v>0.60687284100854089</v>
      </c>
      <c r="AT223" s="479">
        <f t="shared" si="65"/>
        <v>0.46641055926707059</v>
      </c>
      <c r="AU223" s="479">
        <f t="shared" si="66"/>
        <v>0.4347110893990323</v>
      </c>
      <c r="AV223" s="479">
        <f t="shared" si="67"/>
        <v>0.42643021002015935</v>
      </c>
      <c r="AW223" s="479">
        <f t="shared" si="68"/>
        <v>0.41431182283807694</v>
      </c>
      <c r="AX223" s="479">
        <f t="shared" si="69"/>
        <v>0.38745441157505511</v>
      </c>
      <c r="AY223" s="479">
        <f t="shared" si="70"/>
        <v>0.44201008085700272</v>
      </c>
      <c r="AZ223" s="479">
        <f t="shared" si="71"/>
        <v>0.39986320836412004</v>
      </c>
      <c r="BA223" s="479">
        <f t="shared" si="72"/>
        <v>0.46346642374385677</v>
      </c>
      <c r="BB223" s="479">
        <f t="shared" si="73"/>
        <v>0.46074896776287089</v>
      </c>
      <c r="BC223" s="479">
        <f t="shared" si="74"/>
        <v>0.58028299866454724</v>
      </c>
      <c r="BD223" s="479">
        <f t="shared" si="75"/>
        <v>0.61903701715905535</v>
      </c>
    </row>
    <row r="224" spans="1:56" ht="15">
      <c r="A224" s="63" t="str">
        <f>VLOOKUP(CONCATENATE($C224," - ",$B224),[2]ACHIEV!$B$12:$C$100,2,FALSE)</f>
        <v>LO20Fast</v>
      </c>
      <c r="B224" s="63" t="str">
        <f>'SC-NR (2)'!$C$7</f>
        <v>NR</v>
      </c>
      <c r="C224" s="63" t="str">
        <f>'SC-NR (2)'!$C$8</f>
        <v>Lighting</v>
      </c>
      <c r="D224" s="63" t="s">
        <v>795</v>
      </c>
      <c r="E224" s="63" t="str">
        <f>'SC-NR (2)'!$A$9</f>
        <v>Lighting</v>
      </c>
      <c r="F224" s="478">
        <f t="shared" si="51"/>
        <v>2.2739503245659785E-2</v>
      </c>
      <c r="G224" s="71">
        <f>'SC-NR (2)'!A122</f>
        <v>87.041761167225999</v>
      </c>
      <c r="H224" s="71">
        <f>'SC-NR (2)'!B122</f>
        <v>-31.342168529326845</v>
      </c>
      <c r="I224" t="str">
        <f>'SC-NR (2)'!C122</f>
        <v>Multifamily - High Rise</v>
      </c>
      <c r="J224" t="str">
        <f>'SC-NR (2)'!D122</f>
        <v>2017 - LEDReflectors and Outdoor1440 to 2600 lumensANY</v>
      </c>
      <c r="K224" s="42">
        <f>'SC-NR (2)'!E122</f>
        <v>0</v>
      </c>
      <c r="L224" s="42">
        <f>'SC-NR (2)'!F122</f>
        <v>2.2634778677255569E-2</v>
      </c>
      <c r="M224" s="42">
        <f>'SC-NR (2)'!G122</f>
        <v>2.9025778024320981E-2</v>
      </c>
      <c r="N224" s="42">
        <f>'SC-NR (2)'!H122</f>
        <v>3.3965817528371633E-2</v>
      </c>
      <c r="O224" s="42">
        <f>'SC-NR (2)'!I122</f>
        <v>3.8264696650932253E-2</v>
      </c>
      <c r="P224" s="42">
        <f>'SC-NR (2)'!J122</f>
        <v>4.1955916093445192E-2</v>
      </c>
      <c r="Q224" s="42">
        <f>'SC-NR (2)'!K122</f>
        <v>4.5089927938936146E-2</v>
      </c>
      <c r="R224" s="42">
        <f>'SC-NR (2)'!L122</f>
        <v>4.7724910920345295E-2</v>
      </c>
      <c r="S224" s="42">
        <f>'SC-NR (2)'!M122</f>
        <v>5.8093266210821823E-2</v>
      </c>
      <c r="T224" s="42">
        <f>'SC-NR (2)'!N122</f>
        <v>5.8865421444581359E-2</v>
      </c>
      <c r="U224" s="42">
        <f>'SC-NR (2)'!O122</f>
        <v>5.9627002702918729E-2</v>
      </c>
      <c r="V224" s="42">
        <f>'SC-NR (2)'!P122</f>
        <v>5.9801282326247582E-2</v>
      </c>
      <c r="W224" s="42">
        <f>'SC-NR (2)'!Q122</f>
        <v>5.9708210339587668E-2</v>
      </c>
      <c r="X224" s="42">
        <f>'SC-NR (2)'!R122</f>
        <v>5.9770378794124605E-2</v>
      </c>
      <c r="Y224" s="42">
        <f>'SC-NR (2)'!S122</f>
        <v>5.9790414628045081E-2</v>
      </c>
      <c r="Z224" s="42">
        <f>'SC-NR (2)'!T122</f>
        <v>5.9854202056337756E-2</v>
      </c>
      <c r="AA224" s="42">
        <f>'SC-NR (2)'!U122</f>
        <v>5.9808010819240323E-2</v>
      </c>
      <c r="AB224" s="42">
        <f>'SC-NR (2)'!V122</f>
        <v>5.9748278193449092E-2</v>
      </c>
      <c r="AC224" s="42">
        <f>'SC-NR (2)'!W122</f>
        <v>5.9570898042172929E-2</v>
      </c>
      <c r="AD224" s="42">
        <f>'SC-NR (2)'!X122</f>
        <v>5.9415484580961846E-2</v>
      </c>
      <c r="AE224" s="42">
        <f>'SC-NR (2)'!Y122</f>
        <v>0.51947248956509606</v>
      </c>
      <c r="AF224" s="479">
        <f t="shared" si="52"/>
        <v>6.2277312791681956</v>
      </c>
      <c r="AG224" s="479">
        <f t="shared" si="53"/>
        <v>4.9532549179026795</v>
      </c>
      <c r="AH224" s="479">
        <f t="shared" si="54"/>
        <v>5.0043656471512685</v>
      </c>
      <c r="AI224" s="479">
        <f t="shared" si="55"/>
        <v>4.0814278877609365</v>
      </c>
      <c r="AJ224" s="479">
        <f t="shared" si="56"/>
        <v>3.7165086304708308</v>
      </c>
      <c r="AK224" s="479">
        <f t="shared" si="57"/>
        <v>3.8187934948961253</v>
      </c>
      <c r="AL224" s="479">
        <f t="shared" si="58"/>
        <v>3.1516136145633622</v>
      </c>
      <c r="AM224" s="479">
        <f t="shared" si="59"/>
        <v>3.594892640376083</v>
      </c>
      <c r="AN224" s="479">
        <f t="shared" si="60"/>
        <v>3.9585198042267882</v>
      </c>
      <c r="AO224" s="479">
        <f t="shared" si="61"/>
        <v>5.777116222938341</v>
      </c>
      <c r="AP224" s="479">
        <f t="shared" si="62"/>
        <v>5.831805500999323</v>
      </c>
      <c r="AQ224" s="479">
        <f t="shared" si="63"/>
        <v>6.4021682402038298</v>
      </c>
      <c r="AR224" s="479"/>
      <c r="AS224" s="479">
        <f t="shared" si="64"/>
        <v>3.2488990405103846</v>
      </c>
      <c r="AT224" s="479">
        <f t="shared" si="65"/>
        <v>2.4969329917094965</v>
      </c>
      <c r="AU224" s="479">
        <f t="shared" si="66"/>
        <v>2.3272296036524454</v>
      </c>
      <c r="AV224" s="479">
        <f t="shared" si="67"/>
        <v>2.2828978437669774</v>
      </c>
      <c r="AW224" s="479">
        <f t="shared" si="68"/>
        <v>2.2180219524303819</v>
      </c>
      <c r="AX224" s="479">
        <f t="shared" si="69"/>
        <v>2.0742405672920801</v>
      </c>
      <c r="AY224" s="479">
        <f t="shared" si="70"/>
        <v>2.3663048180006183</v>
      </c>
      <c r="AZ224" s="479">
        <f t="shared" si="71"/>
        <v>2.1406711689892717</v>
      </c>
      <c r="BA224" s="479">
        <f t="shared" si="72"/>
        <v>2.4811715365410532</v>
      </c>
      <c r="BB224" s="479">
        <f t="shared" si="73"/>
        <v>2.4666236122764214</v>
      </c>
      <c r="BC224" s="479">
        <f t="shared" si="74"/>
        <v>3.1065500879107617</v>
      </c>
      <c r="BD224" s="479">
        <f t="shared" si="75"/>
        <v>3.3140200634883259</v>
      </c>
    </row>
    <row r="225" spans="1:56" ht="15">
      <c r="A225" s="63" t="str">
        <f>VLOOKUP(CONCATENATE($C225," - ",$B225),[2]ACHIEV!$B$12:$C$100,2,FALSE)</f>
        <v>LO20Fast</v>
      </c>
      <c r="B225" s="63" t="str">
        <f>'SC-NR (2)'!$C$7</f>
        <v>NR</v>
      </c>
      <c r="C225" s="63" t="str">
        <f>'SC-NR (2)'!$C$8</f>
        <v>Lighting</v>
      </c>
      <c r="D225" s="63" t="s">
        <v>795</v>
      </c>
      <c r="E225" s="63" t="str">
        <f>'SC-NR (2)'!$A$9</f>
        <v>Lighting</v>
      </c>
      <c r="F225" s="478">
        <f t="shared" si="51"/>
        <v>1.3238383828380332E-2</v>
      </c>
      <c r="G225" s="71">
        <f>'SC-NR (2)'!A123</f>
        <v>50.673589083344737</v>
      </c>
      <c r="H225" s="71">
        <f>'SC-NR (2)'!B123</f>
        <v>-6.4266835469852737</v>
      </c>
      <c r="I225" t="str">
        <f>'SC-NR (2)'!C123</f>
        <v>Multifamily - High Rise</v>
      </c>
      <c r="J225" t="str">
        <f>'SC-NR (2)'!D123</f>
        <v>2017 - LEDThree-Way250 to 664 lumensANY</v>
      </c>
      <c r="K225" s="37">
        <f>'SC-NR (2)'!E123</f>
        <v>0</v>
      </c>
      <c r="L225" s="37">
        <f>'SC-NR (2)'!F123</f>
        <v>2.0677152780729151E-4</v>
      </c>
      <c r="M225" s="37">
        <f>'SC-NR (2)'!G123</f>
        <v>2.65154104374563E-4</v>
      </c>
      <c r="N225" s="37">
        <f>'SC-NR (2)'!H123</f>
        <v>3.1028198171083825E-4</v>
      </c>
      <c r="O225" s="37">
        <f>'SC-NR (2)'!I123</f>
        <v>3.4955277895189641E-4</v>
      </c>
      <c r="P225" s="37">
        <f>'SC-NR (2)'!J123</f>
        <v>3.832725291859605E-4</v>
      </c>
      <c r="Q225" s="37">
        <f>'SC-NR (2)'!K123</f>
        <v>4.1190211848737813E-4</v>
      </c>
      <c r="R225" s="37">
        <f>'SC-NR (2)'!L123</f>
        <v>4.3597301684167311E-4</v>
      </c>
      <c r="S225" s="37">
        <f>'SC-NR (2)'!M123</f>
        <v>5.3068923628564382E-4</v>
      </c>
      <c r="T225" s="37">
        <f>'SC-NR (2)'!N123</f>
        <v>5.3774297070317053E-4</v>
      </c>
      <c r="U225" s="37">
        <f>'SC-NR (2)'!O123</f>
        <v>5.447001105356908E-4</v>
      </c>
      <c r="V225" s="37">
        <f>'SC-NR (2)'!P123</f>
        <v>5.4629217664312741E-4</v>
      </c>
      <c r="W225" s="37">
        <f>'SC-NR (2)'!Q123</f>
        <v>5.4544195243055014E-4</v>
      </c>
      <c r="X225" s="37">
        <f>'SC-NR (2)'!R123</f>
        <v>5.4600986902073696E-4</v>
      </c>
      <c r="Y225" s="37">
        <f>'SC-NR (2)'!S123</f>
        <v>5.4619289886386922E-4</v>
      </c>
      <c r="Z225" s="37">
        <f>'SC-NR (2)'!T123</f>
        <v>5.4677560498134605E-4</v>
      </c>
      <c r="AA225" s="37">
        <f>'SC-NR (2)'!U123</f>
        <v>5.4635364226626347E-4</v>
      </c>
      <c r="AB225" s="37">
        <f>'SC-NR (2)'!V123</f>
        <v>5.4580797727563546E-4</v>
      </c>
      <c r="AC225" s="37">
        <f>'SC-NR (2)'!W123</f>
        <v>5.4418758745848584E-4</v>
      </c>
      <c r="AD225" s="37">
        <f>'SC-NR (2)'!X123</f>
        <v>5.4276786609630068E-4</v>
      </c>
      <c r="AE225" s="37">
        <f>'SC-NR (2)'!Y123</f>
        <v>4.7454460170695059E-3</v>
      </c>
      <c r="AF225" s="479">
        <f t="shared" si="52"/>
        <v>3.6256331619458151</v>
      </c>
      <c r="AG225" s="479">
        <f t="shared" si="53"/>
        <v>2.8836641282181006</v>
      </c>
      <c r="AH225" s="479">
        <f t="shared" si="54"/>
        <v>2.9134195474210416</v>
      </c>
      <c r="AI225" s="479">
        <f t="shared" si="55"/>
        <v>2.3761077083488051</v>
      </c>
      <c r="AJ225" s="479">
        <f t="shared" si="56"/>
        <v>2.1636606226678121</v>
      </c>
      <c r="AK225" s="479">
        <f t="shared" si="57"/>
        <v>2.2232083744576121</v>
      </c>
      <c r="AL225" s="479">
        <f t="shared" si="58"/>
        <v>1.83479253076042</v>
      </c>
      <c r="AM225" s="479">
        <f t="shared" si="59"/>
        <v>2.0928587612924954</v>
      </c>
      <c r="AN225" s="479">
        <f t="shared" si="60"/>
        <v>2.3045536217068179</v>
      </c>
      <c r="AO225" s="479">
        <f t="shared" si="61"/>
        <v>3.3632960735418895</v>
      </c>
      <c r="AP225" s="479">
        <f t="shared" si="62"/>
        <v>3.3951348365283454</v>
      </c>
      <c r="AQ225" s="479">
        <f t="shared" si="63"/>
        <v>3.7271861034986045</v>
      </c>
      <c r="AR225" s="479"/>
      <c r="AS225" s="479">
        <f t="shared" si="64"/>
        <v>1.8914297314802717</v>
      </c>
      <c r="AT225" s="479">
        <f t="shared" si="65"/>
        <v>1.4536534497210483</v>
      </c>
      <c r="AU225" s="479">
        <f t="shared" si="66"/>
        <v>1.3548562788327785</v>
      </c>
      <c r="AV225" s="479">
        <f t="shared" si="67"/>
        <v>1.3290474101512062</v>
      </c>
      <c r="AW225" s="479">
        <f t="shared" si="68"/>
        <v>1.291278249521628</v>
      </c>
      <c r="AX225" s="479">
        <f t="shared" si="69"/>
        <v>1.2075722361019934</v>
      </c>
      <c r="AY225" s="479">
        <f t="shared" si="70"/>
        <v>1.377604914989379</v>
      </c>
      <c r="AZ225" s="479">
        <f t="shared" si="71"/>
        <v>1.2462465111605538</v>
      </c>
      <c r="BA225" s="479">
        <f t="shared" si="72"/>
        <v>1.4444775151828353</v>
      </c>
      <c r="BB225" s="479">
        <f t="shared" si="73"/>
        <v>1.4360080687204035</v>
      </c>
      <c r="BC225" s="479">
        <f t="shared" si="74"/>
        <v>1.8085576453259091</v>
      </c>
      <c r="BD225" s="479">
        <f t="shared" si="75"/>
        <v>1.9293416017689646</v>
      </c>
    </row>
    <row r="226" spans="1:56" ht="15">
      <c r="A226" s="63" t="str">
        <f>VLOOKUP(CONCATENATE($C226," - ",$B226),[2]ACHIEV!$B$12:$C$100,2,FALSE)</f>
        <v>LO20Fast</v>
      </c>
      <c r="B226" s="63" t="str">
        <f>'SC-NR (2)'!$C$7</f>
        <v>NR</v>
      </c>
      <c r="C226" s="63" t="str">
        <f>'SC-NR (2)'!$C$8</f>
        <v>Lighting</v>
      </c>
      <c r="D226" s="63" t="s">
        <v>795</v>
      </c>
      <c r="E226" s="63" t="str">
        <f>'SC-NR (2)'!$A$9</f>
        <v>Lighting</v>
      </c>
      <c r="F226" s="478">
        <f t="shared" si="51"/>
        <v>1.4259875898113245E-2</v>
      </c>
      <c r="G226" s="71">
        <f>'SC-NR (2)'!A124</f>
        <v>54.583633546821666</v>
      </c>
      <c r="H226" s="71">
        <f>'SC-NR (2)'!B124</f>
        <v>-12.334283459818346</v>
      </c>
      <c r="I226" t="str">
        <f>'SC-NR (2)'!C124</f>
        <v>Multifamily - High Rise</v>
      </c>
      <c r="J226" t="str">
        <f>'SC-NR (2)'!D124</f>
        <v>2017 - LEDThree-Way665 to 1439 lumensANY</v>
      </c>
      <c r="K226" s="37">
        <f>'SC-NR (2)'!E124</f>
        <v>0</v>
      </c>
      <c r="L226" s="37">
        <f>'SC-NR (2)'!F124</f>
        <v>2.7492045111885766E-3</v>
      </c>
      <c r="M226" s="37">
        <f>'SC-NR (2)'!G124</f>
        <v>3.5254508569772694E-3</v>
      </c>
      <c r="N226" s="37">
        <f>'SC-NR (2)'!H124</f>
        <v>4.1254646270978855E-3</v>
      </c>
      <c r="O226" s="37">
        <f>'SC-NR (2)'!I124</f>
        <v>4.6476035022031152E-3</v>
      </c>
      <c r="P226" s="37">
        <f>'SC-NR (2)'!J124</f>
        <v>5.0959364542430031E-3</v>
      </c>
      <c r="Q226" s="37">
        <f>'SC-NR (2)'!K124</f>
        <v>5.4765913582116438E-3</v>
      </c>
      <c r="R226" s="37">
        <f>'SC-NR (2)'!L124</f>
        <v>5.796634562639986E-3</v>
      </c>
      <c r="S226" s="37">
        <f>'SC-NR (2)'!M124</f>
        <v>7.0559678013089747E-3</v>
      </c>
      <c r="T226" s="37">
        <f>'SC-NR (2)'!N124</f>
        <v>7.1497532401797641E-3</v>
      </c>
      <c r="U226" s="37">
        <f>'SC-NR (2)'!O124</f>
        <v>7.2422543713333747E-3</v>
      </c>
      <c r="V226" s="37">
        <f>'SC-NR (2)'!P124</f>
        <v>7.2634222534450456E-3</v>
      </c>
      <c r="W226" s="37">
        <f>'SC-NR (2)'!Q124</f>
        <v>7.2521177945307743E-3</v>
      </c>
      <c r="X226" s="37">
        <f>'SC-NR (2)'!R124</f>
        <v>7.2596687318782754E-3</v>
      </c>
      <c r="Y226" s="37">
        <f>'SC-NR (2)'!S124</f>
        <v>7.2621022703627924E-3</v>
      </c>
      <c r="Z226" s="37">
        <f>'SC-NR (2)'!T124</f>
        <v>7.2698498471392113E-3</v>
      </c>
      <c r="AA226" s="37">
        <f>'SC-NR (2)'!U124</f>
        <v>7.2642394915348411E-3</v>
      </c>
      <c r="AB226" s="37">
        <f>'SC-NR (2)'!V124</f>
        <v>7.2569844082564974E-3</v>
      </c>
      <c r="AC226" s="37">
        <f>'SC-NR (2)'!W124</f>
        <v>7.2354399381718932E-3</v>
      </c>
      <c r="AD226" s="37">
        <f>'SC-NR (2)'!X124</f>
        <v>7.2165635270192516E-3</v>
      </c>
      <c r="AE226" s="37">
        <f>'SC-NR (2)'!Y124</f>
        <v>6.3094768105056723E-2</v>
      </c>
      <c r="AF226" s="479">
        <f t="shared" si="52"/>
        <v>3.9053920487329368</v>
      </c>
      <c r="AG226" s="479">
        <f t="shared" si="53"/>
        <v>3.1061716545849691</v>
      </c>
      <c r="AH226" s="479">
        <f t="shared" si="54"/>
        <v>3.1382230432311156</v>
      </c>
      <c r="AI226" s="479">
        <f t="shared" si="55"/>
        <v>2.5594514769216872</v>
      </c>
      <c r="AJ226" s="479">
        <f t="shared" si="56"/>
        <v>2.3306116792545248</v>
      </c>
      <c r="AK226" s="479">
        <f t="shared" si="57"/>
        <v>2.3947542182186701</v>
      </c>
      <c r="AL226" s="479">
        <f t="shared" si="58"/>
        <v>1.9763676689399765</v>
      </c>
      <c r="AM226" s="479">
        <f t="shared" si="59"/>
        <v>2.2543466479896805</v>
      </c>
      <c r="AN226" s="479">
        <f t="shared" si="60"/>
        <v>2.4823761776445838</v>
      </c>
      <c r="AO226" s="479">
        <f t="shared" si="61"/>
        <v>3.6228126664904727</v>
      </c>
      <c r="AP226" s="479">
        <f t="shared" si="62"/>
        <v>3.6571081526179396</v>
      </c>
      <c r="AQ226" s="479">
        <f t="shared" si="63"/>
        <v>4.0147809562011307</v>
      </c>
      <c r="AR226" s="479"/>
      <c r="AS226" s="479">
        <f t="shared" si="64"/>
        <v>2.0373750746740664</v>
      </c>
      <c r="AT226" s="479">
        <f t="shared" si="65"/>
        <v>1.5658193674251897</v>
      </c>
      <c r="AU226" s="479">
        <f t="shared" si="66"/>
        <v>1.4593988697107205</v>
      </c>
      <c r="AV226" s="479">
        <f t="shared" si="67"/>
        <v>1.4315985529015838</v>
      </c>
      <c r="AW226" s="479">
        <f t="shared" si="68"/>
        <v>1.3909150714180603</v>
      </c>
      <c r="AX226" s="479">
        <f t="shared" si="69"/>
        <v>1.3007501858275035</v>
      </c>
      <c r="AY226" s="479">
        <f t="shared" si="70"/>
        <v>1.4839028222059658</v>
      </c>
      <c r="AZ226" s="479">
        <f t="shared" si="71"/>
        <v>1.3424086216255566</v>
      </c>
      <c r="BA226" s="479">
        <f t="shared" si="72"/>
        <v>1.5559354050427407</v>
      </c>
      <c r="BB226" s="479">
        <f t="shared" si="73"/>
        <v>1.5468124443365345</v>
      </c>
      <c r="BC226" s="479">
        <f t="shared" si="74"/>
        <v>1.9481084633339767</v>
      </c>
      <c r="BD226" s="479">
        <f t="shared" si="75"/>
        <v>2.0782122774920686</v>
      </c>
    </row>
    <row r="227" spans="1:56" ht="15">
      <c r="A227" s="63" t="str">
        <f>VLOOKUP(CONCATENATE($C227," - ",$B227),[2]ACHIEV!$B$12:$C$100,2,FALSE)</f>
        <v>LO20Fast</v>
      </c>
      <c r="B227" s="63" t="str">
        <f>'SC-NR (2)'!$C$7</f>
        <v>NR</v>
      </c>
      <c r="C227" s="63" t="str">
        <f>'SC-NR (2)'!$C$8</f>
        <v>Lighting</v>
      </c>
      <c r="D227" s="63" t="s">
        <v>795</v>
      </c>
      <c r="E227" s="63" t="str">
        <f>'SC-NR (2)'!$A$9</f>
        <v>Lighting</v>
      </c>
      <c r="F227" s="478">
        <f t="shared" si="51"/>
        <v>1.2760440721528607E-2</v>
      </c>
      <c r="G227" s="71">
        <f>'SC-NR (2)'!A125</f>
        <v>48.844129164687544</v>
      </c>
      <c r="H227" s="71">
        <f>'SC-NR (2)'!B125</f>
        <v>-29.993229849727555</v>
      </c>
      <c r="I227" t="str">
        <f>'SC-NR (2)'!C125</f>
        <v>Multifamily - High Rise</v>
      </c>
      <c r="J227" t="str">
        <f>'SC-NR (2)'!D125</f>
        <v>2017 - LEDThree-Way1440 to 2600 lumensANY</v>
      </c>
      <c r="K227" s="37">
        <f>'SC-NR (2)'!E125</f>
        <v>0</v>
      </c>
      <c r="L227" s="37">
        <f>'SC-NR (2)'!F125</f>
        <v>9.5130347042313088E-3</v>
      </c>
      <c r="M227" s="37">
        <f>'SC-NR (2)'!G125</f>
        <v>1.2199069299499751E-2</v>
      </c>
      <c r="N227" s="37">
        <f>'SC-NR (2)'!H125</f>
        <v>1.4275288727681301E-2</v>
      </c>
      <c r="O227" s="37">
        <f>'SC-NR (2)'!I125</f>
        <v>1.6082038723576251E-2</v>
      </c>
      <c r="P227" s="37">
        <f>'SC-NR (2)'!J125</f>
        <v>1.7633399095075872E-2</v>
      </c>
      <c r="Q227" s="37">
        <f>'SC-NR (2)'!K125</f>
        <v>1.895057404406646E-2</v>
      </c>
      <c r="R227" s="37">
        <f>'SC-NR (2)'!L125</f>
        <v>2.0058015159556238E-2</v>
      </c>
      <c r="S227" s="37">
        <f>'SC-NR (2)'!M125</f>
        <v>2.4415668711663462E-2</v>
      </c>
      <c r="T227" s="37">
        <f>'SC-NR (2)'!N125</f>
        <v>2.4740193180868432E-2</v>
      </c>
      <c r="U227" s="37">
        <f>'SC-NR (2)'!O125</f>
        <v>2.5060273577675481E-2</v>
      </c>
      <c r="V227" s="37">
        <f>'SC-NR (2)'!P125</f>
        <v>2.5133520510133168E-2</v>
      </c>
      <c r="W227" s="37">
        <f>'SC-NR (2)'!Q125</f>
        <v>2.5094403845830317E-2</v>
      </c>
      <c r="X227" s="37">
        <f>'SC-NR (2)'!R125</f>
        <v>2.5120532250881282E-2</v>
      </c>
      <c r="Y227" s="37">
        <f>'SC-NR (2)'!S125</f>
        <v>2.5128952990758246E-2</v>
      </c>
      <c r="Z227" s="37">
        <f>'SC-NR (2)'!T125</f>
        <v>2.5155761824531005E-2</v>
      </c>
      <c r="AA227" s="37">
        <f>'SC-NR (2)'!U125</f>
        <v>2.5136348387898605E-2</v>
      </c>
      <c r="AB227" s="37">
        <f>'SC-NR (2)'!V125</f>
        <v>2.5111243722629763E-2</v>
      </c>
      <c r="AC227" s="37">
        <f>'SC-NR (2)'!W125</f>
        <v>2.5036693687968833E-2</v>
      </c>
      <c r="AD227" s="37">
        <f>'SC-NR (2)'!X125</f>
        <v>2.4971375901076072E-2</v>
      </c>
      <c r="AE227" s="37">
        <f>'SC-NR (2)'!Y125</f>
        <v>0.21832596163583853</v>
      </c>
      <c r="AF227" s="479">
        <f t="shared" si="52"/>
        <v>3.4947375480862015</v>
      </c>
      <c r="AG227" s="479">
        <f t="shared" si="53"/>
        <v>2.7795556954649423</v>
      </c>
      <c r="AH227" s="479">
        <f t="shared" si="54"/>
        <v>2.808236859858241</v>
      </c>
      <c r="AI227" s="479">
        <f t="shared" si="55"/>
        <v>2.2903234982016438</v>
      </c>
      <c r="AJ227" s="479">
        <f t="shared" si="56"/>
        <v>2.0855463533146543</v>
      </c>
      <c r="AK227" s="479">
        <f t="shared" si="57"/>
        <v>2.1429442628075841</v>
      </c>
      <c r="AL227" s="479">
        <f t="shared" si="58"/>
        <v>1.7685513298745517</v>
      </c>
      <c r="AM227" s="479">
        <f t="shared" si="59"/>
        <v>2.0173006394294912</v>
      </c>
      <c r="AN227" s="479">
        <f t="shared" si="60"/>
        <v>2.2213527165099398</v>
      </c>
      <c r="AO227" s="479">
        <f t="shared" si="61"/>
        <v>3.2418715707106038</v>
      </c>
      <c r="AP227" s="479">
        <f t="shared" si="62"/>
        <v>3.2725608642831689</v>
      </c>
      <c r="AQ227" s="479">
        <f t="shared" si="63"/>
        <v>3.5926241411613451</v>
      </c>
      <c r="AR227" s="479"/>
      <c r="AS227" s="479">
        <f t="shared" si="64"/>
        <v>1.8231437674249444</v>
      </c>
      <c r="AT227" s="479">
        <f t="shared" si="65"/>
        <v>1.4011724478818377</v>
      </c>
      <c r="AU227" s="479">
        <f t="shared" si="66"/>
        <v>1.3059421343543034</v>
      </c>
      <c r="AV227" s="479">
        <f t="shared" si="67"/>
        <v>1.2810650388439813</v>
      </c>
      <c r="AW227" s="479">
        <f t="shared" si="68"/>
        <v>1.2446594517599732</v>
      </c>
      <c r="AX227" s="479">
        <f t="shared" si="69"/>
        <v>1.1639754622244163</v>
      </c>
      <c r="AY227" s="479">
        <f t="shared" si="70"/>
        <v>1.3278694803910316</v>
      </c>
      <c r="AZ227" s="479">
        <f t="shared" si="71"/>
        <v>1.2012534865460023</v>
      </c>
      <c r="BA227" s="479">
        <f t="shared" si="72"/>
        <v>1.3923277905386595</v>
      </c>
      <c r="BB227" s="479">
        <f t="shared" si="73"/>
        <v>1.3841641150531119</v>
      </c>
      <c r="BC227" s="479">
        <f t="shared" si="74"/>
        <v>1.7432635980212496</v>
      </c>
      <c r="BD227" s="479">
        <f t="shared" si="75"/>
        <v>1.8596869119456556</v>
      </c>
    </row>
    <row r="228" spans="1:56" ht="15">
      <c r="A228" s="63" t="str">
        <f>VLOOKUP(CONCATENATE($C228," - ",$B228),[2]ACHIEV!$B$12:$C$100,2,FALSE)</f>
        <v>LO20Fast</v>
      </c>
      <c r="B228" s="63" t="str">
        <f>'SC-NR (2)'!$C$7</f>
        <v>NR</v>
      </c>
      <c r="C228" s="63" t="str">
        <f>'SC-NR (2)'!$C$8</f>
        <v>Lighting</v>
      </c>
      <c r="D228" s="63" t="s">
        <v>795</v>
      </c>
      <c r="E228" s="63" t="str">
        <f>'SC-NR (2)'!$A$9</f>
        <v>Lighting</v>
      </c>
      <c r="F228" s="478">
        <f t="shared" si="51"/>
        <v>5.2591883382486233E-3</v>
      </c>
      <c r="G228" s="71">
        <f>'SC-NR (2)'!A126</f>
        <v>20.131003317263307</v>
      </c>
      <c r="H228" s="71">
        <f>'SC-NR (2)'!B126</f>
        <v>-21.262756278752239</v>
      </c>
      <c r="I228" t="str">
        <f>'SC-NR (2)'!C126</f>
        <v>Manufactured</v>
      </c>
      <c r="J228" t="str">
        <f>'SC-NR (2)'!D126</f>
        <v>2017 - LEDDecorative and Mini-Base250 to 664 lumensANY</v>
      </c>
      <c r="K228" s="37">
        <f>'SC-NR (2)'!E126</f>
        <v>0</v>
      </c>
      <c r="L228" s="37">
        <f>'SC-NR (2)'!F126</f>
        <v>0.14542235338769879</v>
      </c>
      <c r="M228" s="37">
        <f>'SC-NR (2)'!G126</f>
        <v>0.18490975913967742</v>
      </c>
      <c r="N228" s="37">
        <f>'SC-NR (2)'!H126</f>
        <v>0.21455521862796642</v>
      </c>
      <c r="O228" s="37">
        <f>'SC-NR (2)'!I126</f>
        <v>0.23967146575439532</v>
      </c>
      <c r="P228" s="37">
        <f>'SC-NR (2)'!J126</f>
        <v>0.26057473952434684</v>
      </c>
      <c r="Q228" s="37">
        <f>'SC-NR (2)'!K126</f>
        <v>0.27767686169443151</v>
      </c>
      <c r="R228" s="37">
        <f>'SC-NR (2)'!L126</f>
        <v>0.29142467744691258</v>
      </c>
      <c r="S228" s="37">
        <f>'SC-NR (2)'!M126</f>
        <v>0.30925571851914957</v>
      </c>
      <c r="T228" s="37">
        <f>'SC-NR (2)'!N126</f>
        <v>0.31673360109434956</v>
      </c>
      <c r="U228" s="37">
        <f>'SC-NR (2)'!O126</f>
        <v>0.32250987904042794</v>
      </c>
      <c r="V228" s="37">
        <f>'SC-NR (2)'!P126</f>
        <v>0.32610910591374076</v>
      </c>
      <c r="W228" s="37">
        <f>'SC-NR (2)'!Q126</f>
        <v>0.32765689536536829</v>
      </c>
      <c r="X228" s="37">
        <f>'SC-NR (2)'!R126</f>
        <v>0.32802335027653812</v>
      </c>
      <c r="Y228" s="37">
        <f>'SC-NR (2)'!S126</f>
        <v>0.32751449569214636</v>
      </c>
      <c r="Z228" s="37">
        <f>'SC-NR (2)'!T126</f>
        <v>0.32629285372093642</v>
      </c>
      <c r="AA228" s="37">
        <f>'SC-NR (2)'!U126</f>
        <v>0.32453275390367353</v>
      </c>
      <c r="AB228" s="37">
        <f>'SC-NR (2)'!V126</f>
        <v>0.32236119909604427</v>
      </c>
      <c r="AC228" s="37">
        <f>'SC-NR (2)'!W126</f>
        <v>0.31988433972792313</v>
      </c>
      <c r="AD228" s="37">
        <f>'SC-NR (2)'!X126</f>
        <v>0.31722127132742822</v>
      </c>
      <c r="AE228" s="37">
        <f>'SC-NR (2)'!Y126</f>
        <v>2.6023931149717767</v>
      </c>
      <c r="AF228" s="479">
        <f t="shared" si="52"/>
        <v>1.4403486023116614</v>
      </c>
      <c r="AG228" s="479">
        <f t="shared" si="53"/>
        <v>1.1455879321189004</v>
      </c>
      <c r="AH228" s="479">
        <f t="shared" si="54"/>
        <v>1.1574088126508824</v>
      </c>
      <c r="AI228" s="479">
        <f t="shared" si="55"/>
        <v>0.94395192888885926</v>
      </c>
      <c r="AJ228" s="479">
        <f t="shared" si="56"/>
        <v>0.85955346681125078</v>
      </c>
      <c r="AK228" s="479">
        <f t="shared" si="57"/>
        <v>0.88320989238719305</v>
      </c>
      <c r="AL228" s="479">
        <f t="shared" si="58"/>
        <v>0.72890464621476858</v>
      </c>
      <c r="AM228" s="479">
        <f t="shared" si="59"/>
        <v>0.83142614186746877</v>
      </c>
      <c r="AN228" s="479">
        <f t="shared" si="60"/>
        <v>0.91552576880013092</v>
      </c>
      <c r="AO228" s="479">
        <f t="shared" si="61"/>
        <v>1.3361304308256319</v>
      </c>
      <c r="AP228" s="479">
        <f t="shared" si="62"/>
        <v>1.3487789575018005</v>
      </c>
      <c r="AQ228" s="479">
        <f t="shared" si="63"/>
        <v>1.4806923521872546</v>
      </c>
      <c r="AR228" s="479"/>
      <c r="AS228" s="479">
        <f t="shared" si="64"/>
        <v>0.75140480253281761</v>
      </c>
      <c r="AT228" s="479">
        <f t="shared" si="65"/>
        <v>0.57749022612854406</v>
      </c>
      <c r="AU228" s="479">
        <f t="shared" si="66"/>
        <v>0.53824125618452068</v>
      </c>
      <c r="AV228" s="479">
        <f t="shared" si="67"/>
        <v>0.52798821450261002</v>
      </c>
      <c r="AW228" s="479">
        <f t="shared" si="68"/>
        <v>0.51298372968757655</v>
      </c>
      <c r="AX228" s="479">
        <f t="shared" si="69"/>
        <v>0.47972999605023692</v>
      </c>
      <c r="AY228" s="479">
        <f t="shared" si="70"/>
        <v>0.54727856493284177</v>
      </c>
      <c r="AZ228" s="479">
        <f t="shared" si="71"/>
        <v>0.4950940540058737</v>
      </c>
      <c r="BA228" s="479">
        <f t="shared" si="72"/>
        <v>0.57384491953058547</v>
      </c>
      <c r="BB228" s="479">
        <f t="shared" si="73"/>
        <v>0.57048027814806623</v>
      </c>
      <c r="BC228" s="479">
        <f t="shared" si="74"/>
        <v>0.71848236164278922</v>
      </c>
      <c r="BD228" s="479">
        <f t="shared" si="75"/>
        <v>0.76646598135103916</v>
      </c>
    </row>
    <row r="229" spans="1:56" ht="15">
      <c r="A229" s="63" t="str">
        <f>VLOOKUP(CONCATENATE($C229," - ",$B229),[2]ACHIEV!$B$12:$C$100,2,FALSE)</f>
        <v>LO20Fast</v>
      </c>
      <c r="B229" s="63" t="str">
        <f>'SC-NR (2)'!$C$7</f>
        <v>NR</v>
      </c>
      <c r="C229" s="63" t="str">
        <f>'SC-NR (2)'!$C$8</f>
        <v>Lighting</v>
      </c>
      <c r="D229" s="63" t="s">
        <v>795</v>
      </c>
      <c r="E229" s="63" t="str">
        <f>'SC-NR (2)'!$A$9</f>
        <v>Lighting</v>
      </c>
      <c r="F229" s="478">
        <f t="shared" si="51"/>
        <v>3.96210803600704E-3</v>
      </c>
      <c r="G229" s="71">
        <f>'SC-NR (2)'!A127</f>
        <v>15.166068390464758</v>
      </c>
      <c r="H229" s="71">
        <f>'SC-NR (2)'!B127</f>
        <v>-19.792953526125213</v>
      </c>
      <c r="I229" t="str">
        <f>'SC-NR (2)'!C127</f>
        <v>Manufactured</v>
      </c>
      <c r="J229" t="str">
        <f>'SC-NR (2)'!D127</f>
        <v>2017 - LEDDecorative and Mini-Base665 to 1439 lumensANY</v>
      </c>
      <c r="K229" s="37">
        <f>'SC-NR (2)'!E127</f>
        <v>0</v>
      </c>
      <c r="L229" s="37">
        <f>'SC-NR (2)'!F127</f>
        <v>3.0048360277223064E-2</v>
      </c>
      <c r="M229" s="37">
        <f>'SC-NR (2)'!G127</f>
        <v>3.8207572164580067E-2</v>
      </c>
      <c r="N229" s="37">
        <f>'SC-NR (2)'!H127</f>
        <v>4.4333160332673087E-2</v>
      </c>
      <c r="O229" s="37">
        <f>'SC-NR (2)'!I127</f>
        <v>4.9522885466983455E-2</v>
      </c>
      <c r="P229" s="37">
        <f>'SC-NR (2)'!J127</f>
        <v>5.3842091466479128E-2</v>
      </c>
      <c r="Q229" s="37">
        <f>'SC-NR (2)'!K127</f>
        <v>5.7375872322725799E-2</v>
      </c>
      <c r="R229" s="37">
        <f>'SC-NR (2)'!L127</f>
        <v>6.0216558854968204E-2</v>
      </c>
      <c r="S229" s="37">
        <f>'SC-NR (2)'!M127</f>
        <v>6.3900954917711777E-2</v>
      </c>
      <c r="T229" s="37">
        <f>'SC-NR (2)'!N127</f>
        <v>6.5446096393529635E-2</v>
      </c>
      <c r="U229" s="37">
        <f>'SC-NR (2)'!O127</f>
        <v>6.663963835418274E-2</v>
      </c>
      <c r="V229" s="37">
        <f>'SC-NR (2)'!P127</f>
        <v>6.7383340153041912E-2</v>
      </c>
      <c r="W229" s="37">
        <f>'SC-NR (2)'!Q127</f>
        <v>6.7703157113724668E-2</v>
      </c>
      <c r="X229" s="37">
        <f>'SC-NR (2)'!R127</f>
        <v>6.7778877035316321E-2</v>
      </c>
      <c r="Y229" s="37">
        <f>'SC-NR (2)'!S127</f>
        <v>6.7673733324433341E-2</v>
      </c>
      <c r="Z229" s="37">
        <f>'SC-NR (2)'!T127</f>
        <v>6.7421307633158567E-2</v>
      </c>
      <c r="AA229" s="37">
        <f>'SC-NR (2)'!U127</f>
        <v>6.7057621362094116E-2</v>
      </c>
      <c r="AB229" s="37">
        <f>'SC-NR (2)'!V127</f>
        <v>6.6608916883715771E-2</v>
      </c>
      <c r="AC229" s="37">
        <f>'SC-NR (2)'!W127</f>
        <v>6.6097127871122222E-2</v>
      </c>
      <c r="AD229" s="37">
        <f>'SC-NR (2)'!X127</f>
        <v>6.5546862819864105E-2</v>
      </c>
      <c r="AE229" s="37">
        <f>'SC-NR (2)'!Y127</f>
        <v>0.53772782574326994</v>
      </c>
      <c r="AF229" s="479">
        <f t="shared" si="52"/>
        <v>1.0851135964016425</v>
      </c>
      <c r="AG229" s="479">
        <f t="shared" si="53"/>
        <v>0.86305012482449117</v>
      </c>
      <c r="AH229" s="479">
        <f t="shared" si="54"/>
        <v>0.87195560657113691</v>
      </c>
      <c r="AI229" s="479">
        <f t="shared" si="55"/>
        <v>0.71114386527187501</v>
      </c>
      <c r="AJ229" s="479">
        <f t="shared" si="56"/>
        <v>0.64756070313402958</v>
      </c>
      <c r="AK229" s="479">
        <f t="shared" si="57"/>
        <v>0.66538271441207719</v>
      </c>
      <c r="AL229" s="479">
        <f t="shared" si="58"/>
        <v>0.54913396716500618</v>
      </c>
      <c r="AM229" s="479">
        <f t="shared" si="59"/>
        <v>0.62637045608000386</v>
      </c>
      <c r="AN229" s="479">
        <f t="shared" si="60"/>
        <v>0.68972848516440399</v>
      </c>
      <c r="AO229" s="479">
        <f t="shared" si="61"/>
        <v>1.0065988849699035</v>
      </c>
      <c r="AP229" s="479">
        <f t="shared" si="62"/>
        <v>1.0161278894405794</v>
      </c>
      <c r="AQ229" s="479">
        <f t="shared" si="63"/>
        <v>1.1155073159842306</v>
      </c>
      <c r="AR229" s="479"/>
      <c r="AS229" s="479">
        <f t="shared" si="64"/>
        <v>0.56608488134140256</v>
      </c>
      <c r="AT229" s="479">
        <f t="shared" si="65"/>
        <v>0.435063077893382</v>
      </c>
      <c r="AU229" s="479">
        <f t="shared" si="66"/>
        <v>0.40549413127680195</v>
      </c>
      <c r="AV229" s="479">
        <f t="shared" si="67"/>
        <v>0.39776981029252217</v>
      </c>
      <c r="AW229" s="479">
        <f t="shared" si="68"/>
        <v>0.38646590063227465</v>
      </c>
      <c r="AX229" s="479">
        <f t="shared" si="69"/>
        <v>0.36141357757445147</v>
      </c>
      <c r="AY229" s="479">
        <f t="shared" si="70"/>
        <v>0.4123025570856263</v>
      </c>
      <c r="AZ229" s="479">
        <f t="shared" si="71"/>
        <v>0.37298837839475796</v>
      </c>
      <c r="BA229" s="479">
        <f t="shared" si="72"/>
        <v>0.43231681789344234</v>
      </c>
      <c r="BB229" s="479">
        <f t="shared" si="73"/>
        <v>0.42978200229024216</v>
      </c>
      <c r="BC229" s="479">
        <f t="shared" si="74"/>
        <v>0.54128214387967721</v>
      </c>
      <c r="BD229" s="479">
        <f t="shared" si="75"/>
        <v>0.57743150249079578</v>
      </c>
    </row>
    <row r="230" spans="1:56" ht="15">
      <c r="A230" s="63" t="str">
        <f>VLOOKUP(CONCATENATE($C230," - ",$B230),[2]ACHIEV!$B$12:$C$100,2,FALSE)</f>
        <v>LO20Fast</v>
      </c>
      <c r="B230" s="63" t="str">
        <f>'SC-NR (2)'!$C$7</f>
        <v>NR</v>
      </c>
      <c r="C230" s="63" t="str">
        <f>'SC-NR (2)'!$C$8</f>
        <v>Lighting</v>
      </c>
      <c r="D230" s="63" t="s">
        <v>795</v>
      </c>
      <c r="E230" s="63" t="str">
        <f>'SC-NR (2)'!$A$9</f>
        <v>Lighting</v>
      </c>
      <c r="F230" s="478">
        <f t="shared" si="51"/>
        <v>1.962157373850039E-3</v>
      </c>
      <c r="G230" s="71">
        <f>'SC-NR (2)'!A128</f>
        <v>7.5107020440195642</v>
      </c>
      <c r="H230" s="71">
        <f>'SC-NR (2)'!B128</f>
        <v>253.66864707291808</v>
      </c>
      <c r="I230" t="str">
        <f>'SC-NR (2)'!C128</f>
        <v>Manufactured</v>
      </c>
      <c r="J230" t="str">
        <f>'SC-NR (2)'!D128</f>
        <v>2017 - LEDDecorative and Mini-Base1440 to 2600 lumensANY</v>
      </c>
      <c r="K230" s="37">
        <f>'SC-NR (2)'!E128</f>
        <v>0</v>
      </c>
      <c r="L230" s="37">
        <f>'SC-NR (2)'!F128</f>
        <v>2.9235665390781686E-4</v>
      </c>
      <c r="M230" s="37">
        <f>'SC-NR (2)'!G128</f>
        <v>3.717420135049838E-4</v>
      </c>
      <c r="N230" s="37">
        <f>'SC-NR (2)'!H128</f>
        <v>4.3134115447369991E-4</v>
      </c>
      <c r="O230" s="37">
        <f>'SC-NR (2)'!I128</f>
        <v>4.8183478078043601E-4</v>
      </c>
      <c r="P230" s="37">
        <f>'SC-NR (2)'!J128</f>
        <v>5.2385865835316006E-4</v>
      </c>
      <c r="Q230" s="37">
        <f>'SC-NR (2)'!K128</f>
        <v>5.582407123901949E-4</v>
      </c>
      <c r="R230" s="37">
        <f>'SC-NR (2)'!L128</f>
        <v>5.858792790775397E-4</v>
      </c>
      <c r="S230" s="37">
        <f>'SC-NR (2)'!M128</f>
        <v>6.2172674944321351E-4</v>
      </c>
      <c r="T230" s="37">
        <f>'SC-NR (2)'!N128</f>
        <v>6.3676026167205587E-4</v>
      </c>
      <c r="U230" s="37">
        <f>'SC-NR (2)'!O128</f>
        <v>6.4837287316552277E-4</v>
      </c>
      <c r="V230" s="37">
        <f>'SC-NR (2)'!P128</f>
        <v>6.5560874784932404E-4</v>
      </c>
      <c r="W230" s="37">
        <f>'SC-NR (2)'!Q128</f>
        <v>6.5872041902291056E-4</v>
      </c>
      <c r="X230" s="37">
        <f>'SC-NR (2)'!R128</f>
        <v>6.5945713885409143E-4</v>
      </c>
      <c r="Y230" s="37">
        <f>'SC-NR (2)'!S128</f>
        <v>6.5843413915595136E-4</v>
      </c>
      <c r="Z230" s="37">
        <f>'SC-NR (2)'!T128</f>
        <v>6.5597815387819901E-4</v>
      </c>
      <c r="AA230" s="37">
        <f>'SC-NR (2)'!U128</f>
        <v>6.5243965459572029E-4</v>
      </c>
      <c r="AB230" s="37">
        <f>'SC-NR (2)'!V128</f>
        <v>6.4807396746065292E-4</v>
      </c>
      <c r="AC230" s="37">
        <f>'SC-NR (2)'!W128</f>
        <v>6.4309449697214007E-4</v>
      </c>
      <c r="AD230" s="37">
        <f>'SC-NR (2)'!X128</f>
        <v>6.3774067241519137E-4</v>
      </c>
      <c r="AE230" s="37">
        <f>'SC-NR (2)'!Y128</f>
        <v>5.2318431487455705E-3</v>
      </c>
      <c r="AF230" s="479">
        <f t="shared" si="52"/>
        <v>0.53738152147667351</v>
      </c>
      <c r="AG230" s="479">
        <f t="shared" si="53"/>
        <v>0.42740888209933781</v>
      </c>
      <c r="AH230" s="479">
        <f t="shared" si="54"/>
        <v>0.43181914969377672</v>
      </c>
      <c r="AI230" s="479">
        <f t="shared" si="55"/>
        <v>0.35218024506915513</v>
      </c>
      <c r="AJ230" s="479">
        <f t="shared" si="56"/>
        <v>0.32069191377993372</v>
      </c>
      <c r="AK230" s="479">
        <f t="shared" si="57"/>
        <v>0.32951792017053727</v>
      </c>
      <c r="AL230" s="479">
        <f t="shared" si="58"/>
        <v>0.27194797645907187</v>
      </c>
      <c r="AM230" s="479">
        <f t="shared" si="59"/>
        <v>0.31019785376619841</v>
      </c>
      <c r="AN230" s="479">
        <f t="shared" si="60"/>
        <v>0.34157469226499099</v>
      </c>
      <c r="AO230" s="479">
        <f t="shared" si="61"/>
        <v>0.49849862919018445</v>
      </c>
      <c r="AP230" s="479">
        <f t="shared" si="62"/>
        <v>0.50321768435416969</v>
      </c>
      <c r="AQ230" s="479">
        <f t="shared" si="63"/>
        <v>0.5524334232561634</v>
      </c>
      <c r="AR230" s="479"/>
      <c r="AS230" s="479">
        <f t="shared" si="64"/>
        <v>0.28034258885793889</v>
      </c>
      <c r="AT230" s="479">
        <f t="shared" si="65"/>
        <v>0.21545657478807742</v>
      </c>
      <c r="AU230" s="479">
        <f t="shared" si="66"/>
        <v>0.20081312586810013</v>
      </c>
      <c r="AV230" s="479">
        <f t="shared" si="67"/>
        <v>0.19698780529643709</v>
      </c>
      <c r="AW230" s="479">
        <f t="shared" si="68"/>
        <v>0.19138976266569091</v>
      </c>
      <c r="AX230" s="479">
        <f t="shared" si="69"/>
        <v>0.17898308420734163</v>
      </c>
      <c r="AY230" s="479">
        <f t="shared" si="70"/>
        <v>0.20418486706841296</v>
      </c>
      <c r="AZ230" s="479">
        <f t="shared" si="71"/>
        <v>0.18471528044581126</v>
      </c>
      <c r="BA230" s="479">
        <f t="shared" si="72"/>
        <v>0.21409654263841862</v>
      </c>
      <c r="BB230" s="479">
        <f t="shared" si="73"/>
        <v>0.21284122423670696</v>
      </c>
      <c r="BC230" s="479">
        <f t="shared" si="74"/>
        <v>0.26805951283883145</v>
      </c>
      <c r="BD230" s="479">
        <f t="shared" si="75"/>
        <v>0.28596178352760315</v>
      </c>
    </row>
    <row r="231" spans="1:56" ht="15">
      <c r="A231" s="63" t="str">
        <f>VLOOKUP(CONCATENATE($C231," - ",$B231),[2]ACHIEV!$B$12:$C$100,2,FALSE)</f>
        <v>LO20Fast</v>
      </c>
      <c r="B231" s="63" t="str">
        <f>'SC-NR (2)'!$C$7</f>
        <v>NR</v>
      </c>
      <c r="C231" s="63" t="str">
        <f>'SC-NR (2)'!$C$8</f>
        <v>Lighting</v>
      </c>
      <c r="D231" s="63" t="s">
        <v>795</v>
      </c>
      <c r="E231" s="63" t="str">
        <f>'SC-NR (2)'!$A$9</f>
        <v>Lighting</v>
      </c>
      <c r="F231" s="478">
        <f t="shared" si="51"/>
        <v>5.0185805390402609E-4</v>
      </c>
      <c r="G231" s="71">
        <f>'SC-NR (2)'!A129</f>
        <v>1.9210010172979759</v>
      </c>
      <c r="H231" s="71">
        <f>'SC-NR (2)'!B129</f>
        <v>19.879331870717266</v>
      </c>
      <c r="I231" t="str">
        <f>'SC-NR (2)'!C129</f>
        <v>Manufactured</v>
      </c>
      <c r="J231" t="str">
        <f>'SC-NR (2)'!D129</f>
        <v>2017 - LEDGeneral Purpose and Dimmable250 to 664 lumensANY</v>
      </c>
      <c r="K231" s="37">
        <f>'SC-NR (2)'!E129</f>
        <v>0</v>
      </c>
      <c r="L231" s="37">
        <f>'SC-NR (2)'!F129</f>
        <v>1.1587918352062014E-2</v>
      </c>
      <c r="M231" s="37">
        <f>'SC-NR (2)'!G129</f>
        <v>1.4734455477401771E-2</v>
      </c>
      <c r="N231" s="37">
        <f>'SC-NR (2)'!H129</f>
        <v>1.7096741302496353E-2</v>
      </c>
      <c r="O231" s="37">
        <f>'SC-NR (2)'!I129</f>
        <v>1.9098118767729211E-2</v>
      </c>
      <c r="P231" s="37">
        <f>'SC-NR (2)'!J129</f>
        <v>2.0763787243683662E-2</v>
      </c>
      <c r="Q231" s="37">
        <f>'SC-NR (2)'!K129</f>
        <v>2.212656257180385E-2</v>
      </c>
      <c r="R231" s="37">
        <f>'SC-NR (2)'!L129</f>
        <v>2.3222051420304479E-2</v>
      </c>
      <c r="S231" s="37">
        <f>'SC-NR (2)'!M129</f>
        <v>2.4642910340985553E-2</v>
      </c>
      <c r="T231" s="37">
        <f>'SC-NR (2)'!N129</f>
        <v>2.5238782232129449E-2</v>
      </c>
      <c r="U231" s="37">
        <f>'SC-NR (2)'!O129</f>
        <v>2.5699062482439545E-2</v>
      </c>
      <c r="V231" s="37">
        <f>'SC-NR (2)'!P129</f>
        <v>2.5985865344357914E-2</v>
      </c>
      <c r="W231" s="37">
        <f>'SC-NR (2)'!Q129</f>
        <v>2.6109200288221904E-2</v>
      </c>
      <c r="X231" s="37">
        <f>'SC-NR (2)'!R129</f>
        <v>2.6138401091890837E-2</v>
      </c>
      <c r="Y231" s="37">
        <f>'SC-NR (2)'!S129</f>
        <v>2.6097853230852702E-2</v>
      </c>
      <c r="Z231" s="37">
        <f>'SC-NR (2)'!T129</f>
        <v>2.6000507210189067E-2</v>
      </c>
      <c r="AA231" s="37">
        <f>'SC-NR (2)'!U129</f>
        <v>2.5860254405178095E-2</v>
      </c>
      <c r="AB231" s="37">
        <f>'SC-NR (2)'!V129</f>
        <v>2.5687214984335086E-2</v>
      </c>
      <c r="AC231" s="37">
        <f>'SC-NR (2)'!W129</f>
        <v>2.5489847499497263E-2</v>
      </c>
      <c r="AD231" s="37">
        <f>'SC-NR (2)'!X129</f>
        <v>2.5277642027147218E-2</v>
      </c>
      <c r="AE231" s="37">
        <f>'SC-NR (2)'!Y129</f>
        <v>0.2073705880406429</v>
      </c>
      <c r="AF231" s="479">
        <f t="shared" si="52"/>
        <v>0.13744526721783706</v>
      </c>
      <c r="AG231" s="479">
        <f t="shared" si="53"/>
        <v>0.10931772988768557</v>
      </c>
      <c r="AH231" s="479">
        <f t="shared" si="54"/>
        <v>0.11044573742756919</v>
      </c>
      <c r="AI231" s="479">
        <f t="shared" si="55"/>
        <v>9.0076614021560725E-2</v>
      </c>
      <c r="AJ231" s="479">
        <f t="shared" si="56"/>
        <v>8.2022890669856893E-2</v>
      </c>
      <c r="AK231" s="479">
        <f t="shared" si="57"/>
        <v>8.4280305110698436E-2</v>
      </c>
      <c r="AL231" s="479">
        <f t="shared" si="58"/>
        <v>6.955572679733403E-2</v>
      </c>
      <c r="AM231" s="479">
        <f t="shared" si="59"/>
        <v>7.9338840651120859E-2</v>
      </c>
      <c r="AN231" s="479">
        <f t="shared" si="60"/>
        <v>8.7364047658735955E-2</v>
      </c>
      <c r="AO231" s="479">
        <f t="shared" si="61"/>
        <v>0.12750024807048468</v>
      </c>
      <c r="AP231" s="479">
        <f t="shared" si="62"/>
        <v>0.12870723374473589</v>
      </c>
      <c r="AQ231" s="479">
        <f t="shared" si="63"/>
        <v>0.14129506960131633</v>
      </c>
      <c r="AR231" s="479"/>
      <c r="AS231" s="479">
        <f t="shared" si="64"/>
        <v>7.1702804242762208E-2</v>
      </c>
      <c r="AT231" s="479">
        <f t="shared" si="65"/>
        <v>5.5107005566942716E-2</v>
      </c>
      <c r="AU231" s="479">
        <f t="shared" si="66"/>
        <v>5.1361672559833739E-2</v>
      </c>
      <c r="AV231" s="479">
        <f t="shared" si="67"/>
        <v>5.0383276044223477E-2</v>
      </c>
      <c r="AW231" s="479">
        <f t="shared" si="68"/>
        <v>4.8951473061557747E-2</v>
      </c>
      <c r="AX231" s="479">
        <f t="shared" si="69"/>
        <v>4.5778235486682146E-2</v>
      </c>
      <c r="AY231" s="479">
        <f t="shared" si="70"/>
        <v>5.2224057758701252E-2</v>
      </c>
      <c r="AZ231" s="479">
        <f t="shared" si="71"/>
        <v>4.7244350736749853E-2</v>
      </c>
      <c r="BA231" s="479">
        <f t="shared" si="72"/>
        <v>5.4759152180170065E-2</v>
      </c>
      <c r="BB231" s="479">
        <f t="shared" si="73"/>
        <v>5.4438081271939699E-2</v>
      </c>
      <c r="BC231" s="479">
        <f t="shared" si="74"/>
        <v>6.8561180278722517E-2</v>
      </c>
      <c r="BD231" s="479">
        <f t="shared" si="75"/>
        <v>7.3140017250754669E-2</v>
      </c>
    </row>
    <row r="232" spans="1:56" ht="15">
      <c r="A232" s="63" t="str">
        <f>VLOOKUP(CONCATENATE($C232," - ",$B232),[2]ACHIEV!$B$12:$C$100,2,FALSE)</f>
        <v>LO20Fast</v>
      </c>
      <c r="B232" s="63" t="str">
        <f>'SC-NR (2)'!$C$7</f>
        <v>NR</v>
      </c>
      <c r="C232" s="63" t="str">
        <f>'SC-NR (2)'!$C$8</f>
        <v>Lighting</v>
      </c>
      <c r="D232" s="63" t="s">
        <v>795</v>
      </c>
      <c r="E232" s="63" t="str">
        <f>'SC-NR (2)'!$A$9</f>
        <v>Lighting</v>
      </c>
      <c r="F232" s="478">
        <f t="shared" si="51"/>
        <v>1.9587879633994761E-3</v>
      </c>
      <c r="G232" s="71">
        <f>'SC-NR (2)'!A130</f>
        <v>7.4978046901704554</v>
      </c>
      <c r="H232" s="71">
        <f>'SC-NR (2)'!B130</f>
        <v>38.047469279788793</v>
      </c>
      <c r="I232" t="str">
        <f>'SC-NR (2)'!C130</f>
        <v>Manufactured</v>
      </c>
      <c r="J232" t="str">
        <f>'SC-NR (2)'!D130</f>
        <v>2017 - LEDGeneral Purpose and Dimmable665 to 1439 lumensANY</v>
      </c>
      <c r="K232" s="37">
        <f>'SC-NR (2)'!E130</f>
        <v>0</v>
      </c>
      <c r="L232" s="37">
        <f>'SC-NR (2)'!F130</f>
        <v>0.34900387009631062</v>
      </c>
      <c r="M232" s="37">
        <f>'SC-NR (2)'!G130</f>
        <v>0.44377098881266608</v>
      </c>
      <c r="N232" s="37">
        <f>'SC-NR (2)'!H130</f>
        <v>0.51491809825747492</v>
      </c>
      <c r="O232" s="37">
        <f>'SC-NR (2)'!I130</f>
        <v>0.57519540257292345</v>
      </c>
      <c r="P232" s="37">
        <f>'SC-NR (2)'!J130</f>
        <v>0.62536185410837819</v>
      </c>
      <c r="Q232" s="37">
        <f>'SC-NR (2)'!K130</f>
        <v>0.66640579738927663</v>
      </c>
      <c r="R232" s="37">
        <f>'SC-NR (2)'!L130</f>
        <v>0.69939963080768675</v>
      </c>
      <c r="S232" s="37">
        <f>'SC-NR (2)'!M130</f>
        <v>0.74219293044207013</v>
      </c>
      <c r="T232" s="37">
        <f>'SC-NR (2)'!N130</f>
        <v>0.76013934581820386</v>
      </c>
      <c r="U232" s="37">
        <f>'SC-NR (2)'!O130</f>
        <v>0.77400202449841182</v>
      </c>
      <c r="V232" s="37">
        <f>'SC-NR (2)'!P130</f>
        <v>0.78263992698642837</v>
      </c>
      <c r="W232" s="37">
        <f>'SC-NR (2)'!Q130</f>
        <v>0.78635451759872643</v>
      </c>
      <c r="X232" s="37">
        <f>'SC-NR (2)'!R130</f>
        <v>0.7872339847455212</v>
      </c>
      <c r="Y232" s="37">
        <f>'SC-NR (2)'!S130</f>
        <v>0.78601276795778663</v>
      </c>
      <c r="Z232" s="37">
        <f>'SC-NR (2)'!T130</f>
        <v>0.78308090936870356</v>
      </c>
      <c r="AA232" s="37">
        <f>'SC-NR (2)'!U130</f>
        <v>0.77885678815438886</v>
      </c>
      <c r="AB232" s="37">
        <f>'SC-NR (2)'!V130</f>
        <v>0.77364520262896208</v>
      </c>
      <c r="AC232" s="37">
        <f>'SC-NR (2)'!W130</f>
        <v>0.767700906686687</v>
      </c>
      <c r="AD232" s="37">
        <f>'SC-NR (2)'!X130</f>
        <v>0.76130972158719923</v>
      </c>
      <c r="AE232" s="37">
        <f>'SC-NR (2)'!Y130</f>
        <v>6.2455684939697242</v>
      </c>
      <c r="AF232" s="479">
        <f t="shared" si="52"/>
        <v>0.53645873162376279</v>
      </c>
      <c r="AG232" s="479">
        <f t="shared" si="53"/>
        <v>0.42667493691573455</v>
      </c>
      <c r="AH232" s="479">
        <f t="shared" si="54"/>
        <v>0.43107763121257736</v>
      </c>
      <c r="AI232" s="479">
        <f t="shared" si="55"/>
        <v>0.35157548226366747</v>
      </c>
      <c r="AJ232" s="479">
        <f t="shared" si="56"/>
        <v>0.32014122263757089</v>
      </c>
      <c r="AK232" s="479">
        <f t="shared" si="57"/>
        <v>0.32895207303785196</v>
      </c>
      <c r="AL232" s="479">
        <f t="shared" si="58"/>
        <v>0.27148098825205935</v>
      </c>
      <c r="AM232" s="479">
        <f t="shared" si="59"/>
        <v>0.30966518299057599</v>
      </c>
      <c r="AN232" s="479">
        <f t="shared" si="60"/>
        <v>0.34098814128131166</v>
      </c>
      <c r="AO232" s="479">
        <f t="shared" si="61"/>
        <v>0.49764260891720863</v>
      </c>
      <c r="AP232" s="479">
        <f t="shared" si="62"/>
        <v>0.50235356053455782</v>
      </c>
      <c r="AQ232" s="479">
        <f t="shared" si="63"/>
        <v>0.55148478632501485</v>
      </c>
      <c r="AR232" s="479"/>
      <c r="AS232" s="479">
        <f t="shared" si="64"/>
        <v>0.27986118544900518</v>
      </c>
      <c r="AT232" s="479">
        <f t="shared" si="65"/>
        <v>0.21508659343774925</v>
      </c>
      <c r="AU232" s="479">
        <f t="shared" si="66"/>
        <v>0.20046829020204826</v>
      </c>
      <c r="AV232" s="479">
        <f t="shared" si="67"/>
        <v>0.19664953845879962</v>
      </c>
      <c r="AW232" s="479">
        <f t="shared" si="68"/>
        <v>0.19106110876919372</v>
      </c>
      <c r="AX232" s="479">
        <f t="shared" si="69"/>
        <v>0.17867573501994241</v>
      </c>
      <c r="AY232" s="479">
        <f t="shared" si="70"/>
        <v>0.20383424145901183</v>
      </c>
      <c r="AZ232" s="479">
        <f t="shared" si="71"/>
        <v>0.18439808794911994</v>
      </c>
      <c r="BA232" s="479">
        <f t="shared" si="72"/>
        <v>0.21372889673100612</v>
      </c>
      <c r="BB232" s="479">
        <f t="shared" si="73"/>
        <v>0.21247573395809255</v>
      </c>
      <c r="BC232" s="479">
        <f t="shared" si="74"/>
        <v>0.26759920188927711</v>
      </c>
      <c r="BD232" s="479">
        <f t="shared" si="75"/>
        <v>0.28547073085531477</v>
      </c>
    </row>
    <row r="233" spans="1:56" ht="15">
      <c r="A233" s="63" t="str">
        <f>VLOOKUP(CONCATENATE($C233," - ",$B233),[2]ACHIEV!$B$12:$C$100,2,FALSE)</f>
        <v>LO20Fast</v>
      </c>
      <c r="B233" s="63" t="str">
        <f>'SC-NR (2)'!$C$7</f>
        <v>NR</v>
      </c>
      <c r="C233" s="63" t="str">
        <f>'SC-NR (2)'!$C$8</f>
        <v>Lighting</v>
      </c>
      <c r="D233" s="63" t="s">
        <v>795</v>
      </c>
      <c r="E233" s="63" t="str">
        <f>'SC-NR (2)'!$A$9</f>
        <v>Lighting</v>
      </c>
      <c r="F233" s="478">
        <f t="shared" si="51"/>
        <v>3.659906529973458E-3</v>
      </c>
      <c r="G233" s="71">
        <f>'SC-NR (2)'!A131</f>
        <v>14.009308234872018</v>
      </c>
      <c r="H233" s="71">
        <f>'SC-NR (2)'!B131</f>
        <v>64.372768585347757</v>
      </c>
      <c r="I233" t="str">
        <f>'SC-NR (2)'!C131</f>
        <v>Manufactured</v>
      </c>
      <c r="J233" t="str">
        <f>'SC-NR (2)'!D131</f>
        <v>2017 - LEDGeneral Purpose and Dimmable1440 to 2600 lumensANY</v>
      </c>
      <c r="K233" s="37">
        <f>'SC-NR (2)'!E131</f>
        <v>0</v>
      </c>
      <c r="L233" s="37">
        <f>'SC-NR (2)'!F131</f>
        <v>6.5014998009181077E-2</v>
      </c>
      <c r="M233" s="37">
        <f>'SC-NR (2)'!G131</f>
        <v>8.2668911225041469E-2</v>
      </c>
      <c r="N233" s="37">
        <f>'SC-NR (2)'!H131</f>
        <v>9.5922716054302373E-2</v>
      </c>
      <c r="O233" s="37">
        <f>'SC-NR (2)'!I131</f>
        <v>0.10715161394298833</v>
      </c>
      <c r="P233" s="37">
        <f>'SC-NR (2)'!J131</f>
        <v>0.11649698809544463</v>
      </c>
      <c r="Q233" s="37">
        <f>'SC-NR (2)'!K131</f>
        <v>0.12414295457128963</v>
      </c>
      <c r="R233" s="37">
        <f>'SC-NR (2)'!L131</f>
        <v>0.13028928760026498</v>
      </c>
      <c r="S233" s="37">
        <f>'SC-NR (2)'!M131</f>
        <v>0.13826113699485179</v>
      </c>
      <c r="T233" s="37">
        <f>'SC-NR (2)'!N131</f>
        <v>0.14160432674122705</v>
      </c>
      <c r="U233" s="37">
        <f>'SC-NR (2)'!O131</f>
        <v>0.14418676809509207</v>
      </c>
      <c r="V233" s="37">
        <f>'SC-NR (2)'!P131</f>
        <v>0.14579589985889432</v>
      </c>
      <c r="W233" s="37">
        <f>'SC-NR (2)'!Q131</f>
        <v>0.14648788101428045</v>
      </c>
      <c r="X233" s="37">
        <f>'SC-NR (2)'!R131</f>
        <v>0.14665171459808066</v>
      </c>
      <c r="Y233" s="37">
        <f>'SC-NR (2)'!S131</f>
        <v>0.14642421738722894</v>
      </c>
      <c r="Z233" s="37">
        <f>'SC-NR (2)'!T131</f>
        <v>0.14587804928806197</v>
      </c>
      <c r="AA233" s="37">
        <f>'SC-NR (2)'!U131</f>
        <v>0.14509114903889445</v>
      </c>
      <c r="AB233" s="37">
        <f>'SC-NR (2)'!V131</f>
        <v>0.14412029670288226</v>
      </c>
      <c r="AC233" s="37">
        <f>'SC-NR (2)'!W131</f>
        <v>0.14301294970198411</v>
      </c>
      <c r="AD233" s="37">
        <f>'SC-NR (2)'!X131</f>
        <v>0.1418223529146051</v>
      </c>
      <c r="AE233" s="37">
        <f>'SC-NR (2)'!Y131</f>
        <v>1.1634702591968138</v>
      </c>
      <c r="AF233" s="479">
        <f t="shared" si="52"/>
        <v>1.0023488257113993</v>
      </c>
      <c r="AG233" s="479">
        <f t="shared" si="53"/>
        <v>0.79722278111397538</v>
      </c>
      <c r="AH233" s="479">
        <f t="shared" si="54"/>
        <v>0.80544901586095996</v>
      </c>
      <c r="AI233" s="479">
        <f t="shared" si="55"/>
        <v>0.65690285388635883</v>
      </c>
      <c r="AJ233" s="479">
        <f t="shared" si="56"/>
        <v>0.59816936449388325</v>
      </c>
      <c r="AK233" s="479">
        <f t="shared" si="57"/>
        <v>0.61463203912592634</v>
      </c>
      <c r="AL233" s="479">
        <f t="shared" si="58"/>
        <v>0.50724992200941221</v>
      </c>
      <c r="AM233" s="479">
        <f t="shared" si="59"/>
        <v>0.57859535922699556</v>
      </c>
      <c r="AN233" s="479">
        <f t="shared" si="60"/>
        <v>0.63712088711894432</v>
      </c>
      <c r="AO233" s="479">
        <f t="shared" si="61"/>
        <v>0.92982265972689038</v>
      </c>
      <c r="AP233" s="479">
        <f t="shared" si="62"/>
        <v>0.93862485930585982</v>
      </c>
      <c r="AQ233" s="479">
        <f t="shared" si="63"/>
        <v>1.0304243278833694</v>
      </c>
      <c r="AR233" s="479"/>
      <c r="AS233" s="479">
        <f t="shared" si="64"/>
        <v>0.52290794064984647</v>
      </c>
      <c r="AT233" s="479">
        <f t="shared" si="65"/>
        <v>0.40187955130497377</v>
      </c>
      <c r="AU233" s="479">
        <f t="shared" si="66"/>
        <v>0.37456591426555569</v>
      </c>
      <c r="AV233" s="479">
        <f t="shared" si="67"/>
        <v>0.36743074971348882</v>
      </c>
      <c r="AW233" s="479">
        <f t="shared" si="68"/>
        <v>0.35698902212711459</v>
      </c>
      <c r="AX233" s="479">
        <f t="shared" si="69"/>
        <v>0.33384751262836426</v>
      </c>
      <c r="AY233" s="479">
        <f t="shared" si="70"/>
        <v>0.38085504163162015</v>
      </c>
      <c r="AZ233" s="479">
        <f t="shared" si="71"/>
        <v>0.34453946971797317</v>
      </c>
      <c r="BA233" s="479">
        <f t="shared" si="72"/>
        <v>0.39934275654434592</v>
      </c>
      <c r="BB233" s="479">
        <f t="shared" si="73"/>
        <v>0.39700127870120755</v>
      </c>
      <c r="BC233" s="479">
        <f t="shared" si="74"/>
        <v>0.49999698012771288</v>
      </c>
      <c r="BD233" s="479">
        <f t="shared" si="75"/>
        <v>0.53338912199583788</v>
      </c>
    </row>
    <row r="234" spans="1:56" ht="15">
      <c r="A234" s="63" t="str">
        <f>VLOOKUP(CONCATENATE($C234," - ",$B234),[2]ACHIEV!$B$12:$C$100,2,FALSE)</f>
        <v>LO20Fast</v>
      </c>
      <c r="B234" s="63" t="str">
        <f>'SC-NR (2)'!$C$7</f>
        <v>NR</v>
      </c>
      <c r="C234" s="63" t="str">
        <f>'SC-NR (2)'!$C$8</f>
        <v>Lighting</v>
      </c>
      <c r="D234" s="63" t="s">
        <v>795</v>
      </c>
      <c r="E234" s="63" t="str">
        <f>'SC-NR (2)'!$A$9</f>
        <v>Lighting</v>
      </c>
      <c r="F234" s="478">
        <f t="shared" si="51"/>
        <v>3.9190405629480479E-3</v>
      </c>
      <c r="G234" s="71">
        <f>'SC-NR (2)'!A132</f>
        <v>15.001215681785107</v>
      </c>
      <c r="H234" s="71">
        <f>'SC-NR (2)'!B132</f>
        <v>-40.723166254238713</v>
      </c>
      <c r="I234" t="str">
        <f>'SC-NR (2)'!C132</f>
        <v>Manufactured</v>
      </c>
      <c r="J234" t="str">
        <f>'SC-NR (2)'!D132</f>
        <v>2017 - LEDGlobe250 to 664 lumensANY</v>
      </c>
      <c r="K234" s="37">
        <f>'SC-NR (2)'!E132</f>
        <v>0</v>
      </c>
      <c r="L234" s="37">
        <f>'SC-NR (2)'!F132</f>
        <v>5.9501075004633232E-2</v>
      </c>
      <c r="M234" s="37">
        <f>'SC-NR (2)'!G132</f>
        <v>7.5657759562769461E-2</v>
      </c>
      <c r="N234" s="37">
        <f>'SC-NR (2)'!H132</f>
        <v>8.7787508995835054E-2</v>
      </c>
      <c r="O234" s="37">
        <f>'SC-NR (2)'!I132</f>
        <v>9.8064083877829528E-2</v>
      </c>
      <c r="P234" s="37">
        <f>'SC-NR (2)'!J132</f>
        <v>0.10661687670131217</v>
      </c>
      <c r="Q234" s="37">
        <f>'SC-NR (2)'!K132</f>
        <v>0.11361438863998698</v>
      </c>
      <c r="R234" s="37">
        <f>'SC-NR (2)'!L132</f>
        <v>0.11923945106802662</v>
      </c>
      <c r="S234" s="37">
        <f>'SC-NR (2)'!M132</f>
        <v>0.12653520778997512</v>
      </c>
      <c r="T234" s="37">
        <f>'SC-NR (2)'!N132</f>
        <v>0.12959486156133576</v>
      </c>
      <c r="U234" s="37">
        <f>'SC-NR (2)'!O132</f>
        <v>0.13195828602332976</v>
      </c>
      <c r="V234" s="37">
        <f>'SC-NR (2)'!P132</f>
        <v>0.13343094729691488</v>
      </c>
      <c r="W234" s="37">
        <f>'SC-NR (2)'!Q132</f>
        <v>0.13406424151962038</v>
      </c>
      <c r="X234" s="37">
        <f>'SC-NR (2)'!R132</f>
        <v>0.13421418037459956</v>
      </c>
      <c r="Y234" s="37">
        <f>'SC-NR (2)'!S132</f>
        <v>0.13400597720578122</v>
      </c>
      <c r="Z234" s="37">
        <f>'SC-NR (2)'!T132</f>
        <v>0.13350612963170172</v>
      </c>
      <c r="AA234" s="37">
        <f>'SC-NR (2)'!U132</f>
        <v>0.13278596640505255</v>
      </c>
      <c r="AB234" s="37">
        <f>'SC-NR (2)'!V132</f>
        <v>0.13189745207093956</v>
      </c>
      <c r="AC234" s="37">
        <f>'SC-NR (2)'!W132</f>
        <v>0.13088401918661813</v>
      </c>
      <c r="AD234" s="37">
        <f>'SC-NR (2)'!X132</f>
        <v>0.12979439693151767</v>
      </c>
      <c r="AE234" s="37">
        <f>'SC-NR (2)'!Y132</f>
        <v>1.0647963282003594</v>
      </c>
      <c r="AF234" s="479">
        <f t="shared" si="52"/>
        <v>1.0733185872412989</v>
      </c>
      <c r="AG234" s="479">
        <f t="shared" si="53"/>
        <v>0.85366890965780484</v>
      </c>
      <c r="AH234" s="479">
        <f t="shared" si="54"/>
        <v>0.86247759025927351</v>
      </c>
      <c r="AI234" s="479">
        <f t="shared" si="55"/>
        <v>0.70341384655953076</v>
      </c>
      <c r="AJ234" s="479">
        <f t="shared" si="56"/>
        <v>0.64052182310278416</v>
      </c>
      <c r="AK234" s="479">
        <f t="shared" si="57"/>
        <v>0.65815011200284546</v>
      </c>
      <c r="AL234" s="479">
        <f t="shared" si="58"/>
        <v>0.54316496982275031</v>
      </c>
      <c r="AM234" s="479">
        <f t="shared" si="59"/>
        <v>0.61956191060445931</v>
      </c>
      <c r="AN234" s="479">
        <f t="shared" si="60"/>
        <v>0.68223124816761238</v>
      </c>
      <c r="AO234" s="479">
        <f t="shared" si="61"/>
        <v>0.99565731801471724</v>
      </c>
      <c r="AP234" s="479">
        <f t="shared" si="62"/>
        <v>1.0050827437491268</v>
      </c>
      <c r="AQ234" s="479">
        <f t="shared" si="63"/>
        <v>1.1033819320114413</v>
      </c>
      <c r="AR234" s="479"/>
      <c r="AS234" s="479">
        <f t="shared" si="64"/>
        <v>0.55993163030566262</v>
      </c>
      <c r="AT234" s="479">
        <f t="shared" si="65"/>
        <v>0.43033401265440924</v>
      </c>
      <c r="AU234" s="479">
        <f t="shared" si="66"/>
        <v>0.40108647570162925</v>
      </c>
      <c r="AV234" s="479">
        <f t="shared" si="67"/>
        <v>0.39344611683621805</v>
      </c>
      <c r="AW234" s="479">
        <f t="shared" si="68"/>
        <v>0.38226507884436772</v>
      </c>
      <c r="AX234" s="479">
        <f t="shared" si="69"/>
        <v>0.35748507048330508</v>
      </c>
      <c r="AY234" s="479">
        <f t="shared" si="70"/>
        <v>0.40782089502389868</v>
      </c>
      <c r="AZ234" s="479">
        <f t="shared" si="71"/>
        <v>0.36893405509214999</v>
      </c>
      <c r="BA234" s="479">
        <f t="shared" si="72"/>
        <v>0.42761760405616928</v>
      </c>
      <c r="BB234" s="479">
        <f t="shared" si="73"/>
        <v>0.42511034148829985</v>
      </c>
      <c r="BC234" s="479">
        <f t="shared" si="74"/>
        <v>0.53539849458566535</v>
      </c>
      <c r="BD234" s="479">
        <f t="shared" si="75"/>
        <v>0.57115491551968489</v>
      </c>
    </row>
    <row r="235" spans="1:56" ht="15">
      <c r="A235" s="63" t="str">
        <f>VLOOKUP(CONCATENATE($C235," - ",$B235),[2]ACHIEV!$B$12:$C$100,2,FALSE)</f>
        <v>LO20Fast</v>
      </c>
      <c r="B235" s="63" t="str">
        <f>'SC-NR (2)'!$C$7</f>
        <v>NR</v>
      </c>
      <c r="C235" s="63" t="str">
        <f>'SC-NR (2)'!$C$8</f>
        <v>Lighting</v>
      </c>
      <c r="D235" s="63" t="s">
        <v>795</v>
      </c>
      <c r="E235" s="63" t="str">
        <f>'SC-NR (2)'!$A$9</f>
        <v>Lighting</v>
      </c>
      <c r="F235" s="478">
        <f t="shared" si="51"/>
        <v>2.6990998985958756E-3</v>
      </c>
      <c r="G235" s="71">
        <f>'SC-NR (2)'!A133</f>
        <v>10.331554133000125</v>
      </c>
      <c r="H235" s="71">
        <f>'SC-NR (2)'!B133</f>
        <v>-97.483290128606981</v>
      </c>
      <c r="I235" t="str">
        <f>'SC-NR (2)'!C133</f>
        <v>Manufactured</v>
      </c>
      <c r="J235" t="str">
        <f>'SC-NR (2)'!D133</f>
        <v>2017 - LEDGlobe665 to 1439 lumensANY</v>
      </c>
      <c r="K235" s="37">
        <f>'SC-NR (2)'!E133</f>
        <v>0</v>
      </c>
      <c r="L235" s="37">
        <f>'SC-NR (2)'!F133</f>
        <v>2.4988099736455213E-2</v>
      </c>
      <c r="M235" s="37">
        <f>'SC-NR (2)'!G133</f>
        <v>3.1773268661852219E-2</v>
      </c>
      <c r="N235" s="37">
        <f>'SC-NR (2)'!H133</f>
        <v>3.6867283998349119E-2</v>
      </c>
      <c r="O235" s="37">
        <f>'SC-NR (2)'!I133</f>
        <v>4.1183039269668716E-2</v>
      </c>
      <c r="P235" s="37">
        <f>'SC-NR (2)'!J133</f>
        <v>4.4774874208479157E-2</v>
      </c>
      <c r="Q235" s="37">
        <f>'SC-NR (2)'!K133</f>
        <v>4.7713552647768304E-2</v>
      </c>
      <c r="R235" s="37">
        <f>'SC-NR (2)'!L133</f>
        <v>5.0075856538323173E-2</v>
      </c>
      <c r="S235" s="37">
        <f>'SC-NR (2)'!M133</f>
        <v>5.3139785998534875E-2</v>
      </c>
      <c r="T235" s="37">
        <f>'SC-NR (2)'!N133</f>
        <v>5.4424719650436597E-2</v>
      </c>
      <c r="U235" s="37">
        <f>'SC-NR (2)'!O133</f>
        <v>5.5417264510698096E-2</v>
      </c>
      <c r="V235" s="37">
        <f>'SC-NR (2)'!P133</f>
        <v>5.6035724039025875E-2</v>
      </c>
      <c r="W235" s="37">
        <f>'SC-NR (2)'!Q133</f>
        <v>5.6301682581762345E-2</v>
      </c>
      <c r="X235" s="37">
        <f>'SC-NR (2)'!R133</f>
        <v>5.6364650974556903E-2</v>
      </c>
      <c r="Y235" s="37">
        <f>'SC-NR (2)'!S133</f>
        <v>5.6277213872832715E-2</v>
      </c>
      <c r="Z235" s="37">
        <f>'SC-NR (2)'!T133</f>
        <v>5.6067297648072882E-2</v>
      </c>
      <c r="AA235" s="37">
        <f>'SC-NR (2)'!U133</f>
        <v>5.5764857557156274E-2</v>
      </c>
      <c r="AB235" s="37">
        <f>'SC-NR (2)'!V133</f>
        <v>5.5391716655141379E-2</v>
      </c>
      <c r="AC235" s="37">
        <f>'SC-NR (2)'!W133</f>
        <v>5.4966114899414185E-2</v>
      </c>
      <c r="AD235" s="37">
        <f>'SC-NR (2)'!X133</f>
        <v>5.4508516619326111E-2</v>
      </c>
      <c r="AE235" s="37">
        <f>'SC-NR (2)'!Y133</f>
        <v>0.44717237202874111</v>
      </c>
      <c r="AF235" s="479">
        <f t="shared" si="52"/>
        <v>0.73921002945803449</v>
      </c>
      <c r="AG235" s="479">
        <f t="shared" si="53"/>
        <v>0.58793412073249252</v>
      </c>
      <c r="AH235" s="479">
        <f t="shared" si="54"/>
        <v>0.59400078642178622</v>
      </c>
      <c r="AI235" s="479">
        <f t="shared" si="55"/>
        <v>0.48445128633513773</v>
      </c>
      <c r="AJ235" s="479">
        <f t="shared" si="56"/>
        <v>0.44113664046505252</v>
      </c>
      <c r="AK235" s="479">
        <f t="shared" si="57"/>
        <v>0.4532774979066459</v>
      </c>
      <c r="AL235" s="479">
        <f t="shared" si="58"/>
        <v>0.37408556799080311</v>
      </c>
      <c r="AM235" s="479">
        <f t="shared" si="59"/>
        <v>0.42670124568152651</v>
      </c>
      <c r="AN235" s="479">
        <f t="shared" si="60"/>
        <v>0.46986252455702143</v>
      </c>
      <c r="AO235" s="479">
        <f t="shared" si="61"/>
        <v>0.68572359048721321</v>
      </c>
      <c r="AP235" s="479">
        <f t="shared" si="62"/>
        <v>0.69221501746668568</v>
      </c>
      <c r="AQ235" s="479">
        <f t="shared" si="63"/>
        <v>0.75991508966784882</v>
      </c>
      <c r="AR235" s="479"/>
      <c r="AS235" s="479">
        <f t="shared" si="64"/>
        <v>0.38563300948377344</v>
      </c>
      <c r="AT235" s="479">
        <f t="shared" si="65"/>
        <v>0.29637725643853452</v>
      </c>
      <c r="AU235" s="479">
        <f t="shared" si="66"/>
        <v>0.27623405486777952</v>
      </c>
      <c r="AV235" s="479">
        <f t="shared" si="67"/>
        <v>0.27097202925012304</v>
      </c>
      <c r="AW235" s="479">
        <f t="shared" si="68"/>
        <v>0.26327148672567968</v>
      </c>
      <c r="AX235" s="479">
        <f t="shared" si="69"/>
        <v>0.24620513668917057</v>
      </c>
      <c r="AY235" s="479">
        <f t="shared" si="70"/>
        <v>0.28087214682367551</v>
      </c>
      <c r="AZ235" s="479">
        <f t="shared" si="71"/>
        <v>0.25409021792280639</v>
      </c>
      <c r="BA235" s="479">
        <f t="shared" si="72"/>
        <v>0.29450642656211723</v>
      </c>
      <c r="BB235" s="479">
        <f t="shared" si="73"/>
        <v>0.29277963858072437</v>
      </c>
      <c r="BC235" s="479">
        <f t="shared" si="74"/>
        <v>0.36873668420453914</v>
      </c>
      <c r="BD235" s="479">
        <f t="shared" si="75"/>
        <v>0.39336264828095202</v>
      </c>
    </row>
    <row r="236" spans="1:56" ht="15">
      <c r="A236" s="63" t="str">
        <f>VLOOKUP(CONCATENATE($C236," - ",$B236),[2]ACHIEV!$B$12:$C$100,2,FALSE)</f>
        <v>LO20Fast</v>
      </c>
      <c r="B236" s="63" t="str">
        <f>'SC-NR (2)'!$C$7</f>
        <v>NR</v>
      </c>
      <c r="C236" s="63" t="str">
        <f>'SC-NR (2)'!$C$8</f>
        <v>Lighting</v>
      </c>
      <c r="D236" s="63" t="s">
        <v>795</v>
      </c>
      <c r="E236" s="63" t="str">
        <f>'SC-NR (2)'!$A$9</f>
        <v>Lighting</v>
      </c>
      <c r="F236" s="478">
        <f t="shared" si="51"/>
        <v>2.920231287037374E-3</v>
      </c>
      <c r="G236" s="71">
        <f>'SC-NR (2)'!A134</f>
        <v>11.177995908414712</v>
      </c>
      <c r="H236" s="71">
        <f>'SC-NR (2)'!B134</f>
        <v>-118.66739310804593</v>
      </c>
      <c r="I236" t="str">
        <f>'SC-NR (2)'!C134</f>
        <v>Manufactured</v>
      </c>
      <c r="J236" t="str">
        <f>'SC-NR (2)'!D134</f>
        <v>2017 - LEDGlobe1440 to 2600 lumensANY</v>
      </c>
      <c r="K236" s="37">
        <f>'SC-NR (2)'!E134</f>
        <v>0</v>
      </c>
      <c r="L236" s="37">
        <f>'SC-NR (2)'!F134</f>
        <v>2.037133441451568E-3</v>
      </c>
      <c r="M236" s="37">
        <f>'SC-NR (2)'!G134</f>
        <v>2.5902885300579607E-3</v>
      </c>
      <c r="N236" s="37">
        <f>'SC-NR (2)'!H134</f>
        <v>3.0055737699397947E-3</v>
      </c>
      <c r="O236" s="37">
        <f>'SC-NR (2)'!I134</f>
        <v>3.3574120241908643E-3</v>
      </c>
      <c r="P236" s="37">
        <f>'SC-NR (2)'!J134</f>
        <v>3.6502332930026756E-3</v>
      </c>
      <c r="Q236" s="37">
        <f>'SC-NR (2)'!K134</f>
        <v>3.8898065372864315E-3</v>
      </c>
      <c r="R236" s="37">
        <f>'SC-NR (2)'!L134</f>
        <v>4.0823913398554618E-3</v>
      </c>
      <c r="S236" s="37">
        <f>'SC-NR (2)'!M134</f>
        <v>4.3321755664063105E-3</v>
      </c>
      <c r="T236" s="37">
        <f>'SC-NR (2)'!N134</f>
        <v>4.4369286824872678E-3</v>
      </c>
      <c r="U236" s="37">
        <f>'SC-NR (2)'!O134</f>
        <v>4.517845052611635E-3</v>
      </c>
      <c r="V236" s="37">
        <f>'SC-NR (2)'!P134</f>
        <v>4.5682644362633985E-3</v>
      </c>
      <c r="W236" s="37">
        <f>'SC-NR (2)'!Q134</f>
        <v>4.5899464788021422E-3</v>
      </c>
      <c r="X236" s="37">
        <f>'SC-NR (2)'!R134</f>
        <v>4.5950799231244052E-3</v>
      </c>
      <c r="Y236" s="37">
        <f>'SC-NR (2)'!S134</f>
        <v>4.5879516882516239E-3</v>
      </c>
      <c r="Z236" s="37">
        <f>'SC-NR (2)'!T134</f>
        <v>4.5708384477142639E-3</v>
      </c>
      <c r="AA236" s="37">
        <f>'SC-NR (2)'!U134</f>
        <v>4.5461822781879737E-3</v>
      </c>
      <c r="AB236" s="37">
        <f>'SC-NR (2)'!V134</f>
        <v>4.5157622855560809E-3</v>
      </c>
      <c r="AC236" s="37">
        <f>'SC-NR (2)'!W134</f>
        <v>4.4810654667312598E-3</v>
      </c>
      <c r="AD236" s="37">
        <f>'SC-NR (2)'!X134</f>
        <v>4.4437601586466225E-3</v>
      </c>
      <c r="AE236" s="37">
        <f>'SC-NR (2)'!Y134</f>
        <v>3.6455344854574231E-2</v>
      </c>
      <c r="AF236" s="479">
        <f t="shared" si="52"/>
        <v>0.79977190056512937</v>
      </c>
      <c r="AG236" s="479">
        <f t="shared" si="53"/>
        <v>0.63610228542226255</v>
      </c>
      <c r="AH236" s="479">
        <f t="shared" si="54"/>
        <v>0.64266597984612883</v>
      </c>
      <c r="AI236" s="479">
        <f t="shared" si="55"/>
        <v>0.52414132731335006</v>
      </c>
      <c r="AJ236" s="479">
        <f t="shared" si="56"/>
        <v>0.47727800664760928</v>
      </c>
      <c r="AK236" s="479">
        <f t="shared" si="57"/>
        <v>0.49041353815233252</v>
      </c>
      <c r="AL236" s="479">
        <f t="shared" si="58"/>
        <v>0.40473358553500982</v>
      </c>
      <c r="AM236" s="479">
        <f t="shared" si="59"/>
        <v>0.46165995134349902</v>
      </c>
      <c r="AN236" s="479">
        <f t="shared" si="60"/>
        <v>0.50835733999011201</v>
      </c>
      <c r="AO236" s="479">
        <f t="shared" si="61"/>
        <v>0.74190343389738511</v>
      </c>
      <c r="AP236" s="479">
        <f t="shared" si="62"/>
        <v>0.74892668938075402</v>
      </c>
      <c r="AQ236" s="479">
        <f t="shared" si="63"/>
        <v>0.82217328135735079</v>
      </c>
      <c r="AR236" s="479"/>
      <c r="AS236" s="479">
        <f t="shared" si="64"/>
        <v>0.41722708381217544</v>
      </c>
      <c r="AT236" s="479">
        <f t="shared" si="65"/>
        <v>0.32065880090927812</v>
      </c>
      <c r="AU236" s="479">
        <f t="shared" si="66"/>
        <v>0.29886531061326499</v>
      </c>
      <c r="AV236" s="479">
        <f t="shared" si="67"/>
        <v>0.29317217867329254</v>
      </c>
      <c r="AW236" s="479">
        <f t="shared" si="68"/>
        <v>0.28484074743625698</v>
      </c>
      <c r="AX236" s="479">
        <f t="shared" si="69"/>
        <v>0.26637618843343092</v>
      </c>
      <c r="AY236" s="479">
        <f t="shared" si="70"/>
        <v>0.30388339136263259</v>
      </c>
      <c r="AZ236" s="479">
        <f t="shared" si="71"/>
        <v>0.27490727723502484</v>
      </c>
      <c r="BA236" s="479">
        <f t="shared" si="72"/>
        <v>0.3186346980071661</v>
      </c>
      <c r="BB236" s="479">
        <f t="shared" si="73"/>
        <v>0.31676643803947591</v>
      </c>
      <c r="BC236" s="479">
        <f t="shared" si="74"/>
        <v>0.3989464793254543</v>
      </c>
      <c r="BD236" s="479">
        <f t="shared" si="75"/>
        <v>0.42558999511633339</v>
      </c>
    </row>
    <row r="237" spans="1:56" ht="15">
      <c r="A237" s="63" t="str">
        <f>VLOOKUP(CONCATENATE($C237," - ",$B237),[2]ACHIEV!$B$12:$C$100,2,FALSE)</f>
        <v>LO20Fast</v>
      </c>
      <c r="B237" s="63" t="str">
        <f>'SC-NR (2)'!$C$7</f>
        <v>NR</v>
      </c>
      <c r="C237" s="63" t="str">
        <f>'SC-NR (2)'!$C$8</f>
        <v>Lighting</v>
      </c>
      <c r="D237" s="63" t="s">
        <v>795</v>
      </c>
      <c r="E237" s="63" t="str">
        <f>'SC-NR (2)'!$A$9</f>
        <v>Lighting</v>
      </c>
      <c r="F237" s="478">
        <f t="shared" si="51"/>
        <v>5.5704529633071051E-3</v>
      </c>
      <c r="G237" s="71">
        <f>'SC-NR (2)'!A135</f>
        <v>21.322455076849025</v>
      </c>
      <c r="H237" s="71">
        <f>'SC-NR (2)'!B135</f>
        <v>-49.256412709384371</v>
      </c>
      <c r="I237" t="str">
        <f>'SC-NR (2)'!C135</f>
        <v>Manufactured</v>
      </c>
      <c r="J237" t="str">
        <f>'SC-NR (2)'!D135</f>
        <v>2017 - LEDReflectors and Outdoor250 to 664 lumensANY</v>
      </c>
      <c r="K237" s="37">
        <f>'SC-NR (2)'!E135</f>
        <v>0</v>
      </c>
      <c r="L237" s="37">
        <f>'SC-NR (2)'!F135</f>
        <v>2.6901134399283936E-2</v>
      </c>
      <c r="M237" s="37">
        <f>'SC-NR (2)'!G135</f>
        <v>3.4205761125967682E-2</v>
      </c>
      <c r="N237" s="37">
        <f>'SC-NR (2)'!H135</f>
        <v>3.9689763216738755E-2</v>
      </c>
      <c r="O237" s="37">
        <f>'SC-NR (2)'!I135</f>
        <v>4.4335923341464446E-2</v>
      </c>
      <c r="P237" s="37">
        <f>'SC-NR (2)'!J135</f>
        <v>4.8202741364766065E-2</v>
      </c>
      <c r="Q237" s="37">
        <f>'SC-NR (2)'!K135</f>
        <v>5.1366398645045913E-2</v>
      </c>
      <c r="R237" s="37">
        <f>'SC-NR (2)'!L135</f>
        <v>5.3909555392537854E-2</v>
      </c>
      <c r="S237" s="37">
        <f>'SC-NR (2)'!M135</f>
        <v>5.7208052639962932E-2</v>
      </c>
      <c r="T237" s="37">
        <f>'SC-NR (2)'!N135</f>
        <v>5.8591358022466337E-2</v>
      </c>
      <c r="U237" s="37">
        <f>'SC-NR (2)'!O135</f>
        <v>5.9659889962262458E-2</v>
      </c>
      <c r="V237" s="37">
        <f>'SC-NR (2)'!P135</f>
        <v>6.0325697409308585E-2</v>
      </c>
      <c r="W237" s="37">
        <f>'SC-NR (2)'!Q135</f>
        <v>6.06120171606402E-2</v>
      </c>
      <c r="X237" s="37">
        <f>'SC-NR (2)'!R135</f>
        <v>6.0679806276873083E-2</v>
      </c>
      <c r="Y237" s="37">
        <f>'SC-NR (2)'!S135</f>
        <v>6.0585675180480233E-2</v>
      </c>
      <c r="Z237" s="37">
        <f>'SC-NR (2)'!T135</f>
        <v>6.0359688225313082E-2</v>
      </c>
      <c r="AA237" s="37">
        <f>'SC-NR (2)'!U135</f>
        <v>6.0034093977679698E-2</v>
      </c>
      <c r="AB237" s="37">
        <f>'SC-NR (2)'!V135</f>
        <v>5.963238621835263E-2</v>
      </c>
      <c r="AC237" s="37">
        <f>'SC-NR (2)'!W135</f>
        <v>5.9174201316253595E-2</v>
      </c>
      <c r="AD237" s="37">
        <f>'SC-NR (2)'!X135</f>
        <v>5.8681570305357984E-2</v>
      </c>
      <c r="AE237" s="37">
        <f>'SC-NR (2)'!Y135</f>
        <v>0.4814069179515067</v>
      </c>
      <c r="AF237" s="479">
        <f t="shared" si="52"/>
        <v>1.5255955147280642</v>
      </c>
      <c r="AG237" s="479">
        <f t="shared" si="53"/>
        <v>1.2133894587478662</v>
      </c>
      <c r="AH237" s="479">
        <f t="shared" si="54"/>
        <v>1.2259099571124876</v>
      </c>
      <c r="AI237" s="479">
        <f t="shared" si="55"/>
        <v>0.99981964541118984</v>
      </c>
      <c r="AJ237" s="479">
        <f t="shared" si="56"/>
        <v>0.91042606736425147</v>
      </c>
      <c r="AK237" s="479">
        <f t="shared" si="57"/>
        <v>0.93548259652339649</v>
      </c>
      <c r="AL237" s="479">
        <f t="shared" si="58"/>
        <v>0.77204480717028579</v>
      </c>
      <c r="AM237" s="479">
        <f t="shared" si="59"/>
        <v>0.88063402902945986</v>
      </c>
      <c r="AN237" s="479">
        <f t="shared" si="60"/>
        <v>0.96971108539821449</v>
      </c>
      <c r="AO237" s="479">
        <f t="shared" si="61"/>
        <v>1.4152091994172629</v>
      </c>
      <c r="AP237" s="479">
        <f t="shared" si="62"/>
        <v>1.4286063280943841</v>
      </c>
      <c r="AQ237" s="479">
        <f t="shared" si="63"/>
        <v>1.5683270060897629</v>
      </c>
      <c r="AR237" s="479"/>
      <c r="AS237" s="479">
        <f t="shared" si="64"/>
        <v>0.7958766333715297</v>
      </c>
      <c r="AT237" s="479">
        <f t="shared" si="65"/>
        <v>0.61166893720522297</v>
      </c>
      <c r="AU237" s="479">
        <f t="shared" si="66"/>
        <v>0.57009702023442965</v>
      </c>
      <c r="AV237" s="479">
        <f t="shared" si="67"/>
        <v>0.55923715313202227</v>
      </c>
      <c r="AW237" s="479">
        <f t="shared" si="68"/>
        <v>0.5433446291292342</v>
      </c>
      <c r="AX237" s="479">
        <f t="shared" si="69"/>
        <v>0.50812277602807099</v>
      </c>
      <c r="AY237" s="479">
        <f t="shared" si="70"/>
        <v>0.57966920135053146</v>
      </c>
      <c r="AZ237" s="479">
        <f t="shared" si="71"/>
        <v>0.52439615447792887</v>
      </c>
      <c r="BA237" s="479">
        <f t="shared" si="72"/>
        <v>0.60780788343898273</v>
      </c>
      <c r="BB237" s="479">
        <f t="shared" si="73"/>
        <v>0.60424410603565037</v>
      </c>
      <c r="BC237" s="479">
        <f t="shared" si="74"/>
        <v>0.7610056805514156</v>
      </c>
      <c r="BD237" s="479">
        <f t="shared" si="75"/>
        <v>0.81182920680737636</v>
      </c>
    </row>
    <row r="238" spans="1:56" ht="15">
      <c r="A238" s="63" t="str">
        <f>VLOOKUP(CONCATENATE($C238," - ",$B238),[2]ACHIEV!$B$12:$C$100,2,FALSE)</f>
        <v>LO20Fast</v>
      </c>
      <c r="B238" s="63" t="str">
        <f>'SC-NR (2)'!$C$7</f>
        <v>NR</v>
      </c>
      <c r="C238" s="63" t="str">
        <f>'SC-NR (2)'!$C$8</f>
        <v>Lighting</v>
      </c>
      <c r="D238" s="63" t="s">
        <v>795</v>
      </c>
      <c r="E238" s="63" t="str">
        <f>'SC-NR (2)'!$A$9</f>
        <v>Lighting</v>
      </c>
      <c r="F238" s="478">
        <f t="shared" si="51"/>
        <v>4.2475887264408763E-3</v>
      </c>
      <c r="G238" s="71">
        <f>'SC-NR (2)'!A136</f>
        <v>16.258824982644914</v>
      </c>
      <c r="H238" s="71">
        <f>'SC-NR (2)'!B136</f>
        <v>-57.558538168362972</v>
      </c>
      <c r="I238" t="str">
        <f>'SC-NR (2)'!C136</f>
        <v>Manufactured</v>
      </c>
      <c r="J238" t="str">
        <f>'SC-NR (2)'!D136</f>
        <v>2017 - LEDReflectors and Outdoor665 to 1439 lumensANY</v>
      </c>
      <c r="K238" s="37">
        <f>'SC-NR (2)'!E136</f>
        <v>0</v>
      </c>
      <c r="L238" s="37">
        <f>'SC-NR (2)'!F136</f>
        <v>0.20727452975607402</v>
      </c>
      <c r="M238" s="37">
        <f>'SC-NR (2)'!G136</f>
        <v>0.26355702875200215</v>
      </c>
      <c r="N238" s="37">
        <f>'SC-NR (2)'!H136</f>
        <v>0.30581152767663333</v>
      </c>
      <c r="O238" s="37">
        <f>'SC-NR (2)'!I136</f>
        <v>0.34161041410015791</v>
      </c>
      <c r="P238" s="37">
        <f>'SC-NR (2)'!J136</f>
        <v>0.37140443228303022</v>
      </c>
      <c r="Q238" s="37">
        <f>'SC-NR (2)'!K136</f>
        <v>0.39578056324265398</v>
      </c>
      <c r="R238" s="37">
        <f>'SC-NR (2)'!L136</f>
        <v>0.41537570786028805</v>
      </c>
      <c r="S238" s="37">
        <f>'SC-NR (2)'!M136</f>
        <v>0.44079078722883458</v>
      </c>
      <c r="T238" s="37">
        <f>'SC-NR (2)'!N136</f>
        <v>0.45144922149453126</v>
      </c>
      <c r="U238" s="37">
        <f>'SC-NR (2)'!O136</f>
        <v>0.45968231129897014</v>
      </c>
      <c r="V238" s="37">
        <f>'SC-NR (2)'!P136</f>
        <v>0.46481238958660748</v>
      </c>
      <c r="W238" s="37">
        <f>'SC-NR (2)'!Q136</f>
        <v>0.46701849699220133</v>
      </c>
      <c r="X238" s="37">
        <f>'SC-NR (2)'!R136</f>
        <v>0.46754081538150027</v>
      </c>
      <c r="Y238" s="37">
        <f>'SC-NR (2)'!S136</f>
        <v>0.46681553077265608</v>
      </c>
      <c r="Z238" s="37">
        <f>'SC-NR (2)'!T136</f>
        <v>0.46507429045289755</v>
      </c>
      <c r="AA238" s="37">
        <f>'SC-NR (2)'!U136</f>
        <v>0.46256557117110797</v>
      </c>
      <c r="AB238" s="37">
        <f>'SC-NR (2)'!V136</f>
        <v>0.45947039363405578</v>
      </c>
      <c r="AC238" s="37">
        <f>'SC-NR (2)'!W136</f>
        <v>0.45594005700533596</v>
      </c>
      <c r="AD238" s="37">
        <f>'SC-NR (2)'!X136</f>
        <v>0.45214431145754358</v>
      </c>
      <c r="AE238" s="37">
        <f>'SC-NR (2)'!Y136</f>
        <v>3.7092633737548084</v>
      </c>
      <c r="AF238" s="479">
        <f t="shared" si="52"/>
        <v>1.1632989906121636</v>
      </c>
      <c r="AG238" s="479">
        <f t="shared" si="53"/>
        <v>0.92523524024153736</v>
      </c>
      <c r="AH238" s="479">
        <f t="shared" si="54"/>
        <v>0.93478238623725807</v>
      </c>
      <c r="AI238" s="479">
        <f t="shared" si="55"/>
        <v>0.76238372037188906</v>
      </c>
      <c r="AJ238" s="479">
        <f t="shared" si="56"/>
        <v>0.69421921798230934</v>
      </c>
      <c r="AK238" s="479">
        <f t="shared" si="57"/>
        <v>0.71332535378153095</v>
      </c>
      <c r="AL238" s="479">
        <f t="shared" si="58"/>
        <v>0.58870056723301578</v>
      </c>
      <c r="AM238" s="479">
        <f t="shared" si="59"/>
        <v>0.67150215583276607</v>
      </c>
      <c r="AN238" s="479">
        <f t="shared" si="60"/>
        <v>0.73942530371836135</v>
      </c>
      <c r="AO238" s="479">
        <f t="shared" si="61"/>
        <v>1.0791270800770567</v>
      </c>
      <c r="AP238" s="479">
        <f t="shared" si="62"/>
        <v>1.0893426753096991</v>
      </c>
      <c r="AQ238" s="479">
        <f t="shared" si="63"/>
        <v>1.1958826605879354</v>
      </c>
      <c r="AR238" s="479"/>
      <c r="AS238" s="479">
        <f t="shared" si="64"/>
        <v>0.60687284100854089</v>
      </c>
      <c r="AT238" s="479">
        <f t="shared" si="65"/>
        <v>0.46641055926707059</v>
      </c>
      <c r="AU238" s="479">
        <f t="shared" si="66"/>
        <v>0.4347110893990323</v>
      </c>
      <c r="AV238" s="479">
        <f t="shared" si="67"/>
        <v>0.42643021002015935</v>
      </c>
      <c r="AW238" s="479">
        <f t="shared" si="68"/>
        <v>0.41431182283807694</v>
      </c>
      <c r="AX238" s="479">
        <f t="shared" si="69"/>
        <v>0.38745441157505511</v>
      </c>
      <c r="AY238" s="479">
        <f t="shared" si="70"/>
        <v>0.44201008085700272</v>
      </c>
      <c r="AZ238" s="479">
        <f t="shared" si="71"/>
        <v>0.39986320836412004</v>
      </c>
      <c r="BA238" s="479">
        <f t="shared" si="72"/>
        <v>0.46346642374385677</v>
      </c>
      <c r="BB238" s="479">
        <f t="shared" si="73"/>
        <v>0.46074896776287089</v>
      </c>
      <c r="BC238" s="479">
        <f t="shared" si="74"/>
        <v>0.58028299866454724</v>
      </c>
      <c r="BD238" s="479">
        <f t="shared" si="75"/>
        <v>0.61903701715905535</v>
      </c>
    </row>
    <row r="239" spans="1:56" ht="15">
      <c r="A239" s="63" t="str">
        <f>VLOOKUP(CONCATENATE($C239," - ",$B239),[2]ACHIEV!$B$12:$C$100,2,FALSE)</f>
        <v>LO20Fast</v>
      </c>
      <c r="B239" s="63" t="str">
        <f>'SC-NR (2)'!$C$7</f>
        <v>NR</v>
      </c>
      <c r="C239" s="63" t="str">
        <f>'SC-NR (2)'!$C$8</f>
        <v>Lighting</v>
      </c>
      <c r="D239" s="63" t="s">
        <v>795</v>
      </c>
      <c r="E239" s="63" t="str">
        <f>'SC-NR (2)'!$A$9</f>
        <v>Lighting</v>
      </c>
      <c r="F239" s="478">
        <f t="shared" si="51"/>
        <v>2.2739503245659785E-2</v>
      </c>
      <c r="G239" s="71">
        <f>'SC-NR (2)'!A137</f>
        <v>87.041761167225999</v>
      </c>
      <c r="H239" s="71">
        <f>'SC-NR (2)'!B137</f>
        <v>-31.342168529326845</v>
      </c>
      <c r="I239" t="str">
        <f>'SC-NR (2)'!C137</f>
        <v>Manufactured</v>
      </c>
      <c r="J239" t="str">
        <f>'SC-NR (2)'!D137</f>
        <v>2017 - LEDReflectors and Outdoor1440 to 2600 lumensANY</v>
      </c>
      <c r="K239" s="42">
        <f>'SC-NR (2)'!E137</f>
        <v>0</v>
      </c>
      <c r="L239" s="42">
        <f>'SC-NR (2)'!F137</f>
        <v>9.1187737796748131E-2</v>
      </c>
      <c r="M239" s="42">
        <f>'SC-NR (2)'!G137</f>
        <v>0.11594849237197848</v>
      </c>
      <c r="N239" s="42">
        <f>'SC-NR (2)'!H137</f>
        <v>0.13453781047684479</v>
      </c>
      <c r="O239" s="42">
        <f>'SC-NR (2)'!I137</f>
        <v>0.15028706569139327</v>
      </c>
      <c r="P239" s="42">
        <f>'SC-NR (2)'!J137</f>
        <v>0.16339455709985801</v>
      </c>
      <c r="Q239" s="42">
        <f>'SC-NR (2)'!K137</f>
        <v>0.17411851937858666</v>
      </c>
      <c r="R239" s="42">
        <f>'SC-NR (2)'!L137</f>
        <v>0.18273914879979428</v>
      </c>
      <c r="S239" s="42">
        <f>'SC-NR (2)'!M137</f>
        <v>0.19392018293973368</v>
      </c>
      <c r="T239" s="42">
        <f>'SC-NR (2)'!N137</f>
        <v>0.19860922268951869</v>
      </c>
      <c r="U239" s="42">
        <f>'SC-NR (2)'!O137</f>
        <v>0.20223126363795446</v>
      </c>
      <c r="V239" s="42">
        <f>'SC-NR (2)'!P137</f>
        <v>0.20448817496381957</v>
      </c>
      <c r="W239" s="42">
        <f>'SC-NR (2)'!Q137</f>
        <v>0.2054587232694387</v>
      </c>
      <c r="X239" s="42">
        <f>'SC-NR (2)'!R137</f>
        <v>0.20568851046223019</v>
      </c>
      <c r="Y239" s="42">
        <f>'SC-NR (2)'!S137</f>
        <v>0.20536943091677354</v>
      </c>
      <c r="Z239" s="42">
        <f>'SC-NR (2)'!T137</f>
        <v>0.2046033948490226</v>
      </c>
      <c r="AA239" s="42">
        <f>'SC-NR (2)'!U137</f>
        <v>0.20349971637804654</v>
      </c>
      <c r="AB239" s="42">
        <f>'SC-NR (2)'!V137</f>
        <v>0.20213803321313836</v>
      </c>
      <c r="AC239" s="42">
        <f>'SC-NR (2)'!W137</f>
        <v>0.20058490745662214</v>
      </c>
      <c r="AD239" s="42">
        <f>'SC-NR (2)'!X137</f>
        <v>0.19891501849263504</v>
      </c>
      <c r="AE239" s="42">
        <f>'SC-NR (2)'!Y137</f>
        <v>1.6318422545359696</v>
      </c>
      <c r="AF239" s="479">
        <f t="shared" si="52"/>
        <v>6.2277312791681956</v>
      </c>
      <c r="AG239" s="479">
        <f t="shared" si="53"/>
        <v>4.9532549179026795</v>
      </c>
      <c r="AH239" s="479">
        <f t="shared" si="54"/>
        <v>5.0043656471512685</v>
      </c>
      <c r="AI239" s="479">
        <f t="shared" si="55"/>
        <v>4.0814278877609365</v>
      </c>
      <c r="AJ239" s="479">
        <f t="shared" si="56"/>
        <v>3.7165086304708308</v>
      </c>
      <c r="AK239" s="479">
        <f t="shared" si="57"/>
        <v>3.8187934948961253</v>
      </c>
      <c r="AL239" s="479">
        <f t="shared" si="58"/>
        <v>3.1516136145633622</v>
      </c>
      <c r="AM239" s="479">
        <f t="shared" si="59"/>
        <v>3.594892640376083</v>
      </c>
      <c r="AN239" s="479">
        <f t="shared" si="60"/>
        <v>3.9585198042267882</v>
      </c>
      <c r="AO239" s="479">
        <f t="shared" si="61"/>
        <v>5.777116222938341</v>
      </c>
      <c r="AP239" s="479">
        <f t="shared" si="62"/>
        <v>5.831805500999323</v>
      </c>
      <c r="AQ239" s="479">
        <f t="shared" si="63"/>
        <v>6.4021682402038298</v>
      </c>
      <c r="AR239" s="479"/>
      <c r="AS239" s="479">
        <f t="shared" si="64"/>
        <v>3.2488990405103846</v>
      </c>
      <c r="AT239" s="479">
        <f t="shared" si="65"/>
        <v>2.4969329917094965</v>
      </c>
      <c r="AU239" s="479">
        <f t="shared" si="66"/>
        <v>2.3272296036524454</v>
      </c>
      <c r="AV239" s="479">
        <f t="shared" si="67"/>
        <v>2.2828978437669774</v>
      </c>
      <c r="AW239" s="479">
        <f t="shared" si="68"/>
        <v>2.2180219524303819</v>
      </c>
      <c r="AX239" s="479">
        <f t="shared" si="69"/>
        <v>2.0742405672920801</v>
      </c>
      <c r="AY239" s="479">
        <f t="shared" si="70"/>
        <v>2.3663048180006183</v>
      </c>
      <c r="AZ239" s="479">
        <f t="shared" si="71"/>
        <v>2.1406711689892717</v>
      </c>
      <c r="BA239" s="479">
        <f t="shared" si="72"/>
        <v>2.4811715365410532</v>
      </c>
      <c r="BB239" s="479">
        <f t="shared" si="73"/>
        <v>2.4666236122764214</v>
      </c>
      <c r="BC239" s="479">
        <f t="shared" si="74"/>
        <v>3.1065500879107617</v>
      </c>
      <c r="BD239" s="479">
        <f t="shared" si="75"/>
        <v>3.3140200634883259</v>
      </c>
    </row>
    <row r="240" spans="1:56" ht="15">
      <c r="A240" s="63" t="str">
        <f>VLOOKUP(CONCATENATE($C240," - ",$B240),[2]ACHIEV!$B$12:$C$100,2,FALSE)</f>
        <v>LO20Fast</v>
      </c>
      <c r="B240" s="63" t="str">
        <f>'SC-NR (2)'!$C$7</f>
        <v>NR</v>
      </c>
      <c r="C240" s="63" t="str">
        <f>'SC-NR (2)'!$C$8</f>
        <v>Lighting</v>
      </c>
      <c r="D240" s="63" t="s">
        <v>795</v>
      </c>
      <c r="E240" s="63" t="str">
        <f>'SC-NR (2)'!$A$9</f>
        <v>Lighting</v>
      </c>
      <c r="F240" s="478">
        <f t="shared" si="51"/>
        <v>1.3238383828380332E-2</v>
      </c>
      <c r="G240" s="71">
        <f>'SC-NR (2)'!A138</f>
        <v>50.673589083344737</v>
      </c>
      <c r="H240" s="71">
        <f>'SC-NR (2)'!B138</f>
        <v>-6.4266835469852737</v>
      </c>
      <c r="I240" t="str">
        <f>'SC-NR (2)'!C138</f>
        <v>Manufactured</v>
      </c>
      <c r="J240" t="str">
        <f>'SC-NR (2)'!D138</f>
        <v>2017 - LEDThree-Way250 to 664 lumensANY</v>
      </c>
      <c r="K240" s="42">
        <f>'SC-NR (2)'!E138</f>
        <v>0</v>
      </c>
      <c r="L240" s="42">
        <f>'SC-NR (2)'!F138</f>
        <v>8.3301136407711745E-4</v>
      </c>
      <c r="M240" s="42">
        <f>'SC-NR (2)'!G138</f>
        <v>1.0592039470126149E-3</v>
      </c>
      <c r="N240" s="42">
        <f>'SC-NR (2)'!H138</f>
        <v>1.2290196876587262E-3</v>
      </c>
      <c r="O240" s="42">
        <f>'SC-NR (2)'!I138</f>
        <v>1.3728910993907708E-3</v>
      </c>
      <c r="P240" s="42">
        <f>'SC-NR (2)'!J138</f>
        <v>1.4926296690889395E-3</v>
      </c>
      <c r="Q240" s="42">
        <f>'SC-NR (2)'!K138</f>
        <v>1.5905944027467356E-3</v>
      </c>
      <c r="R240" s="42">
        <f>'SC-NR (2)'!L138</f>
        <v>1.6693449282764912E-3</v>
      </c>
      <c r="S240" s="42">
        <f>'SC-NR (2)'!M138</f>
        <v>1.771485070424374E-3</v>
      </c>
      <c r="T240" s="42">
        <f>'SC-NR (2)'!N138</f>
        <v>1.8143200336832117E-3</v>
      </c>
      <c r="U240" s="42">
        <f>'SC-NR (2)'!O138</f>
        <v>1.8474078297411069E-3</v>
      </c>
      <c r="V240" s="42">
        <f>'SC-NR (2)'!P138</f>
        <v>1.8680249963425035E-3</v>
      </c>
      <c r="W240" s="42">
        <f>'SC-NR (2)'!Q138</f>
        <v>1.8768910762289083E-3</v>
      </c>
      <c r="X240" s="42">
        <f>'SC-NR (2)'!R138</f>
        <v>1.878990210910167E-3</v>
      </c>
      <c r="Y240" s="42">
        <f>'SC-NR (2)'!S138</f>
        <v>1.8760753794445331E-3</v>
      </c>
      <c r="Z240" s="42">
        <f>'SC-NR (2)'!T138</f>
        <v>1.8690775443721049E-3</v>
      </c>
      <c r="AA240" s="42">
        <f>'SC-NR (2)'!U138</f>
        <v>1.8589953038118713E-3</v>
      </c>
      <c r="AB240" s="42">
        <f>'SC-NR (2)'!V138</f>
        <v>1.8465561581762016E-3</v>
      </c>
      <c r="AC240" s="42">
        <f>'SC-NR (2)'!W138</f>
        <v>1.8323681605761004E-3</v>
      </c>
      <c r="AD240" s="42">
        <f>'SC-NR (2)'!X138</f>
        <v>1.8171135165048911E-3</v>
      </c>
      <c r="AE240" s="42">
        <f>'SC-NR (2)'!Y138</f>
        <v>1.4907082632530917E-2</v>
      </c>
      <c r="AF240" s="479">
        <f t="shared" si="52"/>
        <v>3.6256331619458151</v>
      </c>
      <c r="AG240" s="479">
        <f t="shared" si="53"/>
        <v>2.8836641282181006</v>
      </c>
      <c r="AH240" s="479">
        <f t="shared" si="54"/>
        <v>2.9134195474210416</v>
      </c>
      <c r="AI240" s="479">
        <f t="shared" si="55"/>
        <v>2.3761077083488051</v>
      </c>
      <c r="AJ240" s="479">
        <f t="shared" si="56"/>
        <v>2.1636606226678121</v>
      </c>
      <c r="AK240" s="479">
        <f t="shared" si="57"/>
        <v>2.2232083744576121</v>
      </c>
      <c r="AL240" s="479">
        <f t="shared" si="58"/>
        <v>1.83479253076042</v>
      </c>
      <c r="AM240" s="479">
        <f t="shared" si="59"/>
        <v>2.0928587612924954</v>
      </c>
      <c r="AN240" s="479">
        <f t="shared" si="60"/>
        <v>2.3045536217068179</v>
      </c>
      <c r="AO240" s="479">
        <f t="shared" si="61"/>
        <v>3.3632960735418895</v>
      </c>
      <c r="AP240" s="479">
        <f t="shared" si="62"/>
        <v>3.3951348365283454</v>
      </c>
      <c r="AQ240" s="479">
        <f t="shared" si="63"/>
        <v>3.7271861034986045</v>
      </c>
      <c r="AR240" s="479"/>
      <c r="AS240" s="479">
        <f t="shared" si="64"/>
        <v>1.8914297314802717</v>
      </c>
      <c r="AT240" s="479">
        <f t="shared" si="65"/>
        <v>1.4536534497210483</v>
      </c>
      <c r="AU240" s="479">
        <f t="shared" si="66"/>
        <v>1.3548562788327785</v>
      </c>
      <c r="AV240" s="479">
        <f t="shared" si="67"/>
        <v>1.3290474101512062</v>
      </c>
      <c r="AW240" s="479">
        <f t="shared" si="68"/>
        <v>1.291278249521628</v>
      </c>
      <c r="AX240" s="479">
        <f t="shared" si="69"/>
        <v>1.2075722361019934</v>
      </c>
      <c r="AY240" s="479">
        <f t="shared" si="70"/>
        <v>1.377604914989379</v>
      </c>
      <c r="AZ240" s="479">
        <f t="shared" si="71"/>
        <v>1.2462465111605538</v>
      </c>
      <c r="BA240" s="479">
        <f t="shared" si="72"/>
        <v>1.4444775151828353</v>
      </c>
      <c r="BB240" s="479">
        <f t="shared" si="73"/>
        <v>1.4360080687204035</v>
      </c>
      <c r="BC240" s="479">
        <f t="shared" si="74"/>
        <v>1.8085576453259091</v>
      </c>
      <c r="BD240" s="479">
        <f t="shared" si="75"/>
        <v>1.9293416017689646</v>
      </c>
    </row>
    <row r="241" spans="1:56" ht="15">
      <c r="A241" s="63" t="str">
        <f>VLOOKUP(CONCATENATE($C241," - ",$B241),[2]ACHIEV!$B$12:$C$100,2,FALSE)</f>
        <v>LO20Fast</v>
      </c>
      <c r="B241" s="63" t="str">
        <f>'SC-NR (2)'!$C$7</f>
        <v>NR</v>
      </c>
      <c r="C241" s="63" t="str">
        <f>'SC-NR (2)'!$C$8</f>
        <v>Lighting</v>
      </c>
      <c r="D241" s="63" t="s">
        <v>795</v>
      </c>
      <c r="E241" s="63" t="str">
        <f>'SC-NR (2)'!$A$9</f>
        <v>Lighting</v>
      </c>
      <c r="F241" s="478">
        <f t="shared" si="51"/>
        <v>1.4259875898113245E-2</v>
      </c>
      <c r="G241" s="71">
        <f>'SC-NR (2)'!A139</f>
        <v>54.583633546821666</v>
      </c>
      <c r="H241" s="71">
        <f>'SC-NR (2)'!B139</f>
        <v>-12.334283459818346</v>
      </c>
      <c r="I241" t="str">
        <f>'SC-NR (2)'!C139</f>
        <v>Manufactured</v>
      </c>
      <c r="J241" t="str">
        <f>'SC-NR (2)'!D139</f>
        <v>2017 - LEDThree-Way665 to 1439 lumensANY</v>
      </c>
      <c r="K241" s="42">
        <f>'SC-NR (2)'!E139</f>
        <v>0</v>
      </c>
      <c r="L241" s="42">
        <f>'SC-NR (2)'!F139</f>
        <v>1.1075599354890497E-2</v>
      </c>
      <c r="M241" s="42">
        <f>'SC-NR (2)'!G139</f>
        <v>1.4083023423368738E-2</v>
      </c>
      <c r="N241" s="42">
        <f>'SC-NR (2)'!H139</f>
        <v>1.6340869100701177E-2</v>
      </c>
      <c r="O241" s="42">
        <f>'SC-NR (2)'!I139</f>
        <v>1.8253762710180321E-2</v>
      </c>
      <c r="P241" s="42">
        <f>'SC-NR (2)'!J139</f>
        <v>1.9845789520971553E-2</v>
      </c>
      <c r="Q241" s="42">
        <f>'SC-NR (2)'!K139</f>
        <v>2.1148314537667308E-2</v>
      </c>
      <c r="R241" s="42">
        <f>'SC-NR (2)'!L139</f>
        <v>2.2195370205054223E-2</v>
      </c>
      <c r="S241" s="42">
        <f>'SC-NR (2)'!M139</f>
        <v>2.3553410852836777E-2</v>
      </c>
      <c r="T241" s="42">
        <f>'SC-NR (2)'!N139</f>
        <v>2.412293836698054E-2</v>
      </c>
      <c r="U241" s="42">
        <f>'SC-NR (2)'!O139</f>
        <v>2.4562868947134837E-2</v>
      </c>
      <c r="V241" s="42">
        <f>'SC-NR (2)'!P139</f>
        <v>2.4836991830636049E-2</v>
      </c>
      <c r="W241" s="42">
        <f>'SC-NR (2)'!Q139</f>
        <v>2.4954873954344009E-2</v>
      </c>
      <c r="X241" s="42">
        <f>'SC-NR (2)'!R139</f>
        <v>2.4982783747324246E-2</v>
      </c>
      <c r="Y241" s="42">
        <f>'SC-NR (2)'!S139</f>
        <v>2.4944028567151933E-2</v>
      </c>
      <c r="Z241" s="42">
        <f>'SC-NR (2)'!T139</f>
        <v>2.4850986357938278E-2</v>
      </c>
      <c r="AA241" s="42">
        <f>'SC-NR (2)'!U139</f>
        <v>2.4716934336729075E-2</v>
      </c>
      <c r="AB241" s="42">
        <f>'SC-NR (2)'!V139</f>
        <v>2.4551545244432066E-2</v>
      </c>
      <c r="AC241" s="42">
        <f>'SC-NR (2)'!W139</f>
        <v>2.4362903667806076E-2</v>
      </c>
      <c r="AD241" s="42">
        <f>'SC-NR (2)'!X139</f>
        <v>2.4160080113026186E-2</v>
      </c>
      <c r="AE241" s="42">
        <f>'SC-NR (2)'!Y139</f>
        <v>0.19820242785172124</v>
      </c>
      <c r="AF241" s="479">
        <f t="shared" si="52"/>
        <v>3.9053920487329368</v>
      </c>
      <c r="AG241" s="479">
        <f t="shared" si="53"/>
        <v>3.1061716545849691</v>
      </c>
      <c r="AH241" s="479">
        <f t="shared" si="54"/>
        <v>3.1382230432311156</v>
      </c>
      <c r="AI241" s="479">
        <f t="shared" si="55"/>
        <v>2.5594514769216872</v>
      </c>
      <c r="AJ241" s="479">
        <f t="shared" si="56"/>
        <v>2.3306116792545248</v>
      </c>
      <c r="AK241" s="479">
        <f t="shared" si="57"/>
        <v>2.3947542182186701</v>
      </c>
      <c r="AL241" s="479">
        <f t="shared" si="58"/>
        <v>1.9763676689399765</v>
      </c>
      <c r="AM241" s="479">
        <f t="shared" si="59"/>
        <v>2.2543466479896805</v>
      </c>
      <c r="AN241" s="479">
        <f t="shared" si="60"/>
        <v>2.4823761776445838</v>
      </c>
      <c r="AO241" s="479">
        <f t="shared" si="61"/>
        <v>3.6228126664904727</v>
      </c>
      <c r="AP241" s="479">
        <f t="shared" si="62"/>
        <v>3.6571081526179396</v>
      </c>
      <c r="AQ241" s="479">
        <f t="shared" si="63"/>
        <v>4.0147809562011307</v>
      </c>
      <c r="AR241" s="479"/>
      <c r="AS241" s="479">
        <f t="shared" si="64"/>
        <v>2.0373750746740664</v>
      </c>
      <c r="AT241" s="479">
        <f t="shared" si="65"/>
        <v>1.5658193674251897</v>
      </c>
      <c r="AU241" s="479">
        <f t="shared" si="66"/>
        <v>1.4593988697107205</v>
      </c>
      <c r="AV241" s="479">
        <f t="shared" si="67"/>
        <v>1.4315985529015838</v>
      </c>
      <c r="AW241" s="479">
        <f t="shared" si="68"/>
        <v>1.3909150714180603</v>
      </c>
      <c r="AX241" s="479">
        <f t="shared" si="69"/>
        <v>1.3007501858275035</v>
      </c>
      <c r="AY241" s="479">
        <f t="shared" si="70"/>
        <v>1.4839028222059658</v>
      </c>
      <c r="AZ241" s="479">
        <f t="shared" si="71"/>
        <v>1.3424086216255566</v>
      </c>
      <c r="BA241" s="479">
        <f t="shared" si="72"/>
        <v>1.5559354050427407</v>
      </c>
      <c r="BB241" s="479">
        <f t="shared" si="73"/>
        <v>1.5468124443365345</v>
      </c>
      <c r="BC241" s="479">
        <f t="shared" si="74"/>
        <v>1.9481084633339767</v>
      </c>
      <c r="BD241" s="479">
        <f t="shared" si="75"/>
        <v>2.0782122774920686</v>
      </c>
    </row>
    <row r="242" spans="1:56" ht="15">
      <c r="A242" s="63" t="str">
        <f>VLOOKUP(CONCATENATE($C242," - ",$B242),[2]ACHIEV!$B$12:$C$100,2,FALSE)</f>
        <v>LO20Fast</v>
      </c>
      <c r="B242" s="63" t="str">
        <f>'SC-NR (2)'!$C$7</f>
        <v>NR</v>
      </c>
      <c r="C242" s="63" t="str">
        <f>'SC-NR (2)'!$C$8</f>
        <v>Lighting</v>
      </c>
      <c r="D242" s="63" t="s">
        <v>795</v>
      </c>
      <c r="E242" s="63" t="str">
        <f>'SC-NR (2)'!$A$9</f>
        <v>Lighting</v>
      </c>
      <c r="F242" s="478">
        <f t="shared" si="51"/>
        <v>1.2760440721528607E-2</v>
      </c>
      <c r="G242" s="71">
        <f>'SC-NR (2)'!A140</f>
        <v>48.844129164687544</v>
      </c>
      <c r="H242" s="71">
        <f>'SC-NR (2)'!B140</f>
        <v>-29.993229849727555</v>
      </c>
      <c r="I242" t="str">
        <f>'SC-NR (2)'!C140</f>
        <v>Manufactured</v>
      </c>
      <c r="J242" t="str">
        <f>'SC-NR (2)'!D140</f>
        <v>2017 - LEDThree-Way1440 to 2600 lumensANY</v>
      </c>
      <c r="K242" s="42">
        <f>'SC-NR (2)'!E140</f>
        <v>0</v>
      </c>
      <c r="L242" s="42">
        <f>'SC-NR (2)'!F140</f>
        <v>3.8324744705035912E-2</v>
      </c>
      <c r="M242" s="42">
        <f>'SC-NR (2)'!G140</f>
        <v>4.8731293005585957E-2</v>
      </c>
      <c r="N242" s="42">
        <f>'SC-NR (2)'!H140</f>
        <v>5.6544085468950588E-2</v>
      </c>
      <c r="O242" s="42">
        <f>'SC-NR (2)'!I140</f>
        <v>6.3163245017983191E-2</v>
      </c>
      <c r="P242" s="42">
        <f>'SC-NR (2)'!J140</f>
        <v>6.8672113579593408E-2</v>
      </c>
      <c r="Q242" s="42">
        <f>'SC-NR (2)'!K140</f>
        <v>7.3179223049452083E-2</v>
      </c>
      <c r="R242" s="42">
        <f>'SC-NR (2)'!L140</f>
        <v>7.6802335429988419E-2</v>
      </c>
      <c r="S242" s="42">
        <f>'SC-NR (2)'!M140</f>
        <v>8.1501544877497625E-2</v>
      </c>
      <c r="T242" s="42">
        <f>'SC-NR (2)'!N140</f>
        <v>8.3472273131803373E-2</v>
      </c>
      <c r="U242" s="42">
        <f>'SC-NR (2)'!O140</f>
        <v>8.4994558890985089E-2</v>
      </c>
      <c r="V242" s="42">
        <f>'SC-NR (2)'!P140</f>
        <v>8.5943102549108058E-2</v>
      </c>
      <c r="W242" s="42">
        <f>'SC-NR (2)'!Q140</f>
        <v>8.6351008446715311E-2</v>
      </c>
      <c r="X242" s="42">
        <f>'SC-NR (2)'!R140</f>
        <v>8.6447584320983067E-2</v>
      </c>
      <c r="Y242" s="42">
        <f>'SC-NR (2)'!S140</f>
        <v>8.6313480302003226E-2</v>
      </c>
      <c r="Z242" s="42">
        <f>'SC-NR (2)'!T140</f>
        <v>8.5991527620198113E-2</v>
      </c>
      <c r="AA242" s="42">
        <f>'SC-NR (2)'!U140</f>
        <v>8.5527669247805083E-2</v>
      </c>
      <c r="AB242" s="42">
        <f>'SC-NR (2)'!V140</f>
        <v>8.4955375637664532E-2</v>
      </c>
      <c r="AC242" s="42">
        <f>'SC-NR (2)'!W140</f>
        <v>8.4302621774574107E-2</v>
      </c>
      <c r="AD242" s="42">
        <f>'SC-NR (2)'!X140</f>
        <v>8.3600794206779794E-2</v>
      </c>
      <c r="AE242" s="42">
        <f>'SC-NR (2)'!Y140</f>
        <v>0.68583714559712994</v>
      </c>
      <c r="AF242" s="479">
        <f t="shared" si="52"/>
        <v>3.4947375480862015</v>
      </c>
      <c r="AG242" s="479">
        <f t="shared" si="53"/>
        <v>2.7795556954649423</v>
      </c>
      <c r="AH242" s="479">
        <f t="shared" si="54"/>
        <v>2.808236859858241</v>
      </c>
      <c r="AI242" s="479">
        <f t="shared" si="55"/>
        <v>2.2903234982016438</v>
      </c>
      <c r="AJ242" s="479">
        <f t="shared" si="56"/>
        <v>2.0855463533146543</v>
      </c>
      <c r="AK242" s="479">
        <f t="shared" si="57"/>
        <v>2.1429442628075841</v>
      </c>
      <c r="AL242" s="479">
        <f t="shared" si="58"/>
        <v>1.7685513298745517</v>
      </c>
      <c r="AM242" s="479">
        <f t="shared" si="59"/>
        <v>2.0173006394294912</v>
      </c>
      <c r="AN242" s="479">
        <f t="shared" si="60"/>
        <v>2.2213527165099398</v>
      </c>
      <c r="AO242" s="479">
        <f t="shared" si="61"/>
        <v>3.2418715707106038</v>
      </c>
      <c r="AP242" s="479">
        <f t="shared" si="62"/>
        <v>3.2725608642831689</v>
      </c>
      <c r="AQ242" s="479">
        <f t="shared" si="63"/>
        <v>3.5926241411613451</v>
      </c>
      <c r="AR242" s="479"/>
      <c r="AS242" s="479">
        <f t="shared" si="64"/>
        <v>1.8231437674249444</v>
      </c>
      <c r="AT242" s="479">
        <f t="shared" si="65"/>
        <v>1.4011724478818377</v>
      </c>
      <c r="AU242" s="479">
        <f t="shared" si="66"/>
        <v>1.3059421343543034</v>
      </c>
      <c r="AV242" s="479">
        <f t="shared" si="67"/>
        <v>1.2810650388439813</v>
      </c>
      <c r="AW242" s="479">
        <f t="shared" si="68"/>
        <v>1.2446594517599732</v>
      </c>
      <c r="AX242" s="479">
        <f t="shared" si="69"/>
        <v>1.1639754622244163</v>
      </c>
      <c r="AY242" s="479">
        <f t="shared" si="70"/>
        <v>1.3278694803910316</v>
      </c>
      <c r="AZ242" s="479">
        <f t="shared" si="71"/>
        <v>1.2012534865460023</v>
      </c>
      <c r="BA242" s="479">
        <f t="shared" si="72"/>
        <v>1.3923277905386595</v>
      </c>
      <c r="BB242" s="479">
        <f t="shared" si="73"/>
        <v>1.3841641150531119</v>
      </c>
      <c r="BC242" s="479">
        <f t="shared" si="74"/>
        <v>1.7432635980212496</v>
      </c>
      <c r="BD242" s="479">
        <f t="shared" si="75"/>
        <v>1.8596869119456556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27"/>
  <dimension ref="A3:V67"/>
  <sheetViews>
    <sheetView topLeftCell="A43" workbookViewId="0">
      <selection activeCell="G70" sqref="G70"/>
    </sheetView>
  </sheetViews>
  <sheetFormatPr defaultRowHeight="12.75"/>
  <cols>
    <col min="1" max="1" width="27.5703125" style="91" customWidth="1"/>
    <col min="2" max="2" width="22.7109375" style="91" customWidth="1"/>
    <col min="3" max="8" width="9.85546875" style="91" customWidth="1"/>
    <col min="9" max="16384" width="9.140625" style="91"/>
  </cols>
  <sheetData>
    <row r="3" spans="1:21">
      <c r="A3" s="389" t="s">
        <v>658</v>
      </c>
      <c r="B3" s="390"/>
      <c r="C3" s="390"/>
      <c r="D3" s="390"/>
      <c r="E3" s="390"/>
      <c r="F3" s="390"/>
      <c r="G3" s="390"/>
      <c r="H3" s="390"/>
      <c r="I3" s="390"/>
      <c r="J3" s="390"/>
      <c r="K3" s="390"/>
      <c r="L3" s="390"/>
      <c r="M3" s="390"/>
      <c r="N3" s="390"/>
      <c r="O3" s="390"/>
    </row>
    <row r="4" spans="1:21">
      <c r="O4" s="391"/>
      <c r="P4" s="569"/>
      <c r="Q4" s="569"/>
      <c r="R4" s="569"/>
      <c r="S4" s="569"/>
      <c r="T4" s="569"/>
      <c r="U4" s="569"/>
    </row>
    <row r="5" spans="1:21">
      <c r="P5" s="570"/>
      <c r="Q5" s="570"/>
      <c r="R5" s="570"/>
      <c r="S5" s="570"/>
      <c r="T5" s="570"/>
      <c r="U5" s="570"/>
    </row>
    <row r="7" spans="1:21">
      <c r="B7" s="392"/>
    </row>
    <row r="8" spans="1:21" ht="13.5" thickBot="1"/>
    <row r="9" spans="1:21" ht="13.5" thickBot="1">
      <c r="C9" s="571" t="s">
        <v>447</v>
      </c>
      <c r="D9" s="572"/>
      <c r="E9" s="573"/>
      <c r="F9" s="571" t="s">
        <v>448</v>
      </c>
      <c r="G9" s="572"/>
      <c r="H9" s="573"/>
    </row>
    <row r="10" spans="1:21" ht="30">
      <c r="B10" s="393"/>
      <c r="C10" s="394" t="s">
        <v>659</v>
      </c>
      <c r="D10" s="394" t="s">
        <v>660</v>
      </c>
      <c r="E10" s="395" t="s">
        <v>627</v>
      </c>
      <c r="F10" s="394" t="s">
        <v>659</v>
      </c>
      <c r="G10" s="394" t="s">
        <v>660</v>
      </c>
      <c r="H10" s="395" t="s">
        <v>627</v>
      </c>
    </row>
    <row r="11" spans="1:21" ht="15">
      <c r="B11" s="396" t="s">
        <v>400</v>
      </c>
      <c r="C11" s="397">
        <v>0.02</v>
      </c>
      <c r="D11" s="397">
        <v>0</v>
      </c>
      <c r="E11" s="398">
        <v>0.24</v>
      </c>
      <c r="F11" s="397">
        <v>0.02</v>
      </c>
      <c r="G11" s="397">
        <v>0</v>
      </c>
      <c r="H11" s="398">
        <v>0</v>
      </c>
    </row>
    <row r="12" spans="1:21" ht="15">
      <c r="B12" s="396" t="s">
        <v>465</v>
      </c>
      <c r="C12" s="397">
        <v>0.02</v>
      </c>
      <c r="D12" s="397">
        <v>0</v>
      </c>
      <c r="E12" s="398">
        <v>0</v>
      </c>
      <c r="F12" s="397">
        <v>0.02</v>
      </c>
      <c r="G12" s="397">
        <v>0</v>
      </c>
      <c r="H12" s="398">
        <v>0</v>
      </c>
    </row>
    <row r="13" spans="1:21" ht="15">
      <c r="B13" s="396" t="s">
        <v>573</v>
      </c>
      <c r="C13" s="397">
        <v>0.02</v>
      </c>
      <c r="D13" s="397">
        <v>0</v>
      </c>
      <c r="E13" s="398">
        <v>0.24</v>
      </c>
      <c r="F13" s="397">
        <v>0.02</v>
      </c>
      <c r="G13" s="397">
        <v>0</v>
      </c>
      <c r="H13" s="398">
        <v>0</v>
      </c>
    </row>
    <row r="14" spans="1:21" ht="15">
      <c r="B14" s="396" t="s">
        <v>574</v>
      </c>
      <c r="C14" s="397">
        <v>0.02</v>
      </c>
      <c r="D14" s="397">
        <v>0</v>
      </c>
      <c r="E14" s="398">
        <v>0.24</v>
      </c>
      <c r="F14" s="397">
        <v>0.02</v>
      </c>
      <c r="G14" s="397">
        <v>0</v>
      </c>
      <c r="H14" s="398">
        <v>0.24</v>
      </c>
    </row>
    <row r="15" spans="1:21" ht="15">
      <c r="B15" s="399" t="s">
        <v>575</v>
      </c>
      <c r="C15" s="397">
        <v>0.02</v>
      </c>
      <c r="D15" s="397">
        <v>0</v>
      </c>
      <c r="E15" s="398">
        <v>0.24</v>
      </c>
      <c r="F15" s="397">
        <v>0.02</v>
      </c>
      <c r="G15" s="397">
        <v>0</v>
      </c>
      <c r="H15" s="398">
        <v>0.24</v>
      </c>
    </row>
    <row r="16" spans="1:21" ht="15.75" thickBot="1">
      <c r="B16" s="400" t="s">
        <v>572</v>
      </c>
      <c r="C16" s="401">
        <v>0</v>
      </c>
      <c r="D16" s="401">
        <v>0</v>
      </c>
      <c r="E16" s="402">
        <v>0</v>
      </c>
      <c r="F16" s="401">
        <v>0</v>
      </c>
      <c r="G16" s="401">
        <v>0</v>
      </c>
      <c r="H16" s="402">
        <v>0</v>
      </c>
    </row>
    <row r="17" spans="1:9" ht="15">
      <c r="B17" s="403" t="s">
        <v>661</v>
      </c>
      <c r="C17" s="404"/>
      <c r="D17" s="404"/>
      <c r="E17" s="404"/>
    </row>
    <row r="18" spans="1:9" ht="15">
      <c r="B18" s="403"/>
      <c r="C18" s="404"/>
      <c r="D18" s="404"/>
      <c r="E18" s="404"/>
    </row>
    <row r="19" spans="1:9" ht="15">
      <c r="B19" s="403"/>
      <c r="C19" s="404"/>
      <c r="D19" s="404"/>
      <c r="E19" s="404"/>
    </row>
    <row r="20" spans="1:9" ht="15">
      <c r="B20" s="405"/>
      <c r="C20" s="404"/>
      <c r="D20" s="404"/>
      <c r="E20" s="404"/>
    </row>
    <row r="21" spans="1:9" ht="15">
      <c r="A21" s="406" t="s">
        <v>662</v>
      </c>
    </row>
    <row r="22" spans="1:9" ht="30" customHeight="1">
      <c r="A22" s="407"/>
      <c r="B22" s="567" t="s">
        <v>663</v>
      </c>
      <c r="C22" s="567"/>
      <c r="D22" s="567"/>
      <c r="E22" s="567"/>
      <c r="F22" s="567"/>
      <c r="G22" s="567"/>
      <c r="H22" s="567"/>
      <c r="I22" s="567"/>
    </row>
    <row r="23" spans="1:9" ht="30" customHeight="1">
      <c r="A23" s="407"/>
      <c r="B23" s="408" t="s">
        <v>664</v>
      </c>
      <c r="C23" s="409"/>
      <c r="E23" s="409"/>
      <c r="F23" s="409"/>
    </row>
    <row r="24" spans="1:9" ht="30" customHeight="1">
      <c r="A24" s="407"/>
      <c r="B24" s="568" t="s">
        <v>665</v>
      </c>
      <c r="C24" s="568"/>
      <c r="D24" s="568"/>
      <c r="E24" s="568"/>
      <c r="F24" s="568"/>
      <c r="G24" s="568"/>
      <c r="H24" s="568"/>
      <c r="I24" s="568"/>
    </row>
    <row r="26" spans="1:9">
      <c r="A26" s="392" t="s">
        <v>666</v>
      </c>
    </row>
    <row r="27" spans="1:9" ht="36" customHeight="1">
      <c r="B27" s="567" t="s">
        <v>667</v>
      </c>
      <c r="C27" s="567"/>
      <c r="D27" s="567"/>
      <c r="E27" s="567"/>
      <c r="F27" s="567"/>
      <c r="G27" s="567"/>
      <c r="H27" s="567"/>
      <c r="I27" s="567"/>
    </row>
    <row r="28" spans="1:9">
      <c r="B28" s="410" t="s">
        <v>668</v>
      </c>
    </row>
    <row r="29" spans="1:9">
      <c r="B29" s="91" t="s">
        <v>669</v>
      </c>
      <c r="D29" s="411"/>
    </row>
    <row r="30" spans="1:9" ht="75" customHeight="1">
      <c r="B30" s="567" t="s">
        <v>670</v>
      </c>
      <c r="C30" s="567"/>
      <c r="D30" s="567"/>
      <c r="E30" s="567"/>
      <c r="F30" s="567"/>
      <c r="G30" s="567"/>
      <c r="H30" s="567"/>
      <c r="I30" s="567"/>
    </row>
    <row r="31" spans="1:9">
      <c r="C31" s="410"/>
    </row>
    <row r="32" spans="1:9">
      <c r="A32" s="392" t="s">
        <v>671</v>
      </c>
      <c r="C32" s="410"/>
    </row>
    <row r="33" spans="1:22" ht="24.75" customHeight="1">
      <c r="B33" s="567" t="s">
        <v>672</v>
      </c>
      <c r="C33" s="567"/>
      <c r="D33" s="567"/>
      <c r="E33" s="567"/>
      <c r="F33" s="567"/>
      <c r="G33" s="567"/>
      <c r="H33" s="567"/>
      <c r="I33" s="567"/>
    </row>
    <row r="34" spans="1:22">
      <c r="B34" s="412" t="s">
        <v>673</v>
      </c>
    </row>
    <row r="35" spans="1:22" ht="27.75" customHeight="1">
      <c r="B35" s="567" t="s">
        <v>674</v>
      </c>
      <c r="C35" s="567"/>
      <c r="D35" s="567"/>
      <c r="E35" s="567"/>
      <c r="F35" s="567"/>
      <c r="G35" s="567"/>
      <c r="H35" s="567"/>
      <c r="I35" s="567"/>
    </row>
    <row r="36" spans="1:22" ht="13.5" customHeight="1">
      <c r="A36" s="413" t="s">
        <v>675</v>
      </c>
      <c r="C36" s="413"/>
      <c r="D36" s="413"/>
      <c r="E36" s="413"/>
      <c r="F36" s="413"/>
      <c r="G36" s="413"/>
    </row>
    <row r="37" spans="1:22">
      <c r="B37" s="412" t="s">
        <v>676</v>
      </c>
      <c r="C37" s="404"/>
      <c r="D37" s="404"/>
      <c r="E37" s="404"/>
    </row>
    <row r="38" spans="1:22" ht="15.75" thickBot="1">
      <c r="B38" s="405"/>
      <c r="C38" s="404"/>
      <c r="D38" s="404"/>
      <c r="E38" s="404"/>
      <c r="G38" s="391" t="s">
        <v>677</v>
      </c>
    </row>
    <row r="39" spans="1:22" ht="24.75" customHeight="1" thickBot="1">
      <c r="B39" s="405"/>
      <c r="C39" s="404"/>
      <c r="D39" s="404"/>
      <c r="E39" s="404"/>
      <c r="G39" s="560" t="s">
        <v>678</v>
      </c>
      <c r="H39" s="414"/>
      <c r="I39" s="560" t="s">
        <v>679</v>
      </c>
      <c r="J39" s="560" t="s">
        <v>680</v>
      </c>
      <c r="K39" s="560" t="s">
        <v>681</v>
      </c>
      <c r="L39" s="415" t="s">
        <v>682</v>
      </c>
      <c r="M39" s="563" t="s">
        <v>683</v>
      </c>
      <c r="N39" s="564"/>
      <c r="O39" s="564"/>
      <c r="P39" s="565"/>
      <c r="Q39" s="566" t="s">
        <v>684</v>
      </c>
      <c r="R39" s="565"/>
    </row>
    <row r="40" spans="1:22" ht="24">
      <c r="B40" s="405"/>
      <c r="C40" s="404"/>
      <c r="D40" s="404"/>
      <c r="E40" s="404"/>
      <c r="G40" s="561"/>
      <c r="H40" s="416" t="s">
        <v>685</v>
      </c>
      <c r="I40" s="561"/>
      <c r="J40" s="561"/>
      <c r="K40" s="561"/>
      <c r="L40" s="560"/>
      <c r="M40" s="560" t="s">
        <v>686</v>
      </c>
      <c r="N40" s="417" t="s">
        <v>687</v>
      </c>
      <c r="O40" s="560" t="s">
        <v>688</v>
      </c>
      <c r="P40" s="560" t="s">
        <v>689</v>
      </c>
      <c r="Q40" s="560" t="s">
        <v>690</v>
      </c>
      <c r="R40" s="561" t="s">
        <v>691</v>
      </c>
    </row>
    <row r="41" spans="1:22" ht="15.75" thickBot="1">
      <c r="B41" s="405"/>
      <c r="C41" s="404"/>
      <c r="D41" s="404"/>
      <c r="E41" s="404"/>
      <c r="H41" s="418"/>
      <c r="I41" s="562"/>
      <c r="J41" s="562"/>
      <c r="K41" s="562"/>
      <c r="L41" s="562"/>
      <c r="M41" s="562"/>
      <c r="N41" s="419" t="s">
        <v>692</v>
      </c>
      <c r="O41" s="562"/>
      <c r="P41" s="562"/>
      <c r="Q41" s="562"/>
      <c r="R41" s="562"/>
      <c r="T41" s="391"/>
      <c r="U41" s="391"/>
      <c r="V41" s="391"/>
    </row>
    <row r="42" spans="1:22" ht="36.75" thickBot="1">
      <c r="B42" s="405"/>
      <c r="C42" s="404"/>
      <c r="D42" s="404"/>
      <c r="E42" s="404"/>
      <c r="G42" s="420">
        <v>0.23</v>
      </c>
      <c r="H42" s="421">
        <v>1</v>
      </c>
      <c r="I42" s="422">
        <v>4</v>
      </c>
      <c r="J42" s="422">
        <v>8200</v>
      </c>
      <c r="K42" s="422" t="s">
        <v>693</v>
      </c>
      <c r="L42" s="422" t="s">
        <v>694</v>
      </c>
      <c r="M42" s="423">
        <v>0.04</v>
      </c>
      <c r="N42" s="423">
        <v>0.13</v>
      </c>
      <c r="O42" s="423">
        <v>0.79</v>
      </c>
      <c r="P42" s="422">
        <v>3.6</v>
      </c>
      <c r="Q42" s="423">
        <v>0.9</v>
      </c>
      <c r="R42" s="423">
        <v>1</v>
      </c>
    </row>
    <row r="43" spans="1:22" ht="36.75" thickBot="1">
      <c r="B43" s="405"/>
      <c r="C43" s="404"/>
      <c r="D43" s="404"/>
      <c r="E43" s="404"/>
      <c r="G43" s="424">
        <v>0.1</v>
      </c>
      <c r="H43" s="421">
        <v>2</v>
      </c>
      <c r="I43" s="422">
        <v>5</v>
      </c>
      <c r="J43" s="422">
        <v>3400</v>
      </c>
      <c r="K43" s="422" t="s">
        <v>693</v>
      </c>
      <c r="L43" s="422" t="s">
        <v>695</v>
      </c>
      <c r="M43" s="423">
        <v>0.04</v>
      </c>
      <c r="N43" s="423">
        <v>0.25</v>
      </c>
      <c r="O43" s="423">
        <v>0.64</v>
      </c>
      <c r="P43" s="422">
        <v>4</v>
      </c>
      <c r="Q43" s="423">
        <v>0.81</v>
      </c>
      <c r="R43" s="423">
        <v>0.99</v>
      </c>
    </row>
    <row r="44" spans="1:22" ht="36.75" thickBot="1">
      <c r="B44" s="405"/>
      <c r="C44" s="404"/>
      <c r="D44" s="404"/>
      <c r="E44" s="404"/>
      <c r="G44" s="424">
        <v>0.2</v>
      </c>
      <c r="H44" s="421">
        <v>3</v>
      </c>
      <c r="I44" s="422">
        <v>5</v>
      </c>
      <c r="J44" s="422">
        <v>7000</v>
      </c>
      <c r="K44" s="422" t="s">
        <v>693</v>
      </c>
      <c r="L44" s="422" t="s">
        <v>695</v>
      </c>
      <c r="M44" s="423">
        <v>0.03</v>
      </c>
      <c r="N44" s="423">
        <v>0.23</v>
      </c>
      <c r="O44" s="423">
        <v>0.7</v>
      </c>
      <c r="P44" s="422">
        <v>4.2</v>
      </c>
      <c r="Q44" s="423">
        <v>0.84</v>
      </c>
      <c r="R44" s="423">
        <v>0.97</v>
      </c>
    </row>
    <row r="45" spans="1:22" ht="36.75" thickBot="1">
      <c r="B45" s="405"/>
      <c r="C45" s="404"/>
      <c r="D45" s="404"/>
      <c r="E45" s="404"/>
      <c r="G45" s="424">
        <v>0.17</v>
      </c>
      <c r="H45" s="421">
        <v>4</v>
      </c>
      <c r="I45" s="422">
        <v>8</v>
      </c>
      <c r="J45" s="422">
        <v>6100</v>
      </c>
      <c r="K45" s="422" t="s">
        <v>693</v>
      </c>
      <c r="L45" s="422" t="s">
        <v>695</v>
      </c>
      <c r="M45" s="423">
        <v>0.23</v>
      </c>
      <c r="N45" s="423">
        <v>0.53</v>
      </c>
      <c r="O45" s="423">
        <v>0.23</v>
      </c>
      <c r="P45" s="422">
        <v>4.3</v>
      </c>
      <c r="Q45" s="423">
        <v>0.54</v>
      </c>
      <c r="R45" s="423">
        <v>0.94</v>
      </c>
      <c r="T45" s="391"/>
      <c r="U45" s="163"/>
    </row>
    <row r="46" spans="1:22" ht="48.75" thickBot="1">
      <c r="B46" s="405"/>
      <c r="C46" s="404"/>
      <c r="D46" s="404"/>
      <c r="E46" s="404"/>
      <c r="G46" s="424">
        <v>0.1</v>
      </c>
      <c r="H46" s="421">
        <v>5</v>
      </c>
      <c r="I46" s="422">
        <v>12</v>
      </c>
      <c r="J46" s="422">
        <v>3400</v>
      </c>
      <c r="K46" s="422" t="s">
        <v>693</v>
      </c>
      <c r="L46" s="422" t="s">
        <v>696</v>
      </c>
      <c r="M46" s="423">
        <v>0.23</v>
      </c>
      <c r="N46" s="423">
        <v>0.56999999999999995</v>
      </c>
      <c r="O46" s="423">
        <v>0.17</v>
      </c>
      <c r="P46" s="422">
        <v>4.7</v>
      </c>
      <c r="Q46" s="423">
        <v>0.39</v>
      </c>
      <c r="R46" s="423">
        <v>0.83</v>
      </c>
      <c r="T46" s="391"/>
      <c r="V46" s="163"/>
    </row>
    <row r="47" spans="1:22" ht="36.75" thickBot="1">
      <c r="B47" s="405"/>
      <c r="C47" s="404"/>
      <c r="D47" s="404"/>
      <c r="E47" s="404"/>
      <c r="G47" s="424">
        <v>0.09</v>
      </c>
      <c r="H47" s="421">
        <v>6</v>
      </c>
      <c r="I47" s="422">
        <v>14</v>
      </c>
      <c r="J47" s="422">
        <v>3200</v>
      </c>
      <c r="K47" s="422" t="s">
        <v>693</v>
      </c>
      <c r="L47" s="422" t="s">
        <v>697</v>
      </c>
      <c r="M47" s="423">
        <v>0.2</v>
      </c>
      <c r="N47" s="423">
        <v>0.6</v>
      </c>
      <c r="O47" s="423">
        <v>0.2</v>
      </c>
      <c r="P47" s="422">
        <v>6.3</v>
      </c>
      <c r="Q47" s="423">
        <v>0.45</v>
      </c>
      <c r="R47" s="423">
        <v>0.85</v>
      </c>
    </row>
    <row r="48" spans="1:22" ht="48.75" thickBot="1">
      <c r="B48" s="405"/>
      <c r="C48" s="404"/>
      <c r="D48" s="404"/>
      <c r="E48" s="404"/>
      <c r="G48" s="424">
        <v>0.11</v>
      </c>
      <c r="H48" s="421">
        <v>7</v>
      </c>
      <c r="I48" s="422">
        <v>22</v>
      </c>
      <c r="J48" s="422">
        <v>4000</v>
      </c>
      <c r="K48" s="422" t="s">
        <v>693</v>
      </c>
      <c r="L48" s="422" t="s">
        <v>698</v>
      </c>
      <c r="M48" s="423">
        <v>0.1</v>
      </c>
      <c r="N48" s="423">
        <v>0.47</v>
      </c>
      <c r="O48" s="423">
        <v>0.37</v>
      </c>
      <c r="P48" s="422">
        <v>12.6</v>
      </c>
      <c r="Q48" s="423">
        <v>0.56999999999999995</v>
      </c>
      <c r="R48" s="423">
        <v>0.82</v>
      </c>
    </row>
    <row r="49" spans="1:18" ht="24.75" thickBot="1">
      <c r="B49" s="405"/>
      <c r="C49" s="404"/>
      <c r="D49" s="404"/>
      <c r="E49" s="404"/>
      <c r="G49" s="424">
        <v>1</v>
      </c>
      <c r="H49" s="421" t="s">
        <v>639</v>
      </c>
      <c r="I49" s="422">
        <v>8.6999999999999993</v>
      </c>
      <c r="J49" s="422">
        <v>35300</v>
      </c>
      <c r="K49" s="422"/>
      <c r="L49" s="422"/>
      <c r="M49" s="423">
        <v>0.14000000000000001</v>
      </c>
      <c r="N49" s="423">
        <v>0.44</v>
      </c>
      <c r="O49" s="423">
        <v>0.39</v>
      </c>
      <c r="P49" s="422">
        <v>5.3</v>
      </c>
      <c r="Q49" s="423">
        <v>0.6</v>
      </c>
      <c r="R49" s="423">
        <v>0.89</v>
      </c>
    </row>
    <row r="50" spans="1:18" ht="15">
      <c r="B50" s="405"/>
      <c r="C50" s="404"/>
      <c r="D50" s="404"/>
      <c r="E50" s="404"/>
    </row>
    <row r="51" spans="1:18" ht="15">
      <c r="A51" s="392"/>
      <c r="B51" s="405"/>
      <c r="C51" s="404"/>
      <c r="D51" s="404"/>
      <c r="E51" s="404"/>
    </row>
    <row r="52" spans="1:18" ht="15">
      <c r="A52" s="425" t="s">
        <v>699</v>
      </c>
      <c r="B52" s="405"/>
      <c r="C52" s="404"/>
      <c r="D52" s="404"/>
      <c r="E52" s="404"/>
    </row>
    <row r="53" spans="1:18">
      <c r="A53" s="91" t="s">
        <v>700</v>
      </c>
      <c r="E53" s="426"/>
    </row>
    <row r="55" spans="1:18" ht="38.25">
      <c r="A55" s="426" t="s">
        <v>397</v>
      </c>
      <c r="B55" s="426" t="s">
        <v>492</v>
      </c>
      <c r="C55" s="426" t="s">
        <v>701</v>
      </c>
      <c r="D55" s="427" t="s">
        <v>702</v>
      </c>
      <c r="E55" s="427" t="s">
        <v>703</v>
      </c>
      <c r="F55" s="427" t="s">
        <v>704</v>
      </c>
      <c r="G55" s="426" t="s">
        <v>432</v>
      </c>
      <c r="H55" s="426" t="s">
        <v>433</v>
      </c>
    </row>
    <row r="56" spans="1:18">
      <c r="A56" s="91" t="s">
        <v>400</v>
      </c>
      <c r="B56" s="91" t="s">
        <v>404</v>
      </c>
      <c r="C56" s="91" t="str">
        <f>A56&amp;B56</f>
        <v>RetailCompact Fluorescent</v>
      </c>
      <c r="D56" s="428">
        <f t="shared" ref="D56:F61" si="0">C11</f>
        <v>0.02</v>
      </c>
      <c r="E56" s="428">
        <f t="shared" si="0"/>
        <v>0</v>
      </c>
      <c r="F56" s="428">
        <f t="shared" si="0"/>
        <v>0.24</v>
      </c>
      <c r="G56" s="429">
        <f>(1-D56)*(1-E56)*(1-F56)</f>
        <v>0.74480000000000002</v>
      </c>
      <c r="H56" s="430">
        <v>1.0909090909090908</v>
      </c>
    </row>
    <row r="57" spans="1:18">
      <c r="A57" s="91" t="s">
        <v>465</v>
      </c>
      <c r="B57" s="91" t="s">
        <v>404</v>
      </c>
      <c r="C57" s="91" t="str">
        <f t="shared" ref="C57:C67" si="1">A57&amp;B57</f>
        <v>Direct InstallCompact Fluorescent</v>
      </c>
      <c r="D57" s="428">
        <f t="shared" si="0"/>
        <v>0.02</v>
      </c>
      <c r="E57" s="428">
        <f t="shared" si="0"/>
        <v>0</v>
      </c>
      <c r="F57" s="428">
        <f t="shared" si="0"/>
        <v>0</v>
      </c>
      <c r="G57" s="429">
        <f t="shared" ref="G57:G67" si="2">(1-D57)*(1-E57)*(1-F57)</f>
        <v>0.98</v>
      </c>
      <c r="H57" s="430">
        <v>1</v>
      </c>
    </row>
    <row r="58" spans="1:18">
      <c r="A58" s="91" t="s">
        <v>573</v>
      </c>
      <c r="B58" s="91" t="s">
        <v>404</v>
      </c>
      <c r="C58" s="91" t="str">
        <f t="shared" si="1"/>
        <v>Mail by RequestCompact Fluorescent</v>
      </c>
      <c r="D58" s="428">
        <f t="shared" si="0"/>
        <v>0.02</v>
      </c>
      <c r="E58" s="428">
        <f t="shared" si="0"/>
        <v>0</v>
      </c>
      <c r="F58" s="428">
        <f t="shared" si="0"/>
        <v>0.24</v>
      </c>
      <c r="G58" s="429">
        <f t="shared" si="2"/>
        <v>0.74480000000000002</v>
      </c>
      <c r="H58" s="430">
        <v>1.0909090909090908</v>
      </c>
    </row>
    <row r="59" spans="1:18">
      <c r="A59" s="91" t="s">
        <v>574</v>
      </c>
      <c r="B59" s="91" t="s">
        <v>404</v>
      </c>
      <c r="C59" s="91" t="str">
        <f t="shared" si="1"/>
        <v>Unsolicited MailingCompact Fluorescent</v>
      </c>
      <c r="D59" s="428">
        <f t="shared" si="0"/>
        <v>0.02</v>
      </c>
      <c r="E59" s="428">
        <f t="shared" si="0"/>
        <v>0</v>
      </c>
      <c r="F59" s="428">
        <f t="shared" si="0"/>
        <v>0.24</v>
      </c>
      <c r="G59" s="429">
        <f t="shared" si="2"/>
        <v>0.74480000000000002</v>
      </c>
      <c r="H59" s="430">
        <v>1.0909090909090908</v>
      </c>
    </row>
    <row r="60" spans="1:18">
      <c r="A60" s="91" t="s">
        <v>575</v>
      </c>
      <c r="B60" s="91" t="s">
        <v>404</v>
      </c>
      <c r="C60" s="91" t="str">
        <f t="shared" si="1"/>
        <v>Give-AwayCompact Fluorescent</v>
      </c>
      <c r="D60" s="428">
        <f t="shared" si="0"/>
        <v>0.02</v>
      </c>
      <c r="E60" s="428">
        <f t="shared" si="0"/>
        <v>0</v>
      </c>
      <c r="F60" s="428">
        <f t="shared" si="0"/>
        <v>0.24</v>
      </c>
      <c r="G60" s="429">
        <f t="shared" si="2"/>
        <v>0.74480000000000002</v>
      </c>
      <c r="H60" s="430">
        <v>1.0909090909090908</v>
      </c>
    </row>
    <row r="61" spans="1:18">
      <c r="A61" s="91" t="s">
        <v>572</v>
      </c>
      <c r="B61" s="91" t="s">
        <v>404</v>
      </c>
      <c r="C61" s="91" t="str">
        <f t="shared" si="1"/>
        <v>NEEA Socket CountCompact Fluorescent</v>
      </c>
      <c r="D61" s="428">
        <f t="shared" si="0"/>
        <v>0</v>
      </c>
      <c r="E61" s="428">
        <f t="shared" si="0"/>
        <v>0</v>
      </c>
      <c r="F61" s="428">
        <f t="shared" si="0"/>
        <v>0</v>
      </c>
      <c r="G61" s="429">
        <f t="shared" si="2"/>
        <v>1</v>
      </c>
      <c r="H61" s="430">
        <v>1</v>
      </c>
    </row>
    <row r="62" spans="1:18">
      <c r="A62" s="91" t="str">
        <f t="shared" ref="A62:A67" si="3">A56</f>
        <v>Retail</v>
      </c>
      <c r="B62" s="91" t="s">
        <v>401</v>
      </c>
      <c r="C62" s="91" t="str">
        <f t="shared" si="1"/>
        <v>RetailLED</v>
      </c>
      <c r="D62" s="428">
        <f t="shared" ref="D62:F67" si="4">F11</f>
        <v>0.02</v>
      </c>
      <c r="E62" s="428">
        <f t="shared" si="4"/>
        <v>0</v>
      </c>
      <c r="F62" s="428">
        <f t="shared" si="4"/>
        <v>0</v>
      </c>
      <c r="G62" s="429">
        <f t="shared" si="2"/>
        <v>0.98</v>
      </c>
      <c r="H62" s="430">
        <v>1</v>
      </c>
    </row>
    <row r="63" spans="1:18">
      <c r="A63" s="91" t="str">
        <f t="shared" si="3"/>
        <v>Direct Install</v>
      </c>
      <c r="B63" s="91" t="s">
        <v>401</v>
      </c>
      <c r="C63" s="91" t="str">
        <f t="shared" si="1"/>
        <v>Direct InstallLED</v>
      </c>
      <c r="D63" s="428">
        <f t="shared" si="4"/>
        <v>0.02</v>
      </c>
      <c r="E63" s="428">
        <f t="shared" si="4"/>
        <v>0</v>
      </c>
      <c r="F63" s="428">
        <f t="shared" si="4"/>
        <v>0</v>
      </c>
      <c r="G63" s="429">
        <f t="shared" si="2"/>
        <v>0.98</v>
      </c>
      <c r="H63" s="430">
        <v>1</v>
      </c>
    </row>
    <row r="64" spans="1:18">
      <c r="A64" s="91" t="str">
        <f t="shared" si="3"/>
        <v>Mail by Request</v>
      </c>
      <c r="B64" s="91" t="s">
        <v>401</v>
      </c>
      <c r="C64" s="91" t="str">
        <f t="shared" si="1"/>
        <v>Mail by RequestLED</v>
      </c>
      <c r="D64" s="428">
        <f t="shared" si="4"/>
        <v>0.02</v>
      </c>
      <c r="E64" s="428">
        <f t="shared" si="4"/>
        <v>0</v>
      </c>
      <c r="F64" s="428">
        <v>0</v>
      </c>
      <c r="G64" s="429">
        <f t="shared" si="2"/>
        <v>0.98</v>
      </c>
      <c r="H64" s="430">
        <v>1</v>
      </c>
    </row>
    <row r="65" spans="1:8">
      <c r="A65" s="91" t="str">
        <f t="shared" si="3"/>
        <v>Unsolicited Mailing</v>
      </c>
      <c r="B65" s="91" t="s">
        <v>401</v>
      </c>
      <c r="C65" s="91" t="str">
        <f t="shared" si="1"/>
        <v>Unsolicited MailingLED</v>
      </c>
      <c r="D65" s="428">
        <f t="shared" si="4"/>
        <v>0.02</v>
      </c>
      <c r="E65" s="428">
        <f t="shared" si="4"/>
        <v>0</v>
      </c>
      <c r="F65" s="428">
        <f>H14</f>
        <v>0.24</v>
      </c>
      <c r="G65" s="429">
        <f t="shared" si="2"/>
        <v>0.74480000000000002</v>
      </c>
      <c r="H65" s="430">
        <v>1.0909090909090908</v>
      </c>
    </row>
    <row r="66" spans="1:8">
      <c r="A66" s="91" t="str">
        <f t="shared" si="3"/>
        <v>Give-Away</v>
      </c>
      <c r="B66" s="91" t="s">
        <v>401</v>
      </c>
      <c r="C66" s="91" t="str">
        <f t="shared" si="1"/>
        <v>Give-AwayLED</v>
      </c>
      <c r="D66" s="428">
        <f t="shared" si="4"/>
        <v>0.02</v>
      </c>
      <c r="E66" s="428">
        <f t="shared" si="4"/>
        <v>0</v>
      </c>
      <c r="F66" s="428">
        <f>H15</f>
        <v>0.24</v>
      </c>
      <c r="G66" s="429">
        <f t="shared" si="2"/>
        <v>0.74480000000000002</v>
      </c>
      <c r="H66" s="430">
        <v>1.0909090909090908</v>
      </c>
    </row>
    <row r="67" spans="1:8">
      <c r="A67" s="91" t="str">
        <f t="shared" si="3"/>
        <v>NEEA Socket Count</v>
      </c>
      <c r="B67" s="91" t="s">
        <v>401</v>
      </c>
      <c r="C67" s="91" t="str">
        <f t="shared" si="1"/>
        <v>NEEA Socket CountLED</v>
      </c>
      <c r="D67" s="428">
        <f t="shared" si="4"/>
        <v>0</v>
      </c>
      <c r="E67" s="428">
        <f t="shared" si="4"/>
        <v>0</v>
      </c>
      <c r="F67" s="428">
        <f>H16</f>
        <v>0</v>
      </c>
      <c r="G67" s="429">
        <f t="shared" si="2"/>
        <v>1</v>
      </c>
      <c r="H67" s="430">
        <v>1</v>
      </c>
    </row>
  </sheetData>
  <mergeCells count="22">
    <mergeCell ref="B24:I24"/>
    <mergeCell ref="P4:U4"/>
    <mergeCell ref="P5:U5"/>
    <mergeCell ref="C9:E9"/>
    <mergeCell ref="F9:H9"/>
    <mergeCell ref="B22:I22"/>
    <mergeCell ref="B27:I27"/>
    <mergeCell ref="B30:I30"/>
    <mergeCell ref="B33:I33"/>
    <mergeCell ref="B35:I35"/>
    <mergeCell ref="G39:G40"/>
    <mergeCell ref="I39:I41"/>
    <mergeCell ref="J39:J41"/>
    <mergeCell ref="K39:K41"/>
    <mergeCell ref="M39:P39"/>
    <mergeCell ref="Q39:R39"/>
    <mergeCell ref="L40:L41"/>
    <mergeCell ref="M40:M41"/>
    <mergeCell ref="O40:O41"/>
    <mergeCell ref="P40:P41"/>
    <mergeCell ref="Q40:Q41"/>
    <mergeCell ref="R40:R41"/>
  </mergeCells>
  <hyperlinks>
    <hyperlink ref="B23" r:id="rId1"/>
    <hyperlink ref="B28" r:id="rId2"/>
    <hyperlink ref="B37" r:id="rId3"/>
    <hyperlink ref="B34"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dimension ref="A3:S59"/>
  <sheetViews>
    <sheetView topLeftCell="A9" workbookViewId="0">
      <selection activeCell="S28" sqref="S28"/>
    </sheetView>
  </sheetViews>
  <sheetFormatPr defaultRowHeight="12.75"/>
  <cols>
    <col min="1" max="1" width="21.42578125" customWidth="1"/>
    <col min="16" max="16" width="21.140625" customWidth="1"/>
    <col min="17" max="17" width="32.140625" customWidth="1"/>
    <col min="28" max="28" width="15.7109375" customWidth="1"/>
  </cols>
  <sheetData>
    <row r="3" spans="1:19">
      <c r="Q3" t="s">
        <v>837</v>
      </c>
    </row>
    <row r="4" spans="1:19">
      <c r="Q4" t="s">
        <v>838</v>
      </c>
    </row>
    <row r="6" spans="1:19">
      <c r="P6" t="s">
        <v>850</v>
      </c>
    </row>
    <row r="7" spans="1:19">
      <c r="P7" t="s">
        <v>841</v>
      </c>
      <c r="Q7" t="s">
        <v>851</v>
      </c>
    </row>
    <row r="8" spans="1:19" ht="39.75" thickBot="1">
      <c r="P8" s="158" t="s">
        <v>403</v>
      </c>
      <c r="Q8" s="487" t="s">
        <v>819</v>
      </c>
    </row>
    <row r="9" spans="1:19" ht="39.75" thickBot="1">
      <c r="P9" s="158" t="s">
        <v>406</v>
      </c>
      <c r="Q9" s="487" t="s">
        <v>818</v>
      </c>
      <c r="R9" s="487" t="s">
        <v>817</v>
      </c>
    </row>
    <row r="10" spans="1:19" ht="39.75" thickBot="1">
      <c r="A10" s="484"/>
      <c r="P10" s="158" t="s">
        <v>408</v>
      </c>
      <c r="Q10" s="487" t="s">
        <v>816</v>
      </c>
    </row>
    <row r="11" spans="1:19" ht="15.75" thickBot="1">
      <c r="A11" s="484"/>
    </row>
    <row r="12" spans="1:19" ht="15" thickBot="1">
      <c r="A12" s="585" t="s">
        <v>814</v>
      </c>
      <c r="B12" s="586"/>
      <c r="C12" s="586"/>
      <c r="D12" s="586"/>
      <c r="E12" s="586"/>
      <c r="F12" s="586"/>
      <c r="G12" s="586"/>
      <c r="H12" s="586"/>
      <c r="I12" s="587"/>
      <c r="J12" s="485"/>
      <c r="K12" s="485"/>
    </row>
    <row r="13" spans="1:19" ht="15" thickBot="1">
      <c r="A13" s="486" t="s">
        <v>815</v>
      </c>
      <c r="B13" s="487" t="s">
        <v>816</v>
      </c>
      <c r="C13" s="487" t="s">
        <v>817</v>
      </c>
      <c r="D13" s="487" t="s">
        <v>818</v>
      </c>
      <c r="E13" s="487" t="s">
        <v>819</v>
      </c>
      <c r="F13" s="487" t="s">
        <v>820</v>
      </c>
      <c r="G13" s="487" t="s">
        <v>821</v>
      </c>
      <c r="H13" s="487" t="s">
        <v>822</v>
      </c>
      <c r="I13" s="487" t="s">
        <v>823</v>
      </c>
      <c r="J13" s="488"/>
      <c r="K13" s="488"/>
    </row>
    <row r="14" spans="1:19" ht="15" thickBot="1">
      <c r="A14" s="486" t="s">
        <v>824</v>
      </c>
      <c r="B14" s="489">
        <v>37</v>
      </c>
      <c r="C14" s="490">
        <v>39</v>
      </c>
      <c r="D14" s="489">
        <v>23</v>
      </c>
      <c r="E14" s="489">
        <v>30</v>
      </c>
      <c r="F14" s="489">
        <v>27</v>
      </c>
      <c r="G14" s="489">
        <v>173</v>
      </c>
      <c r="H14" s="489">
        <v>91</v>
      </c>
      <c r="I14" s="489">
        <v>62</v>
      </c>
      <c r="J14" s="488"/>
      <c r="K14" s="488"/>
      <c r="R14" t="s">
        <v>841</v>
      </c>
      <c r="S14" t="s">
        <v>842</v>
      </c>
    </row>
    <row r="15" spans="1:19" ht="15" thickBot="1">
      <c r="A15" s="486" t="s">
        <v>825</v>
      </c>
      <c r="B15" s="489">
        <v>37</v>
      </c>
      <c r="C15" s="490">
        <v>84</v>
      </c>
      <c r="D15" s="489">
        <v>23</v>
      </c>
      <c r="E15" s="489">
        <v>37</v>
      </c>
      <c r="F15" s="489">
        <v>21</v>
      </c>
      <c r="G15" s="489">
        <v>60</v>
      </c>
      <c r="H15" s="489" t="s">
        <v>826</v>
      </c>
      <c r="I15" s="489">
        <v>21</v>
      </c>
      <c r="J15" s="488"/>
      <c r="K15" s="488"/>
      <c r="P15" s="174" t="s">
        <v>398</v>
      </c>
      <c r="Q15" s="174" t="s">
        <v>419</v>
      </c>
      <c r="R15" s="174" t="s">
        <v>474</v>
      </c>
    </row>
    <row r="16" spans="1:19" ht="15" thickBot="1">
      <c r="A16" s="486" t="s">
        <v>552</v>
      </c>
      <c r="B16" s="489">
        <v>92</v>
      </c>
      <c r="C16" s="489">
        <v>40</v>
      </c>
      <c r="D16" s="489">
        <v>31</v>
      </c>
      <c r="E16" s="490">
        <v>38</v>
      </c>
      <c r="F16" s="489">
        <v>30</v>
      </c>
      <c r="G16" s="489" t="s">
        <v>826</v>
      </c>
      <c r="H16" s="489" t="s">
        <v>826</v>
      </c>
      <c r="I16" s="489">
        <v>85</v>
      </c>
      <c r="J16" s="488"/>
      <c r="K16" s="488"/>
      <c r="P16" s="211" t="s">
        <v>402</v>
      </c>
      <c r="Q16" s="211" t="s">
        <v>403</v>
      </c>
      <c r="R16" s="213">
        <v>30.293604175298391</v>
      </c>
      <c r="S16" s="205">
        <f>E15</f>
        <v>37</v>
      </c>
    </row>
    <row r="17" spans="1:19" ht="14.25">
      <c r="A17" s="488"/>
      <c r="B17" s="488"/>
      <c r="C17" s="488"/>
      <c r="D17" s="488"/>
      <c r="E17" s="488"/>
      <c r="F17" s="488"/>
      <c r="G17" s="488"/>
      <c r="H17" s="488"/>
      <c r="I17" s="488"/>
      <c r="J17" s="488"/>
      <c r="K17" s="488"/>
      <c r="P17" s="211" t="s">
        <v>402</v>
      </c>
      <c r="Q17" s="211" t="s">
        <v>406</v>
      </c>
      <c r="R17" s="213">
        <v>49.93809837039052</v>
      </c>
      <c r="S17" s="205">
        <f>(D15*H53)+(C15*H52)</f>
        <v>31.100271002710024</v>
      </c>
    </row>
    <row r="18" spans="1:19">
      <c r="A18" s="588" t="s">
        <v>827</v>
      </c>
      <c r="B18" s="588"/>
      <c r="C18" s="574"/>
      <c r="D18" s="574"/>
      <c r="E18" s="574"/>
      <c r="F18" s="574"/>
      <c r="G18" s="574"/>
      <c r="H18" s="574"/>
      <c r="I18" s="574"/>
      <c r="J18" s="574"/>
      <c r="K18" s="574"/>
      <c r="P18" s="211" t="s">
        <v>402</v>
      </c>
      <c r="Q18" s="211" t="s">
        <v>408</v>
      </c>
      <c r="R18" s="213">
        <v>65.288335524774709</v>
      </c>
      <c r="S18" s="205">
        <f>B15</f>
        <v>37</v>
      </c>
    </row>
    <row r="19" spans="1:19" ht="13.5" thickBot="1">
      <c r="A19" s="589"/>
      <c r="B19" s="589"/>
      <c r="C19" s="575"/>
      <c r="D19" s="575"/>
      <c r="E19" s="575"/>
      <c r="F19" s="575"/>
      <c r="G19" s="575"/>
      <c r="H19" s="575"/>
      <c r="I19" s="575"/>
      <c r="J19" s="575"/>
      <c r="K19" s="575"/>
      <c r="P19" s="211" t="s">
        <v>405</v>
      </c>
      <c r="Q19" s="211" t="str">
        <f>Q16</f>
        <v>250 to 664 lumens</v>
      </c>
      <c r="R19" s="213">
        <v>26.990239958864436</v>
      </c>
      <c r="S19" s="205">
        <f>E14</f>
        <v>30</v>
      </c>
    </row>
    <row r="20" spans="1:19" ht="15" thickBot="1">
      <c r="A20" s="576" t="s">
        <v>824</v>
      </c>
      <c r="B20" s="577"/>
      <c r="C20" s="577"/>
      <c r="D20" s="577"/>
      <c r="E20" s="577"/>
      <c r="F20" s="577"/>
      <c r="G20" s="577"/>
      <c r="H20" s="577"/>
      <c r="I20" s="577"/>
      <c r="J20" s="577"/>
      <c r="K20" s="578"/>
      <c r="P20" s="211" t="s">
        <v>405</v>
      </c>
      <c r="Q20" s="211" t="str">
        <f t="shared" ref="Q20:Q30" si="0">Q17</f>
        <v>665 to 1439 lumens</v>
      </c>
      <c r="R20" s="213">
        <v>31.966570701812959</v>
      </c>
      <c r="S20" s="205">
        <f>D14*I53+C14*I52</f>
        <v>28.108457226419695</v>
      </c>
    </row>
    <row r="21" spans="1:19" ht="15" thickBot="1">
      <c r="A21" s="491" t="s">
        <v>492</v>
      </c>
      <c r="B21" s="492" t="s">
        <v>816</v>
      </c>
      <c r="C21" s="492" t="s">
        <v>817</v>
      </c>
      <c r="D21" s="492" t="s">
        <v>818</v>
      </c>
      <c r="E21" s="492" t="s">
        <v>819</v>
      </c>
      <c r="F21" s="493" t="s">
        <v>828</v>
      </c>
      <c r="G21" s="493" t="s">
        <v>829</v>
      </c>
      <c r="H21" s="493" t="s">
        <v>822</v>
      </c>
      <c r="I21" s="493" t="s">
        <v>830</v>
      </c>
      <c r="J21" s="493" t="s">
        <v>831</v>
      </c>
      <c r="K21" s="493" t="s">
        <v>832</v>
      </c>
      <c r="P21" s="211" t="s">
        <v>405</v>
      </c>
      <c r="Q21" s="211" t="str">
        <f t="shared" si="0"/>
        <v>1440 to 2600 lumens</v>
      </c>
      <c r="R21" s="213">
        <v>55.043951003536229</v>
      </c>
      <c r="S21" s="205">
        <f>B14</f>
        <v>37</v>
      </c>
    </row>
    <row r="22" spans="1:19" ht="17.25" thickBot="1">
      <c r="A22" s="494" t="s">
        <v>833</v>
      </c>
      <c r="B22" s="495">
        <v>0.62</v>
      </c>
      <c r="C22" s="495">
        <v>0.38</v>
      </c>
      <c r="D22" s="495">
        <v>0.52</v>
      </c>
      <c r="E22" s="495">
        <v>0.15</v>
      </c>
      <c r="F22" s="495">
        <v>0.06</v>
      </c>
      <c r="G22" s="495">
        <v>0.15</v>
      </c>
      <c r="H22" s="495">
        <v>0.11</v>
      </c>
      <c r="I22" s="495">
        <v>0.19</v>
      </c>
      <c r="J22" s="496">
        <v>0.39</v>
      </c>
      <c r="K22" s="496">
        <v>0.35</v>
      </c>
      <c r="P22" s="211" t="s">
        <v>407</v>
      </c>
      <c r="Q22" s="211" t="str">
        <f t="shared" si="0"/>
        <v>250 to 664 lumens</v>
      </c>
      <c r="R22" s="213">
        <v>27.628408307061477</v>
      </c>
      <c r="S22" s="205">
        <f>S16</f>
        <v>37</v>
      </c>
    </row>
    <row r="23" spans="1:19" ht="17.25" thickBot="1">
      <c r="A23" s="494" t="s">
        <v>834</v>
      </c>
      <c r="B23" s="495">
        <v>0.31</v>
      </c>
      <c r="C23" s="495">
        <v>0.51</v>
      </c>
      <c r="D23" s="495">
        <v>0.28000000000000003</v>
      </c>
      <c r="E23" s="495">
        <v>0.38</v>
      </c>
      <c r="F23" s="495">
        <v>0.05</v>
      </c>
      <c r="G23" s="495">
        <v>0</v>
      </c>
      <c r="H23" s="495">
        <v>0.05</v>
      </c>
      <c r="I23" s="495">
        <v>0.01</v>
      </c>
      <c r="J23" s="496">
        <v>0.35</v>
      </c>
      <c r="K23" s="496">
        <v>0.31</v>
      </c>
      <c r="P23" s="211" t="s">
        <v>407</v>
      </c>
      <c r="Q23" s="211" t="str">
        <f t="shared" si="0"/>
        <v>665 to 1439 lumens</v>
      </c>
      <c r="R23" s="213">
        <v>38.693179151043701</v>
      </c>
      <c r="S23" s="205">
        <f>S17</f>
        <v>31.100271002710024</v>
      </c>
    </row>
    <row r="24" spans="1:19" ht="17.25" thickBot="1">
      <c r="A24" s="494" t="s">
        <v>835</v>
      </c>
      <c r="B24" s="495">
        <v>0.02</v>
      </c>
      <c r="C24" s="495">
        <v>0.06</v>
      </c>
      <c r="D24" s="495">
        <v>7.0000000000000007E-2</v>
      </c>
      <c r="E24" s="495">
        <v>0.35</v>
      </c>
      <c r="F24" s="495">
        <v>0.81</v>
      </c>
      <c r="G24" s="495">
        <v>0.85</v>
      </c>
      <c r="H24" s="495">
        <v>0.82</v>
      </c>
      <c r="I24" s="495">
        <v>0.67</v>
      </c>
      <c r="J24" s="496">
        <v>0.15</v>
      </c>
      <c r="K24" s="496">
        <v>0.25</v>
      </c>
      <c r="P24" s="211" t="s">
        <v>407</v>
      </c>
      <c r="Q24" s="211" t="str">
        <f t="shared" si="0"/>
        <v>1440 to 2600 lumens</v>
      </c>
      <c r="R24" s="213">
        <v>68.147315547336973</v>
      </c>
      <c r="S24" s="205">
        <f>S18</f>
        <v>37</v>
      </c>
    </row>
    <row r="25" spans="1:19" ht="17.25" thickBot="1">
      <c r="A25" s="497" t="s">
        <v>1</v>
      </c>
      <c r="B25" s="498">
        <v>0.05</v>
      </c>
      <c r="C25" s="498">
        <v>0.05</v>
      </c>
      <c r="D25" s="498">
        <v>0.13</v>
      </c>
      <c r="E25" s="498">
        <v>0.12</v>
      </c>
      <c r="F25" s="498">
        <v>0.08</v>
      </c>
      <c r="G25" s="498">
        <v>0</v>
      </c>
      <c r="H25" s="498">
        <v>0.02</v>
      </c>
      <c r="I25" s="498">
        <v>0.12</v>
      </c>
      <c r="J25" s="499">
        <v>0.1</v>
      </c>
      <c r="K25" s="499">
        <v>0.1</v>
      </c>
      <c r="P25" s="211" t="s">
        <v>409</v>
      </c>
      <c r="Q25" s="211" t="str">
        <f t="shared" si="0"/>
        <v>250 to 664 lumens</v>
      </c>
      <c r="R25" s="213">
        <v>35.027427475412054</v>
      </c>
      <c r="S25" s="205">
        <f>E16</f>
        <v>38</v>
      </c>
    </row>
    <row r="26" spans="1:19" ht="15.75" thickTop="1" thickBot="1">
      <c r="A26" s="500" t="s">
        <v>295</v>
      </c>
      <c r="B26" s="501">
        <v>1</v>
      </c>
      <c r="C26" s="501">
        <v>1</v>
      </c>
      <c r="D26" s="501">
        <v>1</v>
      </c>
      <c r="E26" s="501">
        <v>1</v>
      </c>
      <c r="F26" s="501">
        <v>1</v>
      </c>
      <c r="G26" s="501">
        <v>1</v>
      </c>
      <c r="H26" s="501">
        <v>1</v>
      </c>
      <c r="I26" s="501">
        <v>1</v>
      </c>
      <c r="J26" s="502">
        <v>1</v>
      </c>
      <c r="K26" s="502">
        <v>1</v>
      </c>
      <c r="P26" s="211" t="s">
        <v>409</v>
      </c>
      <c r="Q26" s="211" t="str">
        <f t="shared" si="0"/>
        <v>665 to 1439 lumens</v>
      </c>
      <c r="R26" s="213">
        <v>53.74057672131584</v>
      </c>
      <c r="S26" s="205">
        <f>D16*J53+C16*J52</f>
        <v>33.801608579088473</v>
      </c>
    </row>
    <row r="27" spans="1:19" ht="15" thickBot="1">
      <c r="A27" s="579" t="s">
        <v>825</v>
      </c>
      <c r="B27" s="580"/>
      <c r="C27" s="580"/>
      <c r="D27" s="580"/>
      <c r="E27" s="580"/>
      <c r="F27" s="580"/>
      <c r="G27" s="580"/>
      <c r="H27" s="580"/>
      <c r="I27" s="580"/>
      <c r="J27" s="581"/>
      <c r="K27" s="488"/>
      <c r="P27" s="211" t="s">
        <v>409</v>
      </c>
      <c r="Q27" s="211" t="str">
        <f t="shared" si="0"/>
        <v>1440 to 2600 lumens</v>
      </c>
      <c r="R27" s="213">
        <v>83.756241841926268</v>
      </c>
      <c r="S27" s="205">
        <f>B16</f>
        <v>92</v>
      </c>
    </row>
    <row r="28" spans="1:19" ht="15" thickBot="1">
      <c r="A28" s="503" t="s">
        <v>492</v>
      </c>
      <c r="B28" s="504" t="s">
        <v>816</v>
      </c>
      <c r="C28" s="504" t="s">
        <v>817</v>
      </c>
      <c r="D28" s="504" t="s">
        <v>818</v>
      </c>
      <c r="E28" s="504" t="s">
        <v>819</v>
      </c>
      <c r="F28" s="505" t="s">
        <v>828</v>
      </c>
      <c r="G28" s="505" t="s">
        <v>829</v>
      </c>
      <c r="H28" s="506" t="s">
        <v>830</v>
      </c>
      <c r="I28" s="503" t="s">
        <v>831</v>
      </c>
      <c r="J28" s="505" t="s">
        <v>832</v>
      </c>
      <c r="K28" s="488"/>
      <c r="P28" s="211" t="s">
        <v>410</v>
      </c>
      <c r="Q28" s="211" t="str">
        <f t="shared" si="0"/>
        <v>250 to 664 lumens</v>
      </c>
      <c r="R28" s="213">
        <v>35.219500850194486</v>
      </c>
      <c r="S28" s="205">
        <f>H14</f>
        <v>91</v>
      </c>
    </row>
    <row r="29" spans="1:19" ht="15" thickBot="1">
      <c r="A29" s="494" t="s">
        <v>833</v>
      </c>
      <c r="B29" s="495">
        <v>0.81</v>
      </c>
      <c r="C29" s="495">
        <v>0.23</v>
      </c>
      <c r="D29" s="495">
        <v>0.36</v>
      </c>
      <c r="E29" s="495">
        <v>0.09</v>
      </c>
      <c r="F29" s="495">
        <v>0.02</v>
      </c>
      <c r="G29" s="495">
        <v>1</v>
      </c>
      <c r="H29" s="507">
        <v>0.01</v>
      </c>
      <c r="I29" s="508">
        <v>0.12</v>
      </c>
      <c r="J29" s="495">
        <v>0.06</v>
      </c>
      <c r="K29" s="488"/>
      <c r="P29" s="211" t="s">
        <v>410</v>
      </c>
      <c r="Q29" s="211" t="str">
        <f t="shared" si="0"/>
        <v>665 to 1439 lumens</v>
      </c>
      <c r="R29" s="213">
        <v>55.470723505169161</v>
      </c>
      <c r="S29" s="205">
        <f>S28</f>
        <v>91</v>
      </c>
    </row>
    <row r="30" spans="1:19" ht="15" thickBot="1">
      <c r="A30" s="494" t="s">
        <v>834</v>
      </c>
      <c r="B30" s="495">
        <v>0.1</v>
      </c>
      <c r="C30" s="495">
        <v>0</v>
      </c>
      <c r="D30" s="495">
        <v>0.59</v>
      </c>
      <c r="E30" s="495">
        <v>0.05</v>
      </c>
      <c r="F30" s="495">
        <v>0</v>
      </c>
      <c r="G30" s="495">
        <v>0</v>
      </c>
      <c r="H30" s="507">
        <v>0.01</v>
      </c>
      <c r="I30" s="508">
        <v>0.09</v>
      </c>
      <c r="J30" s="495">
        <v>0.04</v>
      </c>
      <c r="K30" s="488"/>
      <c r="P30" s="211" t="s">
        <v>410</v>
      </c>
      <c r="Q30" s="211" t="str">
        <f t="shared" si="0"/>
        <v>1440 to 2600 lumens</v>
      </c>
      <c r="R30" s="213">
        <v>113.19598490746485</v>
      </c>
      <c r="S30" s="205">
        <f>S28</f>
        <v>91</v>
      </c>
    </row>
    <row r="31" spans="1:19" ht="15" thickBot="1">
      <c r="A31" s="494" t="s">
        <v>835</v>
      </c>
      <c r="B31" s="495">
        <v>0.09</v>
      </c>
      <c r="C31" s="495">
        <v>0.77</v>
      </c>
      <c r="D31" s="495">
        <v>0.05</v>
      </c>
      <c r="E31" s="495">
        <v>0.7</v>
      </c>
      <c r="F31" s="495">
        <v>0.86</v>
      </c>
      <c r="G31" s="495">
        <v>0</v>
      </c>
      <c r="H31" s="507">
        <v>0.94</v>
      </c>
      <c r="I31" s="508">
        <v>0.65</v>
      </c>
      <c r="J31" s="495">
        <v>0.79</v>
      </c>
      <c r="K31" s="488"/>
    </row>
    <row r="32" spans="1:19" ht="15" thickBot="1">
      <c r="A32" s="494" t="s">
        <v>1</v>
      </c>
      <c r="B32" s="495">
        <v>0</v>
      </c>
      <c r="C32" s="495">
        <v>0</v>
      </c>
      <c r="D32" s="495">
        <v>0</v>
      </c>
      <c r="E32" s="495">
        <v>0.16</v>
      </c>
      <c r="F32" s="495">
        <v>0.12</v>
      </c>
      <c r="G32" s="495">
        <v>0</v>
      </c>
      <c r="H32" s="507">
        <v>0.04</v>
      </c>
      <c r="I32" s="509">
        <v>0.14000000000000001</v>
      </c>
      <c r="J32" s="510">
        <v>0.11</v>
      </c>
      <c r="K32" s="488"/>
    </row>
    <row r="33" spans="1:11" ht="15" thickBot="1">
      <c r="A33" s="494" t="s">
        <v>836</v>
      </c>
      <c r="B33" s="502">
        <v>1</v>
      </c>
      <c r="C33" s="502">
        <v>1</v>
      </c>
      <c r="D33" s="502">
        <v>1</v>
      </c>
      <c r="E33" s="502">
        <v>1</v>
      </c>
      <c r="F33" s="502">
        <v>1</v>
      </c>
      <c r="G33" s="502">
        <v>1</v>
      </c>
      <c r="H33" s="511">
        <v>1</v>
      </c>
      <c r="I33" s="512">
        <v>1</v>
      </c>
      <c r="J33" s="513"/>
      <c r="K33" s="488"/>
    </row>
    <row r="34" spans="1:11" ht="15" thickBot="1">
      <c r="A34" s="582" t="s">
        <v>552</v>
      </c>
      <c r="B34" s="583"/>
      <c r="C34" s="583"/>
      <c r="D34" s="583"/>
      <c r="E34" s="583"/>
      <c r="F34" s="583"/>
      <c r="G34" s="583"/>
      <c r="H34" s="583"/>
      <c r="I34" s="584"/>
      <c r="J34" s="488"/>
      <c r="K34" s="488"/>
    </row>
    <row r="35" spans="1:11" ht="15" thickBot="1">
      <c r="A35" s="514" t="s">
        <v>492</v>
      </c>
      <c r="B35" s="515" t="s">
        <v>816</v>
      </c>
      <c r="C35" s="515" t="s">
        <v>817</v>
      </c>
      <c r="D35" s="515" t="s">
        <v>818</v>
      </c>
      <c r="E35" s="515" t="s">
        <v>819</v>
      </c>
      <c r="F35" s="516" t="s">
        <v>828</v>
      </c>
      <c r="G35" s="517" t="s">
        <v>830</v>
      </c>
      <c r="H35" s="514" t="s">
        <v>831</v>
      </c>
      <c r="I35" s="516" t="s">
        <v>832</v>
      </c>
      <c r="J35" s="488"/>
      <c r="K35" s="488"/>
    </row>
    <row r="36" spans="1:11" ht="15" thickBot="1">
      <c r="A36" s="494" t="s">
        <v>833</v>
      </c>
      <c r="B36" s="495">
        <v>0</v>
      </c>
      <c r="C36" s="495">
        <v>0.26</v>
      </c>
      <c r="D36" s="495">
        <v>0.22</v>
      </c>
      <c r="E36" s="495">
        <v>0.11</v>
      </c>
      <c r="F36" s="495">
        <v>0</v>
      </c>
      <c r="G36" s="507">
        <v>0</v>
      </c>
      <c r="H36" s="508">
        <v>0.15</v>
      </c>
      <c r="I36" s="495">
        <v>0.12</v>
      </c>
      <c r="J36" s="488"/>
      <c r="K36" s="488"/>
    </row>
    <row r="37" spans="1:11" ht="15" thickBot="1">
      <c r="A37" s="494" t="s">
        <v>834</v>
      </c>
      <c r="B37" s="495">
        <v>0.86</v>
      </c>
      <c r="C37" s="495">
        <v>0.42</v>
      </c>
      <c r="D37" s="495">
        <v>0.11</v>
      </c>
      <c r="E37" s="495">
        <v>0.25</v>
      </c>
      <c r="F37" s="495">
        <v>0.37</v>
      </c>
      <c r="G37" s="507">
        <v>0.32</v>
      </c>
      <c r="H37" s="508">
        <v>0.27</v>
      </c>
      <c r="I37" s="495">
        <v>0.28000000000000003</v>
      </c>
      <c r="J37" s="488"/>
      <c r="K37" s="488"/>
    </row>
    <row r="38" spans="1:11" ht="15" thickBot="1">
      <c r="A38" s="494" t="s">
        <v>835</v>
      </c>
      <c r="B38" s="495">
        <v>0.13</v>
      </c>
      <c r="C38" s="495">
        <v>0.03</v>
      </c>
      <c r="D38" s="495">
        <v>0.12</v>
      </c>
      <c r="E38" s="495">
        <v>0.5</v>
      </c>
      <c r="F38" s="495">
        <v>0.53</v>
      </c>
      <c r="G38" s="507">
        <v>0.68</v>
      </c>
      <c r="H38" s="508">
        <v>0.31</v>
      </c>
      <c r="I38" s="495">
        <v>0.37</v>
      </c>
      <c r="J38" s="488"/>
      <c r="K38" s="488"/>
    </row>
    <row r="39" spans="1:11" ht="15" thickBot="1">
      <c r="A39" s="494" t="s">
        <v>1</v>
      </c>
      <c r="B39" s="495">
        <v>0.01</v>
      </c>
      <c r="C39" s="495">
        <v>0.28999999999999998</v>
      </c>
      <c r="D39" s="495">
        <v>0.54</v>
      </c>
      <c r="E39" s="495">
        <v>0.15</v>
      </c>
      <c r="F39" s="495">
        <v>0.1</v>
      </c>
      <c r="G39" s="507">
        <v>0.01</v>
      </c>
      <c r="H39" s="509">
        <v>0.27</v>
      </c>
      <c r="I39" s="510">
        <v>0.23</v>
      </c>
      <c r="J39" s="488"/>
      <c r="K39" s="488"/>
    </row>
    <row r="40" spans="1:11" ht="15" thickBot="1">
      <c r="A40" s="494" t="s">
        <v>836</v>
      </c>
      <c r="B40" s="502">
        <v>1</v>
      </c>
      <c r="C40" s="502">
        <v>1</v>
      </c>
      <c r="D40" s="502">
        <v>1</v>
      </c>
      <c r="E40" s="502">
        <v>1</v>
      </c>
      <c r="F40" s="502">
        <v>1</v>
      </c>
      <c r="G40" s="511">
        <v>1</v>
      </c>
      <c r="H40" s="512">
        <v>1</v>
      </c>
      <c r="I40" s="502">
        <v>1</v>
      </c>
      <c r="J40" s="488"/>
      <c r="K40" s="488"/>
    </row>
    <row r="41" spans="1:11" ht="15">
      <c r="A41" s="484"/>
    </row>
    <row r="50" spans="1:10" ht="15.75" thickBot="1">
      <c r="A50" s="590" t="s">
        <v>843</v>
      </c>
      <c r="B50" s="591" t="s">
        <v>825</v>
      </c>
      <c r="C50" s="592" t="s">
        <v>824</v>
      </c>
      <c r="D50" s="592" t="s">
        <v>552</v>
      </c>
      <c r="E50" s="590" t="s">
        <v>295</v>
      </c>
      <c r="H50" s="591" t="s">
        <v>825</v>
      </c>
      <c r="I50" s="592" t="s">
        <v>824</v>
      </c>
      <c r="J50" s="592" t="s">
        <v>552</v>
      </c>
    </row>
    <row r="51" spans="1:10" ht="15">
      <c r="A51" s="593" t="s">
        <v>844</v>
      </c>
      <c r="B51" s="594">
        <v>3.7000000000000002E-3</v>
      </c>
      <c r="C51" s="595">
        <v>0.1598</v>
      </c>
      <c r="D51" s="595">
        <v>4.4299999999999999E-2</v>
      </c>
      <c r="E51" s="595">
        <v>9.1800000000000007E-2</v>
      </c>
    </row>
    <row r="52" spans="1:10" ht="15">
      <c r="A52" s="593" t="s">
        <v>845</v>
      </c>
      <c r="B52" s="594">
        <v>4.8999999999999998E-3</v>
      </c>
      <c r="C52" s="595">
        <v>0.13100000000000001</v>
      </c>
      <c r="D52" s="595">
        <v>0.1045</v>
      </c>
      <c r="E52" s="595">
        <v>8.8400000000000006E-2</v>
      </c>
      <c r="G52" s="593" t="s">
        <v>845</v>
      </c>
      <c r="H52" s="435">
        <f>B52/(B$52+B$53)</f>
        <v>0.13279132791327913</v>
      </c>
      <c r="I52" s="435">
        <f>C52/(C$52+C$53)</f>
        <v>0.31927857665123083</v>
      </c>
      <c r="J52" s="435">
        <f>D52/(D$52+D$53)</f>
        <v>0.3112898421209413</v>
      </c>
    </row>
    <row r="53" spans="1:10" ht="15">
      <c r="A53" s="593" t="s">
        <v>846</v>
      </c>
      <c r="B53" s="594">
        <v>3.2000000000000001E-2</v>
      </c>
      <c r="C53" s="595">
        <v>0.27929999999999999</v>
      </c>
      <c r="D53" s="595">
        <v>0.23119999999999999</v>
      </c>
      <c r="E53" s="595">
        <v>0.19639999999999999</v>
      </c>
      <c r="G53" s="593" t="s">
        <v>846</v>
      </c>
      <c r="H53" s="435">
        <f>B53/(B$52+B$53)</f>
        <v>0.86720867208672081</v>
      </c>
      <c r="I53" s="435">
        <f t="shared" ref="I52:J53" si="1">C53/(C$52+C$53)</f>
        <v>0.68072142334876917</v>
      </c>
      <c r="J53" s="435">
        <f t="shared" si="1"/>
        <v>0.68871015787905865</v>
      </c>
    </row>
    <row r="54" spans="1:10" ht="15">
      <c r="A54" s="593" t="s">
        <v>847</v>
      </c>
      <c r="B54" s="594">
        <v>0.37469999999999998</v>
      </c>
      <c r="C54" s="595">
        <v>0.2787</v>
      </c>
      <c r="D54" s="595">
        <v>0.42159999999999997</v>
      </c>
      <c r="E54" s="595">
        <v>0.33360000000000001</v>
      </c>
    </row>
    <row r="55" spans="1:10" ht="15">
      <c r="A55" s="593" t="s">
        <v>848</v>
      </c>
      <c r="B55" s="594">
        <v>0.32169999999999999</v>
      </c>
      <c r="C55" s="595">
        <v>4.2900000000000001E-2</v>
      </c>
      <c r="D55" s="595">
        <v>7.3099999999999998E-2</v>
      </c>
      <c r="E55" s="595">
        <v>0.13189999999999999</v>
      </c>
    </row>
    <row r="56" spans="1:10" ht="15">
      <c r="A56" s="593" t="s">
        <v>849</v>
      </c>
      <c r="B56" s="594">
        <v>4.0000000000000002E-4</v>
      </c>
      <c r="C56" s="595">
        <v>1.9300000000000001E-2</v>
      </c>
      <c r="D56" s="595">
        <v>0</v>
      </c>
      <c r="E56" s="595">
        <v>1.01E-2</v>
      </c>
    </row>
    <row r="57" spans="1:10" ht="15">
      <c r="A57" s="593" t="s">
        <v>822</v>
      </c>
      <c r="B57" s="594">
        <v>0</v>
      </c>
      <c r="C57" s="595">
        <v>4.36E-2</v>
      </c>
      <c r="D57" s="595">
        <v>0</v>
      </c>
      <c r="E57" s="595">
        <v>2.2499999999999999E-2</v>
      </c>
    </row>
    <row r="58" spans="1:10" ht="15.75" thickBot="1">
      <c r="A58" s="593" t="s">
        <v>830</v>
      </c>
      <c r="B58" s="594">
        <v>0.2626</v>
      </c>
      <c r="C58" s="595">
        <v>4.5600000000000002E-2</v>
      </c>
      <c r="D58" s="595">
        <v>0.12529999999999999</v>
      </c>
      <c r="E58" s="595">
        <v>0.12520000000000001</v>
      </c>
    </row>
    <row r="59" spans="1:10" ht="15">
      <c r="A59" s="596" t="s">
        <v>295</v>
      </c>
      <c r="B59" s="597">
        <v>1</v>
      </c>
      <c r="C59" s="598">
        <v>1</v>
      </c>
      <c r="D59" s="598">
        <v>1</v>
      </c>
      <c r="E59" s="598">
        <v>1</v>
      </c>
    </row>
  </sheetData>
  <mergeCells count="14">
    <mergeCell ref="A12:I12"/>
    <mergeCell ref="A18:B19"/>
    <mergeCell ref="C18:C19"/>
    <mergeCell ref="D18:D19"/>
    <mergeCell ref="E18:E19"/>
    <mergeCell ref="F18:F19"/>
    <mergeCell ref="G18:G19"/>
    <mergeCell ref="H18:H19"/>
    <mergeCell ref="I18:I19"/>
    <mergeCell ref="J18:J19"/>
    <mergeCell ref="K18:K19"/>
    <mergeCell ref="A20:K20"/>
    <mergeCell ref="A27:J27"/>
    <mergeCell ref="A34:I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dimension ref="A1:CB197"/>
  <sheetViews>
    <sheetView topLeftCell="B1" workbookViewId="0">
      <selection activeCell="E13" sqref="E13:E16"/>
    </sheetView>
  </sheetViews>
  <sheetFormatPr defaultRowHeight="12.75"/>
  <cols>
    <col min="1" max="1" width="35" style="1" customWidth="1"/>
    <col min="2" max="2" width="29.28515625" style="1" customWidth="1"/>
    <col min="3" max="3" width="19.85546875" style="1" customWidth="1"/>
    <col min="4" max="4" width="50.5703125" style="1" customWidth="1"/>
    <col min="5" max="5" width="10.7109375" style="1" customWidth="1"/>
    <col min="6" max="25" width="9.5703125" style="1" bestFit="1" customWidth="1"/>
    <col min="26" max="28" width="9.140625" style="1"/>
    <col min="29" max="29" width="21.7109375" style="1" customWidth="1"/>
    <col min="30" max="30" width="35.85546875" style="1" customWidth="1"/>
    <col min="31" max="31" width="35.28515625" style="1" customWidth="1"/>
    <col min="32" max="32" width="15" style="1" customWidth="1"/>
    <col min="33" max="33" width="17.7109375" style="1" customWidth="1"/>
    <col min="34" max="34" width="15.140625" style="1" customWidth="1"/>
    <col min="35" max="35" width="15.7109375" style="1" customWidth="1"/>
    <col min="36" max="36" width="21.28515625" style="1" customWidth="1"/>
    <col min="37" max="37" width="17.7109375" style="1" bestFit="1" customWidth="1"/>
    <col min="38" max="38" width="15.42578125" style="1" bestFit="1" customWidth="1"/>
    <col min="39" max="39" width="14.28515625" style="1" bestFit="1" customWidth="1"/>
    <col min="40" max="40" width="14.28515625" style="1" customWidth="1"/>
    <col min="41" max="41" width="12.5703125" style="1" customWidth="1"/>
    <col min="42" max="42" width="14" style="1" bestFit="1" customWidth="1"/>
    <col min="43" max="44" width="10.85546875" style="1" bestFit="1" customWidth="1"/>
    <col min="45" max="45" width="13.42578125" style="1" customWidth="1"/>
    <col min="46" max="46" width="11.85546875" style="1" bestFit="1" customWidth="1"/>
    <col min="47" max="47" width="11" style="1" bestFit="1" customWidth="1"/>
    <col min="48" max="48" width="14.28515625" style="1" bestFit="1" customWidth="1"/>
    <col min="49" max="49" width="10.7109375" style="1" customWidth="1"/>
    <col min="50" max="50" width="13.85546875" style="1" bestFit="1" customWidth="1"/>
    <col min="51" max="51" width="11.7109375" style="1" bestFit="1" customWidth="1"/>
    <col min="52" max="52" width="15.28515625" style="1" bestFit="1" customWidth="1"/>
    <col min="53" max="55" width="12.28515625" style="1" bestFit="1" customWidth="1"/>
    <col min="56" max="56" width="12.5703125" style="1" bestFit="1" customWidth="1"/>
    <col min="57" max="59" width="14.28515625" style="1" bestFit="1" customWidth="1"/>
    <col min="60" max="60" width="13.7109375" style="1" bestFit="1" customWidth="1"/>
    <col min="61" max="61" width="14" style="1" bestFit="1" customWidth="1"/>
    <col min="62" max="62" width="12.85546875" style="1" bestFit="1" customWidth="1"/>
    <col min="63" max="63" width="15.28515625" style="1" bestFit="1" customWidth="1"/>
    <col min="64" max="64" width="12.28515625" style="1" bestFit="1" customWidth="1"/>
    <col min="65" max="65" width="10.85546875" style="1" bestFit="1" customWidth="1"/>
    <col min="66" max="66" width="12.28515625" style="1" bestFit="1" customWidth="1"/>
    <col min="67" max="67" width="12.5703125" style="1" bestFit="1" customWidth="1"/>
    <col min="68" max="16384" width="9.140625" style="1"/>
  </cols>
  <sheetData>
    <row r="1" spans="1:69">
      <c r="A1" s="54" t="s">
        <v>59</v>
      </c>
      <c r="B1" s="518" t="s">
        <v>60</v>
      </c>
      <c r="C1" s="518"/>
      <c r="D1" s="518"/>
      <c r="E1" s="518"/>
      <c r="F1" s="518"/>
      <c r="G1" s="518"/>
      <c r="H1" s="518"/>
      <c r="I1" s="518"/>
      <c r="J1" s="518"/>
      <c r="K1" s="518"/>
      <c r="L1" s="518"/>
      <c r="M1" s="518"/>
      <c r="N1" s="518"/>
      <c r="O1" s="518"/>
      <c r="P1" s="518"/>
      <c r="Q1" s="518"/>
      <c r="R1" s="518"/>
      <c r="S1" s="518"/>
      <c r="T1" s="518"/>
    </row>
    <row r="2" spans="1:69">
      <c r="A2" s="55" t="s">
        <v>61</v>
      </c>
      <c r="B2" s="518"/>
      <c r="C2" s="518"/>
      <c r="D2" s="518"/>
      <c r="E2" s="518"/>
      <c r="F2" s="518"/>
      <c r="G2" s="518"/>
      <c r="H2" s="518"/>
      <c r="I2" s="518"/>
      <c r="J2" s="518"/>
      <c r="K2" s="518"/>
      <c r="L2" s="518"/>
      <c r="M2" s="518"/>
      <c r="N2" s="518"/>
      <c r="O2" s="518"/>
      <c r="P2" s="518"/>
      <c r="Q2" s="518"/>
      <c r="R2" s="518"/>
      <c r="S2" s="518"/>
      <c r="T2" s="518"/>
    </row>
    <row r="3" spans="1:69">
      <c r="B3" s="518"/>
      <c r="C3" s="518"/>
      <c r="D3" s="518"/>
      <c r="E3" s="518"/>
      <c r="F3" s="518"/>
      <c r="G3" s="518"/>
      <c r="H3" s="518"/>
      <c r="I3" s="518"/>
      <c r="J3" s="518"/>
      <c r="K3" s="518"/>
      <c r="L3" s="518"/>
      <c r="M3" s="518"/>
      <c r="N3" s="518"/>
      <c r="O3" s="518"/>
      <c r="P3" s="518"/>
      <c r="Q3" s="518"/>
      <c r="R3" s="518"/>
      <c r="S3" s="518"/>
      <c r="T3" s="518"/>
    </row>
    <row r="4" spans="1:69">
      <c r="B4" s="518"/>
      <c r="C4" s="518"/>
      <c r="D4" s="518"/>
      <c r="E4" s="518"/>
      <c r="F4" s="518"/>
      <c r="G4" s="518"/>
      <c r="H4" s="518"/>
      <c r="I4" s="518"/>
      <c r="J4" s="518"/>
      <c r="K4" s="518"/>
      <c r="L4" s="518"/>
      <c r="M4" s="518"/>
      <c r="N4" s="518"/>
      <c r="O4" s="518"/>
      <c r="P4" s="518"/>
      <c r="Q4" s="518"/>
      <c r="R4" s="518"/>
      <c r="S4" s="518"/>
      <c r="T4" s="518"/>
    </row>
    <row r="5" spans="1:69">
      <c r="B5" s="518"/>
      <c r="C5" s="518"/>
      <c r="D5" s="518"/>
      <c r="E5" s="518"/>
      <c r="F5" s="518"/>
      <c r="G5" s="518"/>
      <c r="H5" s="518"/>
      <c r="I5" s="518"/>
      <c r="J5" s="518"/>
      <c r="K5" s="518"/>
      <c r="L5" s="518"/>
      <c r="M5" s="518"/>
      <c r="N5" s="518"/>
      <c r="O5" s="518"/>
      <c r="P5" s="518"/>
      <c r="Q5" s="518"/>
      <c r="R5" s="518"/>
      <c r="S5" s="518"/>
      <c r="T5" s="518"/>
    </row>
    <row r="6" spans="1:69">
      <c r="B6" s="518"/>
      <c r="C6" s="518"/>
      <c r="D6" s="518"/>
      <c r="E6" s="518"/>
      <c r="F6" s="518"/>
      <c r="G6" s="518"/>
      <c r="H6" s="518"/>
      <c r="I6" s="518"/>
      <c r="J6" s="518"/>
      <c r="K6" s="518"/>
      <c r="L6" s="518"/>
      <c r="M6" s="518"/>
      <c r="N6" s="518"/>
      <c r="O6" s="518"/>
      <c r="P6" s="518"/>
      <c r="Q6" s="518"/>
      <c r="R6" s="518"/>
      <c r="S6" s="518"/>
      <c r="T6" s="518"/>
    </row>
    <row r="7" spans="1:69">
      <c r="A7" s="481"/>
      <c r="B7" s="481" t="s">
        <v>62</v>
      </c>
      <c r="C7" s="56" t="s">
        <v>63</v>
      </c>
      <c r="D7" s="56" t="s">
        <v>63</v>
      </c>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row>
    <row r="8" spans="1:69">
      <c r="A8" s="481" t="s">
        <v>810</v>
      </c>
      <c r="B8" s="481" t="s">
        <v>64</v>
      </c>
      <c r="C8" s="56" t="str">
        <f>[2]MLIST!$B$9</f>
        <v>Lighting</v>
      </c>
      <c r="D8" s="56" t="str">
        <f>[1]!switch_ForecastState</f>
        <v>Region</v>
      </c>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row>
    <row r="9" spans="1:69">
      <c r="A9" s="481" t="str">
        <f>INDEX([2]ACHIEV!$A$19:$B$100,MATCH(CONCATENATE($C$8," - ",$C$7),[2]ACHIEV!$B$19:$B$100,0),1)</f>
        <v>Lighting</v>
      </c>
      <c r="B9" s="482" t="s">
        <v>65</v>
      </c>
      <c r="C9" s="56">
        <f>[2]FILES!$H$4</f>
        <v>2035</v>
      </c>
      <c r="D9" s="56" t="str">
        <f>[1]!switch_ForecastScenario</f>
        <v>Base</v>
      </c>
      <c r="E9" s="58"/>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row>
    <row r="10" spans="1:69">
      <c r="A10" s="481"/>
      <c r="B10" s="481" t="s">
        <v>813</v>
      </c>
      <c r="C10" s="483">
        <f>MIN(SUM(E105:X105),Y105)</f>
        <v>1.354329375982686</v>
      </c>
      <c r="D10" s="59"/>
      <c r="E10" s="58"/>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row>
    <row r="11" spans="1:69" ht="15">
      <c r="A11" s="60" t="str">
        <f>CONCATENATE("# HOMES AVAILABLE FOR MEASURE -",$C$8)</f>
        <v># HOMES AVAILABLE FOR MEASURE -Lighting</v>
      </c>
      <c r="B11" s="60"/>
      <c r="C11" s="1" t="s">
        <v>66</v>
      </c>
      <c r="E11" s="67">
        <v>2016</v>
      </c>
      <c r="F11" s="67">
        <v>2017</v>
      </c>
      <c r="G11" s="67">
        <v>2018</v>
      </c>
      <c r="H11" s="67">
        <v>2019</v>
      </c>
      <c r="I11" s="67">
        <v>2020</v>
      </c>
      <c r="J11" s="67">
        <v>2021</v>
      </c>
      <c r="K11" s="67">
        <v>2022</v>
      </c>
      <c r="L11" s="67">
        <v>2023</v>
      </c>
      <c r="M11" s="67">
        <v>2024</v>
      </c>
      <c r="N11" s="67">
        <v>2025</v>
      </c>
      <c r="O11" s="67">
        <v>2026</v>
      </c>
      <c r="P11" s="67">
        <v>2027</v>
      </c>
      <c r="Q11" s="67">
        <v>2028</v>
      </c>
      <c r="R11" s="67">
        <v>2029</v>
      </c>
      <c r="S11" s="67">
        <v>2030</v>
      </c>
      <c r="T11" s="67">
        <v>2031</v>
      </c>
      <c r="U11" s="67">
        <v>2032</v>
      </c>
      <c r="V11" s="67">
        <v>2033</v>
      </c>
      <c r="W11" s="67">
        <v>2034</v>
      </c>
      <c r="X11" s="67">
        <v>2035</v>
      </c>
      <c r="Y11" s="67"/>
      <c r="Z11" s="67"/>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row>
    <row r="12" spans="1:69" ht="15">
      <c r="E12" s="69" t="str">
        <f>CONCATENATE("Homes_",E11)</f>
        <v>Homes_2016</v>
      </c>
      <c r="F12" s="69" t="str">
        <f t="shared" ref="F12:X12" si="0">CONCATENATE("Homes_",F11)</f>
        <v>Homes_2017</v>
      </c>
      <c r="G12" s="69" t="str">
        <f t="shared" si="0"/>
        <v>Homes_2018</v>
      </c>
      <c r="H12" s="69" t="str">
        <f t="shared" si="0"/>
        <v>Homes_2019</v>
      </c>
      <c r="I12" s="69" t="str">
        <f t="shared" si="0"/>
        <v>Homes_2020</v>
      </c>
      <c r="J12" s="69" t="str">
        <f t="shared" si="0"/>
        <v>Homes_2021</v>
      </c>
      <c r="K12" s="69" t="str">
        <f t="shared" si="0"/>
        <v>Homes_2022</v>
      </c>
      <c r="L12" s="69" t="str">
        <f t="shared" si="0"/>
        <v>Homes_2023</v>
      </c>
      <c r="M12" s="69" t="str">
        <f t="shared" si="0"/>
        <v>Homes_2024</v>
      </c>
      <c r="N12" s="69" t="str">
        <f t="shared" si="0"/>
        <v>Homes_2025</v>
      </c>
      <c r="O12" s="69" t="str">
        <f t="shared" si="0"/>
        <v>Homes_2026</v>
      </c>
      <c r="P12" s="69" t="str">
        <f t="shared" si="0"/>
        <v>Homes_2027</v>
      </c>
      <c r="Q12" s="69" t="str">
        <f t="shared" si="0"/>
        <v>Homes_2028</v>
      </c>
      <c r="R12" s="69" t="str">
        <f t="shared" si="0"/>
        <v>Homes_2029</v>
      </c>
      <c r="S12" s="69" t="str">
        <f t="shared" si="0"/>
        <v>Homes_2030</v>
      </c>
      <c r="T12" s="69" t="str">
        <f t="shared" si="0"/>
        <v>Homes_2031</v>
      </c>
      <c r="U12" s="69" t="str">
        <f t="shared" si="0"/>
        <v>Homes_2032</v>
      </c>
      <c r="V12" s="69" t="str">
        <f t="shared" si="0"/>
        <v>Homes_2033</v>
      </c>
      <c r="W12" s="69" t="str">
        <f t="shared" si="0"/>
        <v>Homes_2034</v>
      </c>
      <c r="X12" s="69" t="str">
        <f t="shared" si="0"/>
        <v>Homes_2035</v>
      </c>
      <c r="Y12" s="70"/>
      <c r="Z12" s="69"/>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row>
    <row r="13" spans="1:69">
      <c r="B13" s="1" t="s">
        <v>63</v>
      </c>
      <c r="C13" s="1" t="s">
        <v>29</v>
      </c>
      <c r="E13" s="31">
        <f>INDEX([1]!tbl_Forecast,MATCH($D$8&amp;$C13&amp;$D$7,[1]!rng_ForecastRowLookup,0),MATCH(E$11,[1]!rng_ForecastColumnLookup,0))</f>
        <v>62685.758999999998</v>
      </c>
      <c r="F13" s="31"/>
      <c r="G13" s="31"/>
      <c r="H13" s="31"/>
      <c r="I13" s="31"/>
      <c r="J13" s="31"/>
      <c r="K13" s="31"/>
      <c r="L13" s="31"/>
      <c r="M13" s="31"/>
      <c r="N13" s="31"/>
      <c r="O13" s="31"/>
      <c r="P13" s="31"/>
      <c r="Q13" s="31"/>
      <c r="R13" s="31"/>
      <c r="S13" s="31"/>
      <c r="T13" s="31"/>
      <c r="U13" s="31"/>
      <c r="V13" s="31"/>
      <c r="W13" s="31"/>
      <c r="X13" s="31"/>
      <c r="Y13" s="31"/>
      <c r="Z13" s="31"/>
      <c r="AA13" s="31">
        <f>SUM(E13:X13)</f>
        <v>62685.758999999998</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row>
    <row r="14" spans="1:69">
      <c r="B14" s="1" t="s">
        <v>63</v>
      </c>
      <c r="C14" s="1" t="s">
        <v>32</v>
      </c>
      <c r="E14" s="31">
        <f>INDEX([1]!tbl_Forecast,MATCH($D$8&amp;$C14&amp;$D$7,[1]!rng_ForecastRowLookup,0),MATCH(E$11,[1]!rng_ForecastColumnLookup,0))</f>
        <v>23280.347100904564</v>
      </c>
      <c r="F14" s="31"/>
      <c r="G14" s="31"/>
      <c r="H14" s="31"/>
      <c r="I14" s="31"/>
      <c r="J14" s="31"/>
      <c r="K14" s="31"/>
      <c r="L14" s="31"/>
      <c r="M14" s="31"/>
      <c r="N14" s="31"/>
      <c r="O14" s="31"/>
      <c r="P14" s="31"/>
      <c r="Q14" s="31"/>
      <c r="R14" s="31"/>
      <c r="S14" s="31"/>
      <c r="T14" s="31"/>
      <c r="U14" s="31"/>
      <c r="V14" s="31"/>
      <c r="W14" s="31"/>
      <c r="X14" s="31"/>
      <c r="Y14" s="31"/>
      <c r="Z14" s="31"/>
      <c r="AA14" s="31">
        <f t="shared" ref="AA14:AA16" si="1">SUM(E14:X14)</f>
        <v>23280.347100904564</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row>
    <row r="15" spans="1:69">
      <c r="B15" s="1" t="s">
        <v>63</v>
      </c>
      <c r="C15" s="1" t="s">
        <v>33</v>
      </c>
      <c r="E15" s="31">
        <f>INDEX([1]!tbl_Forecast,MATCH($D$8&amp;$C15&amp;$D$7,[1]!rng_ForecastRowLookup,0),MATCH(E$11,[1]!rng_ForecastColumnLookup,0))</f>
        <v>5226.2387411561367</v>
      </c>
      <c r="F15" s="31"/>
      <c r="G15" s="31"/>
      <c r="H15" s="31"/>
      <c r="I15" s="31"/>
      <c r="J15" s="31"/>
      <c r="K15" s="31"/>
      <c r="L15" s="31"/>
      <c r="M15" s="31"/>
      <c r="N15" s="31"/>
      <c r="O15" s="31"/>
      <c r="P15" s="31"/>
      <c r="Q15" s="31"/>
      <c r="R15" s="31"/>
      <c r="S15" s="31"/>
      <c r="T15" s="31"/>
      <c r="U15" s="31"/>
      <c r="V15" s="31"/>
      <c r="W15" s="31"/>
      <c r="X15" s="31"/>
      <c r="Y15" s="31"/>
      <c r="Z15" s="31"/>
      <c r="AA15" s="31">
        <f t="shared" si="1"/>
        <v>5226.2387411561367</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row>
    <row r="16" spans="1:69">
      <c r="B16" s="1" t="s">
        <v>63</v>
      </c>
      <c r="C16" s="1" t="s">
        <v>30</v>
      </c>
      <c r="E16" s="31">
        <f>INDEX([1]!tbl_Forecast,MATCH($D$8&amp;$C16&amp;$D$7,[1]!rng_ForecastRowLookup,0),MATCH(E$11,[1]!rng_ForecastColumnLookup,0))</f>
        <v>1869.5754050925925</v>
      </c>
      <c r="F16" s="31"/>
      <c r="G16" s="31"/>
      <c r="H16" s="31"/>
      <c r="I16" s="31"/>
      <c r="J16" s="31"/>
      <c r="K16" s="31"/>
      <c r="L16" s="31"/>
      <c r="M16" s="31"/>
      <c r="N16" s="31"/>
      <c r="O16" s="31"/>
      <c r="P16" s="31"/>
      <c r="Q16" s="31"/>
      <c r="R16" s="31"/>
      <c r="S16" s="31"/>
      <c r="T16" s="31"/>
      <c r="U16" s="31"/>
      <c r="V16" s="31"/>
      <c r="W16" s="31"/>
      <c r="X16" s="31"/>
      <c r="Y16" s="31"/>
      <c r="Z16" s="31"/>
      <c r="AA16" s="31">
        <f t="shared" si="1"/>
        <v>1869.5754050925925</v>
      </c>
    </row>
    <row r="17" spans="1:27">
      <c r="E17" s="31"/>
      <c r="F17" s="31"/>
      <c r="G17" s="31"/>
      <c r="H17" s="31"/>
      <c r="I17" s="31"/>
      <c r="J17" s="31"/>
      <c r="K17" s="31"/>
      <c r="L17" s="31"/>
      <c r="M17" s="31"/>
      <c r="N17" s="31"/>
      <c r="O17" s="31"/>
      <c r="P17" s="31"/>
      <c r="Q17" s="31"/>
      <c r="R17" s="31"/>
      <c r="S17" s="31"/>
      <c r="T17" s="31"/>
      <c r="U17" s="31"/>
      <c r="V17" s="31"/>
      <c r="W17" s="31"/>
      <c r="X17" s="31"/>
      <c r="Y17" s="31"/>
    </row>
    <row r="18" spans="1:27">
      <c r="B18" s="1" t="s">
        <v>67</v>
      </c>
      <c r="C18" s="1" t="s">
        <v>68</v>
      </c>
      <c r="E18" s="31">
        <f t="shared" ref="E18:X18" si="2">SUM(E13:E16)</f>
        <v>93061.920247153292</v>
      </c>
      <c r="F18" s="31">
        <f t="shared" si="2"/>
        <v>0</v>
      </c>
      <c r="G18" s="31">
        <f t="shared" si="2"/>
        <v>0</v>
      </c>
      <c r="H18" s="31">
        <f t="shared" si="2"/>
        <v>0</v>
      </c>
      <c r="I18" s="31">
        <f t="shared" si="2"/>
        <v>0</v>
      </c>
      <c r="J18" s="31">
        <f t="shared" si="2"/>
        <v>0</v>
      </c>
      <c r="K18" s="31">
        <f t="shared" si="2"/>
        <v>0</v>
      </c>
      <c r="L18" s="31">
        <f t="shared" si="2"/>
        <v>0</v>
      </c>
      <c r="M18" s="31">
        <f t="shared" si="2"/>
        <v>0</v>
      </c>
      <c r="N18" s="31">
        <f t="shared" si="2"/>
        <v>0</v>
      </c>
      <c r="O18" s="31">
        <f t="shared" si="2"/>
        <v>0</v>
      </c>
      <c r="P18" s="31">
        <f t="shared" si="2"/>
        <v>0</v>
      </c>
      <c r="Q18" s="31">
        <f t="shared" si="2"/>
        <v>0</v>
      </c>
      <c r="R18" s="31">
        <f t="shared" si="2"/>
        <v>0</v>
      </c>
      <c r="S18" s="31">
        <f t="shared" si="2"/>
        <v>0</v>
      </c>
      <c r="T18" s="31">
        <f t="shared" si="2"/>
        <v>0</v>
      </c>
      <c r="U18" s="31">
        <f t="shared" si="2"/>
        <v>0</v>
      </c>
      <c r="V18" s="31">
        <f t="shared" si="2"/>
        <v>0</v>
      </c>
      <c r="W18" s="31">
        <f t="shared" si="2"/>
        <v>0</v>
      </c>
      <c r="X18" s="31">
        <f t="shared" si="2"/>
        <v>0</v>
      </c>
      <c r="Y18" s="31"/>
      <c r="AA18" s="31">
        <f>SUM(E18:X18)</f>
        <v>93061.920247153292</v>
      </c>
    </row>
    <row r="19" spans="1:27">
      <c r="E19" s="31"/>
      <c r="F19" s="31"/>
      <c r="G19" s="31"/>
      <c r="H19" s="31"/>
      <c r="I19" s="31"/>
      <c r="J19" s="31"/>
      <c r="K19" s="31"/>
      <c r="L19" s="31"/>
      <c r="M19" s="31"/>
      <c r="N19" s="31"/>
      <c r="O19" s="31"/>
      <c r="P19" s="31"/>
      <c r="Q19" s="31"/>
      <c r="R19" s="31"/>
      <c r="S19" s="31"/>
      <c r="T19" s="31"/>
      <c r="U19" s="31"/>
      <c r="V19" s="31"/>
      <c r="W19" s="31"/>
      <c r="X19" s="31"/>
      <c r="Y19" s="31"/>
    </row>
    <row r="20" spans="1:27">
      <c r="E20" s="31"/>
      <c r="F20" s="31"/>
      <c r="G20" s="31"/>
      <c r="H20" s="31"/>
      <c r="I20" s="31"/>
      <c r="J20" s="31"/>
      <c r="K20" s="31"/>
      <c r="L20" s="31"/>
      <c r="M20" s="31"/>
      <c r="N20" s="31"/>
      <c r="O20" s="31"/>
      <c r="P20" s="31"/>
      <c r="Q20" s="31"/>
      <c r="R20" s="31"/>
      <c r="S20" s="31"/>
      <c r="T20" s="31"/>
      <c r="U20" s="31"/>
      <c r="V20" s="31"/>
      <c r="W20" s="31"/>
      <c r="X20" s="31"/>
      <c r="Y20" s="31"/>
    </row>
    <row r="21" spans="1:27" ht="15">
      <c r="A21" s="60" t="str">
        <f>CONCATENATE("# HOMES APPLICABLE BY YEAR FOR MEASURE - ",C22)</f>
        <v># HOMES APPLICABLE BY YEAR FOR MEASURE - Lighting - New</v>
      </c>
      <c r="B21" s="60"/>
      <c r="E21" s="31"/>
      <c r="F21" s="31"/>
      <c r="G21" s="31"/>
      <c r="H21" s="31"/>
      <c r="I21" s="31"/>
      <c r="J21" s="31"/>
      <c r="K21" s="31"/>
      <c r="L21" s="31"/>
      <c r="M21" s="31"/>
      <c r="N21" s="31"/>
      <c r="O21" s="31"/>
      <c r="P21" s="31"/>
      <c r="Q21" s="31"/>
      <c r="R21" s="31"/>
      <c r="S21" s="31"/>
      <c r="T21" s="31"/>
      <c r="U21" s="31"/>
      <c r="V21" s="31"/>
      <c r="W21" s="31"/>
      <c r="X21" s="31"/>
      <c r="Y21" s="31"/>
    </row>
    <row r="22" spans="1:27" ht="15">
      <c r="A22" s="61" t="s">
        <v>69</v>
      </c>
      <c r="B22" s="61" t="s">
        <v>70</v>
      </c>
      <c r="C22" s="61" t="str">
        <f>CONCATENATE(C8," - ",C7)</f>
        <v>Lighting - New</v>
      </c>
      <c r="D22" s="61"/>
    </row>
    <row r="23" spans="1:27">
      <c r="A23" s="62">
        <f>INDEX([2]!ResApplic,MATCH($C$22,[2]APPLIC!$B$9:$B$120,0)+1,MATCH($C23,[2]APPLIC!$C$8:$F$8,0)+1)</f>
        <v>1</v>
      </c>
      <c r="B23" s="139">
        <f>VLOOKUP($C$8,[2]!NewSat,MATCH($C23,[2]SATS!$C$10:$F$10,0)+1,FALSE)</f>
        <v>77</v>
      </c>
      <c r="C23" s="1" t="str">
        <f>C13</f>
        <v>Single Family</v>
      </c>
      <c r="E23" s="31">
        <f>E13*$A23*$B23</f>
        <v>4826803.443</v>
      </c>
      <c r="F23" s="31">
        <f t="shared" ref="F23:X26" si="3">F13*$A23*$B23</f>
        <v>0</v>
      </c>
      <c r="G23" s="31">
        <f t="shared" si="3"/>
        <v>0</v>
      </c>
      <c r="H23" s="31">
        <f t="shared" si="3"/>
        <v>0</v>
      </c>
      <c r="I23" s="31">
        <f t="shared" si="3"/>
        <v>0</v>
      </c>
      <c r="J23" s="31">
        <f t="shared" si="3"/>
        <v>0</v>
      </c>
      <c r="K23" s="31">
        <f t="shared" si="3"/>
        <v>0</v>
      </c>
      <c r="L23" s="31">
        <f t="shared" si="3"/>
        <v>0</v>
      </c>
      <c r="M23" s="31">
        <f t="shared" si="3"/>
        <v>0</v>
      </c>
      <c r="N23" s="31">
        <f t="shared" si="3"/>
        <v>0</v>
      </c>
      <c r="O23" s="31">
        <f t="shared" si="3"/>
        <v>0</v>
      </c>
      <c r="P23" s="31">
        <f t="shared" si="3"/>
        <v>0</v>
      </c>
      <c r="Q23" s="31">
        <f t="shared" si="3"/>
        <v>0</v>
      </c>
      <c r="R23" s="31">
        <f t="shared" si="3"/>
        <v>0</v>
      </c>
      <c r="S23" s="31">
        <f t="shared" si="3"/>
        <v>0</v>
      </c>
      <c r="T23" s="31">
        <f t="shared" si="3"/>
        <v>0</v>
      </c>
      <c r="U23" s="31">
        <f t="shared" si="3"/>
        <v>0</v>
      </c>
      <c r="V23" s="31">
        <f t="shared" si="3"/>
        <v>0</v>
      </c>
      <c r="W23" s="31">
        <f t="shared" si="3"/>
        <v>0</v>
      </c>
      <c r="X23" s="31">
        <f t="shared" si="3"/>
        <v>0</v>
      </c>
      <c r="Y23" s="31"/>
      <c r="AA23" s="31">
        <f t="shared" ref="AA23:AA26" si="4">SUM(E23:Y23)</f>
        <v>4826803.443</v>
      </c>
    </row>
    <row r="24" spans="1:27">
      <c r="A24" s="62">
        <f>INDEX([2]!ResApplic,MATCH($C$22,[2]APPLIC!$B$9:$B$120,0)+1,MATCH($C24,[2]APPLIC!$C$8:$F$8,0)+1)</f>
        <v>1</v>
      </c>
      <c r="B24" s="139">
        <f>VLOOKUP($C$8,[2]!NewSat,MATCH($C24,[2]SATS!$C$10:$F$10,0)+1,FALSE)</f>
        <v>23</v>
      </c>
      <c r="C24" s="1" t="str">
        <f>C14</f>
        <v>Multifamily - Low Rise</v>
      </c>
      <c r="E24" s="31">
        <f t="shared" ref="E24:T26" si="5">E14*$A24*$B24</f>
        <v>535447.98332080501</v>
      </c>
      <c r="F24" s="31">
        <f t="shared" si="5"/>
        <v>0</v>
      </c>
      <c r="G24" s="31">
        <f t="shared" si="5"/>
        <v>0</v>
      </c>
      <c r="H24" s="31">
        <f t="shared" si="5"/>
        <v>0</v>
      </c>
      <c r="I24" s="31">
        <f t="shared" si="5"/>
        <v>0</v>
      </c>
      <c r="J24" s="31">
        <f t="shared" si="5"/>
        <v>0</v>
      </c>
      <c r="K24" s="31">
        <f t="shared" si="5"/>
        <v>0</v>
      </c>
      <c r="L24" s="31">
        <f t="shared" si="5"/>
        <v>0</v>
      </c>
      <c r="M24" s="31">
        <f t="shared" si="5"/>
        <v>0</v>
      </c>
      <c r="N24" s="31">
        <f t="shared" si="5"/>
        <v>0</v>
      </c>
      <c r="O24" s="31">
        <f t="shared" si="5"/>
        <v>0</v>
      </c>
      <c r="P24" s="31">
        <f t="shared" si="5"/>
        <v>0</v>
      </c>
      <c r="Q24" s="31">
        <f t="shared" si="5"/>
        <v>0</v>
      </c>
      <c r="R24" s="31">
        <f t="shared" si="5"/>
        <v>0</v>
      </c>
      <c r="S24" s="31">
        <f t="shared" si="5"/>
        <v>0</v>
      </c>
      <c r="T24" s="31">
        <f t="shared" si="5"/>
        <v>0</v>
      </c>
      <c r="U24" s="31">
        <f t="shared" si="3"/>
        <v>0</v>
      </c>
      <c r="V24" s="31">
        <f t="shared" si="3"/>
        <v>0</v>
      </c>
      <c r="W24" s="31">
        <f t="shared" si="3"/>
        <v>0</v>
      </c>
      <c r="X24" s="31">
        <f t="shared" si="3"/>
        <v>0</v>
      </c>
      <c r="Y24" s="31"/>
      <c r="AA24" s="31">
        <f t="shared" si="4"/>
        <v>535447.98332080501</v>
      </c>
    </row>
    <row r="25" spans="1:27">
      <c r="A25" s="62">
        <f>INDEX([2]!ResApplic,MATCH($C$22,[2]APPLIC!$B$9:$B$120,0)+1,MATCH($C25,[2]APPLIC!$C$8:$F$8,0)+1)</f>
        <v>1</v>
      </c>
      <c r="B25" s="139">
        <f>VLOOKUP($C$8,[2]!NewSat,MATCH($C25,[2]SATS!$C$10:$F$10,0)+1,FALSE)</f>
        <v>23</v>
      </c>
      <c r="C25" s="1" t="str">
        <f>C15</f>
        <v>Multifamily - High Rise</v>
      </c>
      <c r="E25" s="31">
        <f t="shared" si="5"/>
        <v>120203.49104659114</v>
      </c>
      <c r="F25" s="31">
        <f t="shared" si="3"/>
        <v>0</v>
      </c>
      <c r="G25" s="31">
        <f t="shared" si="3"/>
        <v>0</v>
      </c>
      <c r="H25" s="31">
        <f t="shared" si="3"/>
        <v>0</v>
      </c>
      <c r="I25" s="31">
        <f t="shared" si="3"/>
        <v>0</v>
      </c>
      <c r="J25" s="31">
        <f t="shared" si="3"/>
        <v>0</v>
      </c>
      <c r="K25" s="31">
        <f t="shared" si="3"/>
        <v>0</v>
      </c>
      <c r="L25" s="31">
        <f t="shared" si="3"/>
        <v>0</v>
      </c>
      <c r="M25" s="31">
        <f t="shared" si="3"/>
        <v>0</v>
      </c>
      <c r="N25" s="31">
        <f t="shared" si="3"/>
        <v>0</v>
      </c>
      <c r="O25" s="31">
        <f t="shared" si="3"/>
        <v>0</v>
      </c>
      <c r="P25" s="31">
        <f t="shared" si="3"/>
        <v>0</v>
      </c>
      <c r="Q25" s="31">
        <f t="shared" si="3"/>
        <v>0</v>
      </c>
      <c r="R25" s="31">
        <f t="shared" si="3"/>
        <v>0</v>
      </c>
      <c r="S25" s="31">
        <f t="shared" si="3"/>
        <v>0</v>
      </c>
      <c r="T25" s="31">
        <f t="shared" si="3"/>
        <v>0</v>
      </c>
      <c r="U25" s="31">
        <f t="shared" si="3"/>
        <v>0</v>
      </c>
      <c r="V25" s="31">
        <f t="shared" si="3"/>
        <v>0</v>
      </c>
      <c r="W25" s="31">
        <f t="shared" si="3"/>
        <v>0</v>
      </c>
      <c r="X25" s="31">
        <f t="shared" si="3"/>
        <v>0</v>
      </c>
      <c r="Y25" s="31"/>
      <c r="AA25" s="31">
        <f t="shared" si="4"/>
        <v>120203.49104659114</v>
      </c>
    </row>
    <row r="26" spans="1:27">
      <c r="A26" s="62">
        <f>INDEX([2]!ResApplic,MATCH($C$22,[2]APPLIC!$B$9:$B$120,0)+1,MATCH($C26,[2]APPLIC!$C$8:$F$8,0)+1)</f>
        <v>1</v>
      </c>
      <c r="B26" s="139">
        <f>VLOOKUP($C$8,[2]!NewSat,MATCH($C26,[2]SATS!$C$10:$F$10,0)+1,FALSE)</f>
        <v>34.5</v>
      </c>
      <c r="C26" t="s">
        <v>30</v>
      </c>
      <c r="D26"/>
      <c r="E26" s="31">
        <f t="shared" si="5"/>
        <v>64500.351475694442</v>
      </c>
      <c r="F26" s="31">
        <f t="shared" si="3"/>
        <v>0</v>
      </c>
      <c r="G26" s="31">
        <f t="shared" si="3"/>
        <v>0</v>
      </c>
      <c r="H26" s="31">
        <f t="shared" si="3"/>
        <v>0</v>
      </c>
      <c r="I26" s="31">
        <f t="shared" si="3"/>
        <v>0</v>
      </c>
      <c r="J26" s="31">
        <f t="shared" si="3"/>
        <v>0</v>
      </c>
      <c r="K26" s="31">
        <f t="shared" si="3"/>
        <v>0</v>
      </c>
      <c r="L26" s="31">
        <f t="shared" si="3"/>
        <v>0</v>
      </c>
      <c r="M26" s="31">
        <f t="shared" si="3"/>
        <v>0</v>
      </c>
      <c r="N26" s="31">
        <f t="shared" si="3"/>
        <v>0</v>
      </c>
      <c r="O26" s="31">
        <f t="shared" si="3"/>
        <v>0</v>
      </c>
      <c r="P26" s="31">
        <f t="shared" si="3"/>
        <v>0</v>
      </c>
      <c r="Q26" s="31">
        <f t="shared" si="3"/>
        <v>0</v>
      </c>
      <c r="R26" s="31">
        <f t="shared" si="3"/>
        <v>0</v>
      </c>
      <c r="S26" s="31">
        <f t="shared" si="3"/>
        <v>0</v>
      </c>
      <c r="T26" s="31">
        <f t="shared" si="3"/>
        <v>0</v>
      </c>
      <c r="U26" s="31">
        <f t="shared" si="3"/>
        <v>0</v>
      </c>
      <c r="V26" s="31">
        <f t="shared" si="3"/>
        <v>0</v>
      </c>
      <c r="W26" s="31">
        <f t="shared" si="3"/>
        <v>0</v>
      </c>
      <c r="X26" s="31">
        <f t="shared" si="3"/>
        <v>0</v>
      </c>
      <c r="Y26" s="31"/>
      <c r="AA26" s="31">
        <f t="shared" si="4"/>
        <v>64500.351475694442</v>
      </c>
    </row>
    <row r="27" spans="1:27">
      <c r="E27" s="31"/>
      <c r="F27" s="31"/>
      <c r="G27" s="31"/>
      <c r="H27" s="31"/>
      <c r="I27" s="31"/>
      <c r="J27" s="31"/>
      <c r="K27" s="31"/>
      <c r="L27" s="31"/>
      <c r="M27" s="31"/>
      <c r="N27" s="31"/>
      <c r="O27" s="31"/>
      <c r="P27" s="31"/>
      <c r="Q27" s="31"/>
      <c r="R27" s="31"/>
      <c r="S27" s="31"/>
      <c r="T27" s="31"/>
      <c r="U27" s="31"/>
      <c r="V27" s="31"/>
      <c r="W27" s="31"/>
      <c r="X27" s="31"/>
      <c r="Y27" s="31"/>
    </row>
    <row r="28" spans="1:27">
      <c r="E28" s="31">
        <f t="shared" ref="E28:X28" si="6">SUM(E23:E26)</f>
        <v>5546955.2688430902</v>
      </c>
      <c r="F28" s="31">
        <f t="shared" si="6"/>
        <v>0</v>
      </c>
      <c r="G28" s="31">
        <f t="shared" si="6"/>
        <v>0</v>
      </c>
      <c r="H28" s="31">
        <f t="shared" si="6"/>
        <v>0</v>
      </c>
      <c r="I28" s="31">
        <f t="shared" si="6"/>
        <v>0</v>
      </c>
      <c r="J28" s="31">
        <f t="shared" si="6"/>
        <v>0</v>
      </c>
      <c r="K28" s="31">
        <f t="shared" si="6"/>
        <v>0</v>
      </c>
      <c r="L28" s="31">
        <f t="shared" si="6"/>
        <v>0</v>
      </c>
      <c r="M28" s="31">
        <f t="shared" si="6"/>
        <v>0</v>
      </c>
      <c r="N28" s="31">
        <f t="shared" si="6"/>
        <v>0</v>
      </c>
      <c r="O28" s="31">
        <f t="shared" si="6"/>
        <v>0</v>
      </c>
      <c r="P28" s="31">
        <f t="shared" si="6"/>
        <v>0</v>
      </c>
      <c r="Q28" s="31">
        <f t="shared" si="6"/>
        <v>0</v>
      </c>
      <c r="R28" s="31">
        <f t="shared" si="6"/>
        <v>0</v>
      </c>
      <c r="S28" s="31">
        <f t="shared" si="6"/>
        <v>0</v>
      </c>
      <c r="T28" s="31">
        <f t="shared" si="6"/>
        <v>0</v>
      </c>
      <c r="U28" s="31">
        <f t="shared" si="6"/>
        <v>0</v>
      </c>
      <c r="V28" s="31">
        <f t="shared" si="6"/>
        <v>0</v>
      </c>
      <c r="W28" s="31">
        <f t="shared" si="6"/>
        <v>0</v>
      </c>
      <c r="X28" s="31">
        <f t="shared" si="6"/>
        <v>0</v>
      </c>
      <c r="Y28" s="31"/>
      <c r="AA28" s="31">
        <f>SUM(E28:Y28)</f>
        <v>5546955.2688430902</v>
      </c>
    </row>
    <row r="29" spans="1:27">
      <c r="E29" s="31"/>
      <c r="F29" s="31"/>
      <c r="G29" s="31"/>
      <c r="H29" s="31"/>
      <c r="I29" s="31"/>
      <c r="J29" s="31"/>
      <c r="K29" s="31"/>
      <c r="L29" s="31"/>
      <c r="M29" s="31"/>
      <c r="N29" s="31"/>
      <c r="O29" s="31"/>
      <c r="P29" s="31"/>
      <c r="Q29" s="31"/>
      <c r="R29" s="31"/>
      <c r="S29" s="31"/>
      <c r="T29" s="31"/>
      <c r="U29" s="31"/>
      <c r="V29" s="31"/>
      <c r="W29" s="31"/>
      <c r="X29" s="31"/>
      <c r="Y29" s="31"/>
    </row>
    <row r="31" spans="1:27" ht="15.75" thickBot="1">
      <c r="A31" s="63" t="str">
        <f>CONCATENATE("# UNITS ACHIEVABLE BY YEAR FOR MEASURE - ",C32)</f>
        <v># UNITS ACHIEVABLE BY YEAR FOR MEASURE - Lighting - New</v>
      </c>
      <c r="B31" s="63"/>
      <c r="D31" s="64" t="s">
        <v>71</v>
      </c>
      <c r="E31" s="1">
        <v>3</v>
      </c>
      <c r="F31" s="1">
        <v>4</v>
      </c>
      <c r="G31" s="1">
        <v>5</v>
      </c>
      <c r="H31" s="1">
        <v>6</v>
      </c>
      <c r="I31" s="1">
        <v>7</v>
      </c>
      <c r="J31" s="1">
        <v>8</v>
      </c>
      <c r="K31" s="1">
        <v>9</v>
      </c>
      <c r="L31" s="1">
        <v>10</v>
      </c>
      <c r="M31" s="1">
        <v>11</v>
      </c>
      <c r="N31" s="1">
        <v>12</v>
      </c>
      <c r="O31" s="1">
        <v>13</v>
      </c>
      <c r="P31" s="1">
        <v>14</v>
      </c>
      <c r="Q31" s="1">
        <v>15</v>
      </c>
      <c r="R31" s="1">
        <v>16</v>
      </c>
      <c r="S31" s="1">
        <v>17</v>
      </c>
      <c r="T31" s="1">
        <v>18</v>
      </c>
      <c r="U31" s="1">
        <v>19</v>
      </c>
      <c r="V31" s="1">
        <v>20</v>
      </c>
      <c r="W31" s="1">
        <v>21</v>
      </c>
      <c r="X31" s="1">
        <v>22</v>
      </c>
    </row>
    <row r="32" spans="1:27" ht="15.75" thickBot="1">
      <c r="C32" s="61" t="str">
        <f>CONCATENATE(C8," - ",C7)</f>
        <v>Lighting - New</v>
      </c>
      <c r="D32" s="61"/>
      <c r="E32" s="65">
        <f>VLOOKUP($C$32,[2]ACHIEV!$B$9:$X$79,MATCH(E$11,$E$11:$Y$11,0)+2,FALSE)</f>
        <v>0.22119921692859512</v>
      </c>
      <c r="F32" s="65">
        <f>VLOOKUP($C$32,[2]ACHIEV!$B$9:$X$79,MATCH(F$11,$E$11:$Y$11,0)+2,FALSE)</f>
        <v>0.37624232795148943</v>
      </c>
      <c r="G32" s="65">
        <f>VLOOKUP($C$32,[2]ACHIEV!$B$9:$X$79,MATCH(G$11,$E$11:$Y$11,0)+2,FALSE)</f>
        <v>0.48357361352878442</v>
      </c>
      <c r="H32" s="65">
        <f>VLOOKUP($C$32,[2]ACHIEV!$B$9:$X$79,MATCH(H$11,$E$11:$Y$11,0)+2,FALSE)</f>
        <v>0.56716330278444227</v>
      </c>
      <c r="I32" s="65">
        <f>VLOOKUP($C$32,[2]ACHIEV!$B$9:$X$79,MATCH(I$11,$E$11:$Y$11,0)+2,FALSE)</f>
        <v>0.64040048266456928</v>
      </c>
      <c r="J32" s="65">
        <f>VLOOKUP($C$32,[2]ACHIEV!$B$9:$X$79,MATCH(J$11,$E$11:$Y$11,0)+2,FALSE)</f>
        <v>0.70377511937632964</v>
      </c>
      <c r="K32" s="65">
        <f>VLOOKUP($C$32,[2]ACHIEV!$B$9:$X$79,MATCH(K$11,$E$11:$Y$11,0)+2,FALSE)</f>
        <v>0.7580669577441127</v>
      </c>
      <c r="L32" s="65">
        <f>VLOOKUP($C$32,[2]ACHIEV!$B$9:$X$79,MATCH(L$11,$E$11:$Y$11,0)+2,FALSE)</f>
        <v>0.80419335000071168</v>
      </c>
      <c r="M32" s="65">
        <f>VLOOKUP($C$32,[2]ACHIEV!$B$9:$X$79,MATCH(M$11,$E$11:$Y$11,0)+2,FALSE)</f>
        <v>0.84311022627788457</v>
      </c>
      <c r="N32" s="65">
        <f>VLOOKUP($C$32,[2]ACHIEV!$B$9:$X$79,MATCH(N$11,$E$11:$Y$11,0)+2,FALSE)</f>
        <v>0.87575014259103623</v>
      </c>
      <c r="O32" s="65">
        <f>VLOOKUP($C$32,[2]ACHIEV!$B$9:$X$79,MATCH(O$11,$E$11:$Y$11,0)+2,FALSE)</f>
        <v>0.90298584871682319</v>
      </c>
      <c r="P32" s="65">
        <f>VLOOKUP($C$32,[2]ACHIEV!$B$9:$X$79,MATCH(P$11,$E$11:$Y$11,0)+2,FALSE)</f>
        <v>0.92419703797508856</v>
      </c>
      <c r="Q32" s="65">
        <f>VLOOKUP($C$32,[2]ACHIEV!$B$9:$X$79,MATCH(Q$11,$E$11:$Y$11,0)+2,FALSE)</f>
        <v>0.94071632877930145</v>
      </c>
      <c r="R32" s="65">
        <f>VLOOKUP($C$32,[2]ACHIEV!$B$9:$X$79,MATCH(R$11,$E$11:$Y$11,0)+2,FALSE)</f>
        <v>0.95358156539340677</v>
      </c>
      <c r="S32" s="65">
        <f>VLOOKUP($C$32,[2]ACHIEV!$B$9:$X$79,MATCH(S$11,$E$11:$Y$11,0)+2,FALSE)</f>
        <v>0.96360102174287088</v>
      </c>
      <c r="T32" s="65">
        <f>VLOOKUP($C$32,[2]ACHIEV!$B$9:$X$79,MATCH(T$11,$E$11:$Y$11,0)+2,FALSE)</f>
        <v>0.97140418219378311</v>
      </c>
      <c r="U32" s="65">
        <f>VLOOKUP($C$32,[2]ACHIEV!$B$9:$X$79,MATCH(U$11,$E$11:$Y$11,0)+2,FALSE)</f>
        <v>0.97748128966338554</v>
      </c>
      <c r="V32" s="65">
        <f>VLOOKUP($C$32,[2]ACHIEV!$B$9:$X$79,MATCH(V$11,$E$11:$Y$11,0)+2,FALSE)</f>
        <v>0.98221414571952104</v>
      </c>
      <c r="W32" s="65">
        <f>VLOOKUP($C$32,[2]ACHIEV!$B$9:$X$79,MATCH(W$11,$E$11:$Y$11,0)+2,FALSE)</f>
        <v>0.98590009772220355</v>
      </c>
      <c r="X32" s="65">
        <f>VLOOKUP($C$32,[2]ACHIEV!$B$9:$X$79,MATCH(X$11,$E$11:$Y$11,0)+2,FALSE)</f>
        <v>0.98877072002825628</v>
      </c>
      <c r="Y32" s="65"/>
      <c r="AA32" s="137">
        <v>0.85</v>
      </c>
    </row>
    <row r="33" spans="1:80">
      <c r="C33" s="1" t="str">
        <f>C23</f>
        <v>Single Family</v>
      </c>
      <c r="E33" s="31">
        <f>E23*E$32*$AA$32</f>
        <v>907532.37058086984</v>
      </c>
      <c r="F33" s="31">
        <f t="shared" ref="F33:X33" si="7">F23*F$32*$AA$32</f>
        <v>0</v>
      </c>
      <c r="G33" s="31">
        <f t="shared" si="7"/>
        <v>0</v>
      </c>
      <c r="H33" s="31">
        <f t="shared" si="7"/>
        <v>0</v>
      </c>
      <c r="I33" s="31">
        <f t="shared" si="7"/>
        <v>0</v>
      </c>
      <c r="J33" s="31">
        <f t="shared" si="7"/>
        <v>0</v>
      </c>
      <c r="K33" s="31">
        <f t="shared" si="7"/>
        <v>0</v>
      </c>
      <c r="L33" s="31">
        <f t="shared" si="7"/>
        <v>0</v>
      </c>
      <c r="M33" s="31">
        <f t="shared" si="7"/>
        <v>0</v>
      </c>
      <c r="N33" s="31">
        <f t="shared" si="7"/>
        <v>0</v>
      </c>
      <c r="O33" s="31">
        <f t="shared" si="7"/>
        <v>0</v>
      </c>
      <c r="P33" s="31">
        <f t="shared" si="7"/>
        <v>0</v>
      </c>
      <c r="Q33" s="31">
        <f t="shared" si="7"/>
        <v>0</v>
      </c>
      <c r="R33" s="31">
        <f t="shared" si="7"/>
        <v>0</v>
      </c>
      <c r="S33" s="31">
        <f t="shared" si="7"/>
        <v>0</v>
      </c>
      <c r="T33" s="31">
        <f t="shared" si="7"/>
        <v>0</v>
      </c>
      <c r="U33" s="31">
        <f t="shared" si="7"/>
        <v>0</v>
      </c>
      <c r="V33" s="31">
        <f t="shared" si="7"/>
        <v>0</v>
      </c>
      <c r="W33" s="31">
        <f t="shared" si="7"/>
        <v>0</v>
      </c>
      <c r="X33" s="31">
        <f t="shared" si="7"/>
        <v>0</v>
      </c>
      <c r="Y33" s="31"/>
      <c r="AA33" s="31">
        <f t="shared" ref="AA33:AA36" si="8">SUM(E33:Y33)</f>
        <v>907532.37058086984</v>
      </c>
    </row>
    <row r="34" spans="1:80">
      <c r="C34" s="1" t="str">
        <f>C24</f>
        <v>Multifamily - Low Rise</v>
      </c>
      <c r="E34" s="31">
        <f t="shared" ref="E34:X34" si="9">E24*E$32*$AA$32</f>
        <v>100674.5734240739</v>
      </c>
      <c r="F34" s="31">
        <f t="shared" si="9"/>
        <v>0</v>
      </c>
      <c r="G34" s="31">
        <f t="shared" si="9"/>
        <v>0</v>
      </c>
      <c r="H34" s="31">
        <f t="shared" si="9"/>
        <v>0</v>
      </c>
      <c r="I34" s="31">
        <f t="shared" si="9"/>
        <v>0</v>
      </c>
      <c r="J34" s="31">
        <f t="shared" si="9"/>
        <v>0</v>
      </c>
      <c r="K34" s="31">
        <f t="shared" si="9"/>
        <v>0</v>
      </c>
      <c r="L34" s="31">
        <f t="shared" si="9"/>
        <v>0</v>
      </c>
      <c r="M34" s="31">
        <f t="shared" si="9"/>
        <v>0</v>
      </c>
      <c r="N34" s="31">
        <f t="shared" si="9"/>
        <v>0</v>
      </c>
      <c r="O34" s="31">
        <f t="shared" si="9"/>
        <v>0</v>
      </c>
      <c r="P34" s="31">
        <f t="shared" si="9"/>
        <v>0</v>
      </c>
      <c r="Q34" s="31">
        <f t="shared" si="9"/>
        <v>0</v>
      </c>
      <c r="R34" s="31">
        <f t="shared" si="9"/>
        <v>0</v>
      </c>
      <c r="S34" s="31">
        <f t="shared" si="9"/>
        <v>0</v>
      </c>
      <c r="T34" s="31">
        <f t="shared" si="9"/>
        <v>0</v>
      </c>
      <c r="U34" s="31">
        <f t="shared" si="9"/>
        <v>0</v>
      </c>
      <c r="V34" s="31">
        <f t="shared" si="9"/>
        <v>0</v>
      </c>
      <c r="W34" s="31">
        <f t="shared" si="9"/>
        <v>0</v>
      </c>
      <c r="X34" s="31">
        <f t="shared" si="9"/>
        <v>0</v>
      </c>
      <c r="Y34" s="31"/>
      <c r="AA34" s="31">
        <f t="shared" si="8"/>
        <v>100674.5734240739</v>
      </c>
    </row>
    <row r="35" spans="1:80">
      <c r="C35" s="1" t="s">
        <v>33</v>
      </c>
      <c r="E35" s="31">
        <f t="shared" ref="E35:X35" si="10">E25*E$32*$AA$32</f>
        <v>22600.580377850951</v>
      </c>
      <c r="F35" s="31">
        <f t="shared" si="10"/>
        <v>0</v>
      </c>
      <c r="G35" s="31">
        <f t="shared" si="10"/>
        <v>0</v>
      </c>
      <c r="H35" s="31">
        <f t="shared" si="10"/>
        <v>0</v>
      </c>
      <c r="I35" s="31">
        <f t="shared" si="10"/>
        <v>0</v>
      </c>
      <c r="J35" s="31">
        <f t="shared" si="10"/>
        <v>0</v>
      </c>
      <c r="K35" s="31">
        <f t="shared" si="10"/>
        <v>0</v>
      </c>
      <c r="L35" s="31">
        <f t="shared" si="10"/>
        <v>0</v>
      </c>
      <c r="M35" s="31">
        <f t="shared" si="10"/>
        <v>0</v>
      </c>
      <c r="N35" s="31">
        <f t="shared" si="10"/>
        <v>0</v>
      </c>
      <c r="O35" s="31">
        <f t="shared" si="10"/>
        <v>0</v>
      </c>
      <c r="P35" s="31">
        <f t="shared" si="10"/>
        <v>0</v>
      </c>
      <c r="Q35" s="31">
        <f t="shared" si="10"/>
        <v>0</v>
      </c>
      <c r="R35" s="31">
        <f t="shared" si="10"/>
        <v>0</v>
      </c>
      <c r="S35" s="31">
        <f t="shared" si="10"/>
        <v>0</v>
      </c>
      <c r="T35" s="31">
        <f t="shared" si="10"/>
        <v>0</v>
      </c>
      <c r="U35" s="31">
        <f t="shared" si="10"/>
        <v>0</v>
      </c>
      <c r="V35" s="31">
        <f t="shared" si="10"/>
        <v>0</v>
      </c>
      <c r="W35" s="31">
        <f t="shared" si="10"/>
        <v>0</v>
      </c>
      <c r="X35" s="31">
        <f t="shared" si="10"/>
        <v>0</v>
      </c>
      <c r="Y35" s="31"/>
      <c r="AA35" s="31">
        <f t="shared" si="8"/>
        <v>22600.580377850951</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row>
    <row r="36" spans="1:80">
      <c r="C36" s="1" t="str">
        <f>C26</f>
        <v>Manufactured</v>
      </c>
      <c r="E36" s="31">
        <f t="shared" ref="E36:X36" si="11">E26*E$32*$AA$32</f>
        <v>12127.31315233635</v>
      </c>
      <c r="F36" s="31">
        <f t="shared" si="11"/>
        <v>0</v>
      </c>
      <c r="G36" s="31">
        <f t="shared" si="11"/>
        <v>0</v>
      </c>
      <c r="H36" s="31">
        <f t="shared" si="11"/>
        <v>0</v>
      </c>
      <c r="I36" s="31">
        <f t="shared" si="11"/>
        <v>0</v>
      </c>
      <c r="J36" s="31">
        <f t="shared" si="11"/>
        <v>0</v>
      </c>
      <c r="K36" s="31">
        <f t="shared" si="11"/>
        <v>0</v>
      </c>
      <c r="L36" s="31">
        <f t="shared" si="11"/>
        <v>0</v>
      </c>
      <c r="M36" s="31">
        <f t="shared" si="11"/>
        <v>0</v>
      </c>
      <c r="N36" s="31">
        <f t="shared" si="11"/>
        <v>0</v>
      </c>
      <c r="O36" s="31">
        <f t="shared" si="11"/>
        <v>0</v>
      </c>
      <c r="P36" s="31">
        <f t="shared" si="11"/>
        <v>0</v>
      </c>
      <c r="Q36" s="31">
        <f t="shared" si="11"/>
        <v>0</v>
      </c>
      <c r="R36" s="31">
        <f t="shared" si="11"/>
        <v>0</v>
      </c>
      <c r="S36" s="31">
        <f t="shared" si="11"/>
        <v>0</v>
      </c>
      <c r="T36" s="31">
        <f t="shared" si="11"/>
        <v>0</v>
      </c>
      <c r="U36" s="31">
        <f t="shared" si="11"/>
        <v>0</v>
      </c>
      <c r="V36" s="31">
        <f t="shared" si="11"/>
        <v>0</v>
      </c>
      <c r="W36" s="31">
        <f t="shared" si="11"/>
        <v>0</v>
      </c>
      <c r="X36" s="31">
        <f t="shared" si="11"/>
        <v>0</v>
      </c>
      <c r="Y36" s="31"/>
      <c r="AA36" s="31">
        <f t="shared" si="8"/>
        <v>12127.31315233635</v>
      </c>
    </row>
    <row r="37" spans="1:80">
      <c r="E37" s="31"/>
      <c r="F37" s="31"/>
      <c r="G37" s="31"/>
      <c r="H37" s="31"/>
      <c r="I37" s="31"/>
      <c r="J37" s="31"/>
      <c r="K37" s="31"/>
      <c r="L37" s="31"/>
      <c r="M37" s="31"/>
      <c r="N37" s="31"/>
      <c r="O37" s="31"/>
      <c r="P37" s="31"/>
      <c r="Q37" s="31"/>
      <c r="R37" s="31"/>
      <c r="S37" s="31"/>
      <c r="T37" s="31"/>
      <c r="U37" s="31"/>
      <c r="V37" s="31"/>
      <c r="W37" s="31"/>
      <c r="X37" s="31"/>
      <c r="Y37" s="31"/>
    </row>
    <row r="38" spans="1:80">
      <c r="E38" s="31">
        <f t="shared" ref="E38:X38" si="12">SUM(E33:E36)</f>
        <v>1042934.837535131</v>
      </c>
      <c r="F38" s="31">
        <f t="shared" si="12"/>
        <v>0</v>
      </c>
      <c r="G38" s="31">
        <f t="shared" si="12"/>
        <v>0</v>
      </c>
      <c r="H38" s="31">
        <f t="shared" si="12"/>
        <v>0</v>
      </c>
      <c r="I38" s="31">
        <f t="shared" si="12"/>
        <v>0</v>
      </c>
      <c r="J38" s="31">
        <f t="shared" si="12"/>
        <v>0</v>
      </c>
      <c r="K38" s="31">
        <f t="shared" si="12"/>
        <v>0</v>
      </c>
      <c r="L38" s="31">
        <f t="shared" si="12"/>
        <v>0</v>
      </c>
      <c r="M38" s="31">
        <f t="shared" si="12"/>
        <v>0</v>
      </c>
      <c r="N38" s="31">
        <f t="shared" si="12"/>
        <v>0</v>
      </c>
      <c r="O38" s="31">
        <f t="shared" si="12"/>
        <v>0</v>
      </c>
      <c r="P38" s="31">
        <f t="shared" si="12"/>
        <v>0</v>
      </c>
      <c r="Q38" s="31">
        <f t="shared" si="12"/>
        <v>0</v>
      </c>
      <c r="R38" s="31">
        <f t="shared" si="12"/>
        <v>0</v>
      </c>
      <c r="S38" s="31">
        <f t="shared" si="12"/>
        <v>0</v>
      </c>
      <c r="T38" s="31">
        <f t="shared" si="12"/>
        <v>0</v>
      </c>
      <c r="U38" s="31">
        <f t="shared" si="12"/>
        <v>0</v>
      </c>
      <c r="V38" s="31">
        <f t="shared" si="12"/>
        <v>0</v>
      </c>
      <c r="W38" s="31">
        <f t="shared" si="12"/>
        <v>0</v>
      </c>
      <c r="X38" s="31">
        <f t="shared" si="12"/>
        <v>0</v>
      </c>
      <c r="Y38" s="31"/>
      <c r="AA38" s="31">
        <f>SUM(E38:Y38)</f>
        <v>1042934.837535131</v>
      </c>
    </row>
    <row r="40" spans="1:80">
      <c r="AA40"/>
      <c r="AB40"/>
      <c r="AC40"/>
      <c r="AD40"/>
    </row>
    <row r="41" spans="1:80" ht="15">
      <c r="A41" s="60" t="s">
        <v>72</v>
      </c>
      <c r="C41" s="66" t="str">
        <f>C8</f>
        <v>Lighting</v>
      </c>
      <c r="D41" s="66"/>
      <c r="E41" s="66" t="s">
        <v>185</v>
      </c>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ht="15">
      <c r="A42" s="61" t="s">
        <v>73</v>
      </c>
      <c r="B42" s="61" t="s">
        <v>44</v>
      </c>
      <c r="C42" s="61">
        <v>1</v>
      </c>
      <c r="D42" s="61"/>
      <c r="E42" s="67">
        <f t="shared" ref="E42:X42" si="13">E11</f>
        <v>2016</v>
      </c>
      <c r="F42" s="67">
        <f t="shared" si="13"/>
        <v>2017</v>
      </c>
      <c r="G42" s="67">
        <f t="shared" si="13"/>
        <v>2018</v>
      </c>
      <c r="H42" s="67">
        <f t="shared" si="13"/>
        <v>2019</v>
      </c>
      <c r="I42" s="67">
        <f t="shared" si="13"/>
        <v>2020</v>
      </c>
      <c r="J42" s="67">
        <f t="shared" si="13"/>
        <v>2021</v>
      </c>
      <c r="K42" s="67">
        <f t="shared" si="13"/>
        <v>2022</v>
      </c>
      <c r="L42" s="67">
        <f t="shared" si="13"/>
        <v>2023</v>
      </c>
      <c r="M42" s="67">
        <f t="shared" si="13"/>
        <v>2024</v>
      </c>
      <c r="N42" s="67">
        <f t="shared" si="13"/>
        <v>2025</v>
      </c>
      <c r="O42" s="67">
        <f t="shared" si="13"/>
        <v>2026</v>
      </c>
      <c r="P42" s="67">
        <f t="shared" si="13"/>
        <v>2027</v>
      </c>
      <c r="Q42" s="67">
        <f t="shared" si="13"/>
        <v>2028</v>
      </c>
      <c r="R42" s="67">
        <f t="shared" si="13"/>
        <v>2029</v>
      </c>
      <c r="S42" s="67">
        <f t="shared" si="13"/>
        <v>2030</v>
      </c>
      <c r="T42" s="67">
        <f t="shared" si="13"/>
        <v>2031</v>
      </c>
      <c r="U42" s="67">
        <f t="shared" si="13"/>
        <v>2032</v>
      </c>
      <c r="V42" s="67">
        <f t="shared" si="13"/>
        <v>2033</v>
      </c>
      <c r="W42" s="67">
        <f t="shared" si="13"/>
        <v>2034</v>
      </c>
      <c r="X42" s="67">
        <f t="shared" si="13"/>
        <v>2035</v>
      </c>
      <c r="Y42" s="68" t="s">
        <v>159</v>
      </c>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ht="15">
      <c r="A43" s="61" t="s">
        <v>36</v>
      </c>
      <c r="B43" s="61" t="s">
        <v>74</v>
      </c>
      <c r="C43" s="61" t="s">
        <v>75</v>
      </c>
      <c r="D43" s="61" t="s">
        <v>76</v>
      </c>
      <c r="E43" s="69" t="str">
        <f>CONCATENATE($E$41,"_",E42)</f>
        <v>aMW_2016</v>
      </c>
      <c r="F43" s="69" t="str">
        <f t="shared" ref="F43:X43" si="14">CONCATENATE($E$41,"_",F42)</f>
        <v>aMW_2017</v>
      </c>
      <c r="G43" s="69" t="str">
        <f t="shared" si="14"/>
        <v>aMW_2018</v>
      </c>
      <c r="H43" s="69" t="str">
        <f t="shared" si="14"/>
        <v>aMW_2019</v>
      </c>
      <c r="I43" s="69" t="str">
        <f t="shared" si="14"/>
        <v>aMW_2020</v>
      </c>
      <c r="J43" s="69" t="str">
        <f t="shared" si="14"/>
        <v>aMW_2021</v>
      </c>
      <c r="K43" s="69" t="str">
        <f t="shared" si="14"/>
        <v>aMW_2022</v>
      </c>
      <c r="L43" s="69" t="str">
        <f t="shared" si="14"/>
        <v>aMW_2023</v>
      </c>
      <c r="M43" s="69" t="str">
        <f t="shared" si="14"/>
        <v>aMW_2024</v>
      </c>
      <c r="N43" s="69" t="str">
        <f t="shared" si="14"/>
        <v>aMW_2025</v>
      </c>
      <c r="O43" s="69" t="str">
        <f t="shared" si="14"/>
        <v>aMW_2026</v>
      </c>
      <c r="P43" s="69" t="str">
        <f t="shared" si="14"/>
        <v>aMW_2027</v>
      </c>
      <c r="Q43" s="69" t="str">
        <f t="shared" si="14"/>
        <v>aMW_2028</v>
      </c>
      <c r="R43" s="69" t="str">
        <f t="shared" si="14"/>
        <v>aMW_2029</v>
      </c>
      <c r="S43" s="69" t="str">
        <f t="shared" si="14"/>
        <v>aMW_2030</v>
      </c>
      <c r="T43" s="69" t="str">
        <f t="shared" si="14"/>
        <v>aMW_2031</v>
      </c>
      <c r="U43" s="69" t="str">
        <f t="shared" si="14"/>
        <v>aMW_2032</v>
      </c>
      <c r="V43" s="69" t="str">
        <f t="shared" si="14"/>
        <v>aMW_2033</v>
      </c>
      <c r="W43" s="69" t="str">
        <f t="shared" si="14"/>
        <v>aMW_2034</v>
      </c>
      <c r="X43" s="69" t="str">
        <f t="shared" si="14"/>
        <v>aMW_2035</v>
      </c>
      <c r="Y43" s="70" t="s">
        <v>159</v>
      </c>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c r="A44" s="89">
        <f t="shared" ref="A44:A75" si="15">VLOOKUP($D44,MeasureOutput,3,FALSE)</f>
        <v>19.236292058718274</v>
      </c>
      <c r="B44" s="71">
        <f t="shared" ref="B44:B75" si="16">VLOOKUP($D44,MeasureOutput,11,FALSE)</f>
        <v>-15.059976945801358</v>
      </c>
      <c r="C44" s="1" t="str">
        <f>C13</f>
        <v>Single Family</v>
      </c>
      <c r="D44" t="s">
        <v>716</v>
      </c>
      <c r="E44" s="37">
        <f>VLOOKUP($C44,$C$33:$Y$36,E$31,FALSE)*$C$42*$A44/8760/1000*INDEX('Bulb Weighting'!$B$2:$C$17,MATCH(RIGHT('SC-New'!$D44,LEN($D44)-7),'Bulb Weighting'!$B$3:$B$17,0)+1,2)</f>
        <v>0.1615842375722944</v>
      </c>
      <c r="F44" s="37">
        <f>VLOOKUP($C44,$C$33:$Y$36,F$31,FALSE)*$C$42*$A44/8760/1000*INDEX('Bulb Weighting'!$B$2:$C$17,MATCH(RIGHT('SC-New'!$D44,LEN($D44)-7),'Bulb Weighting'!$B$3:$B$17,0)+1,2)</f>
        <v>0</v>
      </c>
      <c r="G44" s="37">
        <f>VLOOKUP($C44,$C$33:$Y$36,G$31,FALSE)*$C$42*$A44/8760/1000*INDEX('Bulb Weighting'!$B$2:$C$17,MATCH(RIGHT('SC-New'!$D44,LEN($D44)-7),'Bulb Weighting'!$B$3:$B$17,0)+1,2)</f>
        <v>0</v>
      </c>
      <c r="H44" s="37">
        <f>VLOOKUP($C44,$C$33:$Y$36,H$31,FALSE)*$C$42*$A44/8760/1000*INDEX('Bulb Weighting'!$B$2:$C$17,MATCH(RIGHT('SC-New'!$D44,LEN($D44)-7),'Bulb Weighting'!$B$3:$B$17,0)+1,2)</f>
        <v>0</v>
      </c>
      <c r="I44" s="37">
        <f>VLOOKUP($C44,$C$33:$Y$36,I$31,FALSE)*$C$42*$A44/8760/1000*INDEX('Bulb Weighting'!$B$2:$C$17,MATCH(RIGHT('SC-New'!$D44,LEN($D44)-7),'Bulb Weighting'!$B$3:$B$17,0)+1,2)</f>
        <v>0</v>
      </c>
      <c r="J44" s="37">
        <f>VLOOKUP($C44,$C$33:$Y$36,J$31,FALSE)*$C$42*$A44/8760/1000*INDEX('Bulb Weighting'!$B$2:$C$17,MATCH(RIGHT('SC-New'!$D44,LEN($D44)-7),'Bulb Weighting'!$B$3:$B$17,0)+1,2)</f>
        <v>0</v>
      </c>
      <c r="K44" s="37">
        <f>VLOOKUP($C44,$C$33:$Y$36,K$31,FALSE)*$C$42*$A44/8760/1000*INDEX('Bulb Weighting'!$B$2:$C$17,MATCH(RIGHT('SC-New'!$D44,LEN($D44)-7),'Bulb Weighting'!$B$3:$B$17,0)+1,2)</f>
        <v>0</v>
      </c>
      <c r="L44" s="37">
        <f>VLOOKUP($C44,$C$33:$Y$36,L$31,FALSE)*$C$42*$A44/8760/1000*INDEX('Bulb Weighting'!$B$2:$C$17,MATCH(RIGHT('SC-New'!$D44,LEN($D44)-7),'Bulb Weighting'!$B$3:$B$17,0)+1,2)</f>
        <v>0</v>
      </c>
      <c r="M44" s="37">
        <f>VLOOKUP($C44,$C$33:$Y$36,M$31,FALSE)*$C$42*$A44/8760/1000*INDEX('Bulb Weighting'!$B$2:$C$17,MATCH(RIGHT('SC-New'!$D44,LEN($D44)-7),'Bulb Weighting'!$B$3:$B$17,0)+1,2)</f>
        <v>0</v>
      </c>
      <c r="N44" s="37">
        <f>VLOOKUP($C44,$C$33:$Y$36,N$31,FALSE)*$C$42*$A44/8760/1000*INDEX('Bulb Weighting'!$B$2:$C$17,MATCH(RIGHT('SC-New'!$D44,LEN($D44)-7),'Bulb Weighting'!$B$3:$B$17,0)+1,2)</f>
        <v>0</v>
      </c>
      <c r="O44" s="37">
        <f>VLOOKUP($C44,$C$33:$Y$36,O$31,FALSE)*$C$42*$A44/8760/1000*INDEX('Bulb Weighting'!$B$2:$C$17,MATCH(RIGHT('SC-New'!$D44,LEN($D44)-7),'Bulb Weighting'!$B$3:$B$17,0)+1,2)</f>
        <v>0</v>
      </c>
      <c r="P44" s="37">
        <f>VLOOKUP($C44,$C$33:$Y$36,P$31,FALSE)*$C$42*$A44/8760/1000*INDEX('Bulb Weighting'!$B$2:$C$17,MATCH(RIGHT('SC-New'!$D44,LEN($D44)-7),'Bulb Weighting'!$B$3:$B$17,0)+1,2)</f>
        <v>0</v>
      </c>
      <c r="Q44" s="37">
        <f>VLOOKUP($C44,$C$33:$Y$36,Q$31,FALSE)*$C$42*$A44/8760/1000*INDEX('Bulb Weighting'!$B$2:$C$17,MATCH(RIGHT('SC-New'!$D44,LEN($D44)-7),'Bulb Weighting'!$B$3:$B$17,0)+1,2)</f>
        <v>0</v>
      </c>
      <c r="R44" s="37">
        <f>VLOOKUP($C44,$C$33:$Y$36,R$31,FALSE)*$C$42*$A44/8760/1000*INDEX('Bulb Weighting'!$B$2:$C$17,MATCH(RIGHT('SC-New'!$D44,LEN($D44)-7),'Bulb Weighting'!$B$3:$B$17,0)+1,2)</f>
        <v>0</v>
      </c>
      <c r="S44" s="37">
        <f>VLOOKUP($C44,$C$33:$Y$36,S$31,FALSE)*$C$42*$A44/8760/1000*INDEX('Bulb Weighting'!$B$2:$C$17,MATCH(RIGHT('SC-New'!$D44,LEN($D44)-7),'Bulb Weighting'!$B$3:$B$17,0)+1,2)</f>
        <v>0</v>
      </c>
      <c r="T44" s="37">
        <f>VLOOKUP($C44,$C$33:$Y$36,T$31,FALSE)*$C$42*$A44/8760/1000*INDEX('Bulb Weighting'!$B$2:$C$17,MATCH(RIGHT('SC-New'!$D44,LEN($D44)-7),'Bulb Weighting'!$B$3:$B$17,0)+1,2)</f>
        <v>0</v>
      </c>
      <c r="U44" s="37">
        <f>VLOOKUP($C44,$C$33:$Y$36,U$31,FALSE)*$C$42*$A44/8760/1000*INDEX('Bulb Weighting'!$B$2:$C$17,MATCH(RIGHT('SC-New'!$D44,LEN($D44)-7),'Bulb Weighting'!$B$3:$B$17,0)+1,2)</f>
        <v>0</v>
      </c>
      <c r="V44" s="37">
        <f>VLOOKUP($C44,$C$33:$Y$36,V$31,FALSE)*$C$42*$A44/8760/1000*INDEX('Bulb Weighting'!$B$2:$C$17,MATCH(RIGHT('SC-New'!$D44,LEN($D44)-7),'Bulb Weighting'!$B$3:$B$17,0)+1,2)</f>
        <v>0</v>
      </c>
      <c r="W44" s="37">
        <f>VLOOKUP($C44,$C$33:$Y$36,W$31,FALSE)*$C$42*$A44/8760/1000*INDEX('Bulb Weighting'!$B$2:$C$17,MATCH(RIGHT('SC-New'!$D44,LEN($D44)-7),'Bulb Weighting'!$B$3:$B$17,0)+1,2)</f>
        <v>0</v>
      </c>
      <c r="X44" s="37">
        <f>VLOOKUP($C44,$C$33:$Y$36,X$31,FALSE)*$C$42*$A44/8760/1000*INDEX('Bulb Weighting'!$B$2:$C$17,MATCH(RIGHT('SC-New'!$D44,LEN($D44)-7),'Bulb Weighting'!$B$3:$B$17,0)+1,2)</f>
        <v>0</v>
      </c>
      <c r="Y44" s="37">
        <f>SUM(E44:X44)</f>
        <v>0.1615842375722944</v>
      </c>
      <c r="AA44" s="31">
        <f t="shared" ref="AA44:AA105" si="17">SUM(E44:Y44)</f>
        <v>0.3231684751445888</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c r="A45" s="89">
        <f t="shared" si="15"/>
        <v>14.492020906444102</v>
      </c>
      <c r="B45" s="71">
        <f t="shared" si="16"/>
        <v>-3.5286913755547569</v>
      </c>
      <c r="C45" s="1" t="s">
        <v>29</v>
      </c>
      <c r="D45" t="s">
        <v>718</v>
      </c>
      <c r="E45" s="37">
        <f>VLOOKUP($C45,$C$33:$Y$36,E$31,FALSE)*$C$42*$A45/8760/1000*INDEX('Bulb Weighting'!$B$2:$C$17,MATCH(RIGHT('SC-New'!$D45,LEN($D45)-7),'Bulb Weighting'!$B$3:$B$17,0)+1,2)</f>
        <v>3.3387861443476094E-2</v>
      </c>
      <c r="F45" s="37">
        <f>VLOOKUP($C45,$C$33:$Y$36,F$31,FALSE)*$C$42*$A45/8760/1000*INDEX('Bulb Weighting'!$B$2:$C$17,MATCH(RIGHT('SC-New'!$D45,LEN($D45)-7),'Bulb Weighting'!$B$3:$B$17,0)+1,2)</f>
        <v>0</v>
      </c>
      <c r="G45" s="37">
        <f>VLOOKUP($C45,$C$33:$Y$36,G$31,FALSE)*$C$42*$A45/8760/1000*INDEX('Bulb Weighting'!$B$2:$C$17,MATCH(RIGHT('SC-New'!$D45,LEN($D45)-7),'Bulb Weighting'!$B$3:$B$17,0)+1,2)</f>
        <v>0</v>
      </c>
      <c r="H45" s="37">
        <f>VLOOKUP($C45,$C$33:$Y$36,H$31,FALSE)*$C$42*$A45/8760/1000*INDEX('Bulb Weighting'!$B$2:$C$17,MATCH(RIGHT('SC-New'!$D45,LEN($D45)-7),'Bulb Weighting'!$B$3:$B$17,0)+1,2)</f>
        <v>0</v>
      </c>
      <c r="I45" s="37">
        <f>VLOOKUP($C45,$C$33:$Y$36,I$31,FALSE)*$C$42*$A45/8760/1000*INDEX('Bulb Weighting'!$B$2:$C$17,MATCH(RIGHT('SC-New'!$D45,LEN($D45)-7),'Bulb Weighting'!$B$3:$B$17,0)+1,2)</f>
        <v>0</v>
      </c>
      <c r="J45" s="37">
        <f>VLOOKUP($C45,$C$33:$Y$36,J$31,FALSE)*$C$42*$A45/8760/1000*INDEX('Bulb Weighting'!$B$2:$C$17,MATCH(RIGHT('SC-New'!$D45,LEN($D45)-7),'Bulb Weighting'!$B$3:$B$17,0)+1,2)</f>
        <v>0</v>
      </c>
      <c r="K45" s="37">
        <f>VLOOKUP($C45,$C$33:$Y$36,K$31,FALSE)*$C$42*$A45/8760/1000*INDEX('Bulb Weighting'!$B$2:$C$17,MATCH(RIGHT('SC-New'!$D45,LEN($D45)-7),'Bulb Weighting'!$B$3:$B$17,0)+1,2)</f>
        <v>0</v>
      </c>
      <c r="L45" s="37">
        <f>VLOOKUP($C45,$C$33:$Y$36,L$31,FALSE)*$C$42*$A45/8760/1000*INDEX('Bulb Weighting'!$B$2:$C$17,MATCH(RIGHT('SC-New'!$D45,LEN($D45)-7),'Bulb Weighting'!$B$3:$B$17,0)+1,2)</f>
        <v>0</v>
      </c>
      <c r="M45" s="37">
        <f>VLOOKUP($C45,$C$33:$Y$36,M$31,FALSE)*$C$42*$A45/8760/1000*INDEX('Bulb Weighting'!$B$2:$C$17,MATCH(RIGHT('SC-New'!$D45,LEN($D45)-7),'Bulb Weighting'!$B$3:$B$17,0)+1,2)</f>
        <v>0</v>
      </c>
      <c r="N45" s="37">
        <f>VLOOKUP($C45,$C$33:$Y$36,N$31,FALSE)*$C$42*$A45/8760/1000*INDEX('Bulb Weighting'!$B$2:$C$17,MATCH(RIGHT('SC-New'!$D45,LEN($D45)-7),'Bulb Weighting'!$B$3:$B$17,0)+1,2)</f>
        <v>0</v>
      </c>
      <c r="O45" s="37">
        <f>VLOOKUP($C45,$C$33:$Y$36,O$31,FALSE)*$C$42*$A45/8760/1000*INDEX('Bulb Weighting'!$B$2:$C$17,MATCH(RIGHT('SC-New'!$D45,LEN($D45)-7),'Bulb Weighting'!$B$3:$B$17,0)+1,2)</f>
        <v>0</v>
      </c>
      <c r="P45" s="37">
        <f>VLOOKUP($C45,$C$33:$Y$36,P$31,FALSE)*$C$42*$A45/8760/1000*INDEX('Bulb Weighting'!$B$2:$C$17,MATCH(RIGHT('SC-New'!$D45,LEN($D45)-7),'Bulb Weighting'!$B$3:$B$17,0)+1,2)</f>
        <v>0</v>
      </c>
      <c r="Q45" s="37">
        <f>VLOOKUP($C45,$C$33:$Y$36,Q$31,FALSE)*$C$42*$A45/8760/1000*INDEX('Bulb Weighting'!$B$2:$C$17,MATCH(RIGHT('SC-New'!$D45,LEN($D45)-7),'Bulb Weighting'!$B$3:$B$17,0)+1,2)</f>
        <v>0</v>
      </c>
      <c r="R45" s="37">
        <f>VLOOKUP($C45,$C$33:$Y$36,R$31,FALSE)*$C$42*$A45/8760/1000*INDEX('Bulb Weighting'!$B$2:$C$17,MATCH(RIGHT('SC-New'!$D45,LEN($D45)-7),'Bulb Weighting'!$B$3:$B$17,0)+1,2)</f>
        <v>0</v>
      </c>
      <c r="S45" s="37">
        <f>VLOOKUP($C45,$C$33:$Y$36,S$31,FALSE)*$C$42*$A45/8760/1000*INDEX('Bulb Weighting'!$B$2:$C$17,MATCH(RIGHT('SC-New'!$D45,LEN($D45)-7),'Bulb Weighting'!$B$3:$B$17,0)+1,2)</f>
        <v>0</v>
      </c>
      <c r="T45" s="37">
        <f>VLOOKUP($C45,$C$33:$Y$36,T$31,FALSE)*$C$42*$A45/8760/1000*INDEX('Bulb Weighting'!$B$2:$C$17,MATCH(RIGHT('SC-New'!$D45,LEN($D45)-7),'Bulb Weighting'!$B$3:$B$17,0)+1,2)</f>
        <v>0</v>
      </c>
      <c r="U45" s="37">
        <f>VLOOKUP($C45,$C$33:$Y$36,U$31,FALSE)*$C$42*$A45/8760/1000*INDEX('Bulb Weighting'!$B$2:$C$17,MATCH(RIGHT('SC-New'!$D45,LEN($D45)-7),'Bulb Weighting'!$B$3:$B$17,0)+1,2)</f>
        <v>0</v>
      </c>
      <c r="V45" s="37">
        <f>VLOOKUP($C45,$C$33:$Y$36,V$31,FALSE)*$C$42*$A45/8760/1000*INDEX('Bulb Weighting'!$B$2:$C$17,MATCH(RIGHT('SC-New'!$D45,LEN($D45)-7),'Bulb Weighting'!$B$3:$B$17,0)+1,2)</f>
        <v>0</v>
      </c>
      <c r="W45" s="37">
        <f>VLOOKUP($C45,$C$33:$Y$36,W$31,FALSE)*$C$42*$A45/8760/1000*INDEX('Bulb Weighting'!$B$2:$C$17,MATCH(RIGHT('SC-New'!$D45,LEN($D45)-7),'Bulb Weighting'!$B$3:$B$17,0)+1,2)</f>
        <v>0</v>
      </c>
      <c r="X45" s="37">
        <f>VLOOKUP($C45,$C$33:$Y$36,X$31,FALSE)*$C$42*$A45/8760/1000*INDEX('Bulb Weighting'!$B$2:$C$17,MATCH(RIGHT('SC-New'!$D45,LEN($D45)-7),'Bulb Weighting'!$B$3:$B$17,0)+1,2)</f>
        <v>0</v>
      </c>
      <c r="Y45" s="37">
        <f t="shared" ref="Y45:Y103" si="18">SUM(E45:X45)</f>
        <v>3.3387861443476094E-2</v>
      </c>
      <c r="AA45" s="31">
        <f t="shared" si="17"/>
        <v>6.6775722886952188E-2</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row>
    <row r="46" spans="1:80">
      <c r="A46" s="89">
        <f t="shared" si="15"/>
        <v>7.1768930642853626</v>
      </c>
      <c r="B46" s="71">
        <f t="shared" si="16"/>
        <v>355.22288385759038</v>
      </c>
      <c r="C46" s="1" t="s">
        <v>29</v>
      </c>
      <c r="D46" t="s">
        <v>720</v>
      </c>
      <c r="E46" s="37">
        <f>VLOOKUP($C46,$C$33:$Y$36,E$31,FALSE)*$C$42*$A46/8760/1000*INDEX('Bulb Weighting'!$B$2:$C$17,MATCH(RIGHT('SC-New'!$D46,LEN($D46)-7),'Bulb Weighting'!$B$3:$B$17,0)+1,2)</f>
        <v>3.2484845637821845E-4</v>
      </c>
      <c r="F46" s="37">
        <f>VLOOKUP($C46,$C$33:$Y$36,F$31,FALSE)*$C$42*$A46/8760/1000*INDEX('Bulb Weighting'!$B$2:$C$17,MATCH(RIGHT('SC-New'!$D46,LEN($D46)-7),'Bulb Weighting'!$B$3:$B$17,0)+1,2)</f>
        <v>0</v>
      </c>
      <c r="G46" s="37">
        <f>VLOOKUP($C46,$C$33:$Y$36,G$31,FALSE)*$C$42*$A46/8760/1000*INDEX('Bulb Weighting'!$B$2:$C$17,MATCH(RIGHT('SC-New'!$D46,LEN($D46)-7),'Bulb Weighting'!$B$3:$B$17,0)+1,2)</f>
        <v>0</v>
      </c>
      <c r="H46" s="37">
        <f>VLOOKUP($C46,$C$33:$Y$36,H$31,FALSE)*$C$42*$A46/8760/1000*INDEX('Bulb Weighting'!$B$2:$C$17,MATCH(RIGHT('SC-New'!$D46,LEN($D46)-7),'Bulb Weighting'!$B$3:$B$17,0)+1,2)</f>
        <v>0</v>
      </c>
      <c r="I46" s="37">
        <f>VLOOKUP($C46,$C$33:$Y$36,I$31,FALSE)*$C$42*$A46/8760/1000*INDEX('Bulb Weighting'!$B$2:$C$17,MATCH(RIGHT('SC-New'!$D46,LEN($D46)-7),'Bulb Weighting'!$B$3:$B$17,0)+1,2)</f>
        <v>0</v>
      </c>
      <c r="J46" s="37">
        <f>VLOOKUP($C46,$C$33:$Y$36,J$31,FALSE)*$C$42*$A46/8760/1000*INDEX('Bulb Weighting'!$B$2:$C$17,MATCH(RIGHT('SC-New'!$D46,LEN($D46)-7),'Bulb Weighting'!$B$3:$B$17,0)+1,2)</f>
        <v>0</v>
      </c>
      <c r="K46" s="37">
        <f>VLOOKUP($C46,$C$33:$Y$36,K$31,FALSE)*$C$42*$A46/8760/1000*INDEX('Bulb Weighting'!$B$2:$C$17,MATCH(RIGHT('SC-New'!$D46,LEN($D46)-7),'Bulb Weighting'!$B$3:$B$17,0)+1,2)</f>
        <v>0</v>
      </c>
      <c r="L46" s="37">
        <f>VLOOKUP($C46,$C$33:$Y$36,L$31,FALSE)*$C$42*$A46/8760/1000*INDEX('Bulb Weighting'!$B$2:$C$17,MATCH(RIGHT('SC-New'!$D46,LEN($D46)-7),'Bulb Weighting'!$B$3:$B$17,0)+1,2)</f>
        <v>0</v>
      </c>
      <c r="M46" s="37">
        <f>VLOOKUP($C46,$C$33:$Y$36,M$31,FALSE)*$C$42*$A46/8760/1000*INDEX('Bulb Weighting'!$B$2:$C$17,MATCH(RIGHT('SC-New'!$D46,LEN($D46)-7),'Bulb Weighting'!$B$3:$B$17,0)+1,2)</f>
        <v>0</v>
      </c>
      <c r="N46" s="37">
        <f>VLOOKUP($C46,$C$33:$Y$36,N$31,FALSE)*$C$42*$A46/8760/1000*INDEX('Bulb Weighting'!$B$2:$C$17,MATCH(RIGHT('SC-New'!$D46,LEN($D46)-7),'Bulb Weighting'!$B$3:$B$17,0)+1,2)</f>
        <v>0</v>
      </c>
      <c r="O46" s="37">
        <f>VLOOKUP($C46,$C$33:$Y$36,O$31,FALSE)*$C$42*$A46/8760/1000*INDEX('Bulb Weighting'!$B$2:$C$17,MATCH(RIGHT('SC-New'!$D46,LEN($D46)-7),'Bulb Weighting'!$B$3:$B$17,0)+1,2)</f>
        <v>0</v>
      </c>
      <c r="P46" s="37">
        <f>VLOOKUP($C46,$C$33:$Y$36,P$31,FALSE)*$C$42*$A46/8760/1000*INDEX('Bulb Weighting'!$B$2:$C$17,MATCH(RIGHT('SC-New'!$D46,LEN($D46)-7),'Bulb Weighting'!$B$3:$B$17,0)+1,2)</f>
        <v>0</v>
      </c>
      <c r="Q46" s="37">
        <f>VLOOKUP($C46,$C$33:$Y$36,Q$31,FALSE)*$C$42*$A46/8760/1000*INDEX('Bulb Weighting'!$B$2:$C$17,MATCH(RIGHT('SC-New'!$D46,LEN($D46)-7),'Bulb Weighting'!$B$3:$B$17,0)+1,2)</f>
        <v>0</v>
      </c>
      <c r="R46" s="37">
        <f>VLOOKUP($C46,$C$33:$Y$36,R$31,FALSE)*$C$42*$A46/8760/1000*INDEX('Bulb Weighting'!$B$2:$C$17,MATCH(RIGHT('SC-New'!$D46,LEN($D46)-7),'Bulb Weighting'!$B$3:$B$17,0)+1,2)</f>
        <v>0</v>
      </c>
      <c r="S46" s="37">
        <f>VLOOKUP($C46,$C$33:$Y$36,S$31,FALSE)*$C$42*$A46/8760/1000*INDEX('Bulb Weighting'!$B$2:$C$17,MATCH(RIGHT('SC-New'!$D46,LEN($D46)-7),'Bulb Weighting'!$B$3:$B$17,0)+1,2)</f>
        <v>0</v>
      </c>
      <c r="T46" s="37">
        <f>VLOOKUP($C46,$C$33:$Y$36,T$31,FALSE)*$C$42*$A46/8760/1000*INDEX('Bulb Weighting'!$B$2:$C$17,MATCH(RIGHT('SC-New'!$D46,LEN($D46)-7),'Bulb Weighting'!$B$3:$B$17,0)+1,2)</f>
        <v>0</v>
      </c>
      <c r="U46" s="37">
        <f>VLOOKUP($C46,$C$33:$Y$36,U$31,FALSE)*$C$42*$A46/8760/1000*INDEX('Bulb Weighting'!$B$2:$C$17,MATCH(RIGHT('SC-New'!$D46,LEN($D46)-7),'Bulb Weighting'!$B$3:$B$17,0)+1,2)</f>
        <v>0</v>
      </c>
      <c r="V46" s="37">
        <f>VLOOKUP($C46,$C$33:$Y$36,V$31,FALSE)*$C$42*$A46/8760/1000*INDEX('Bulb Weighting'!$B$2:$C$17,MATCH(RIGHT('SC-New'!$D46,LEN($D46)-7),'Bulb Weighting'!$B$3:$B$17,0)+1,2)</f>
        <v>0</v>
      </c>
      <c r="W46" s="37">
        <f>VLOOKUP($C46,$C$33:$Y$36,W$31,FALSE)*$C$42*$A46/8760/1000*INDEX('Bulb Weighting'!$B$2:$C$17,MATCH(RIGHT('SC-New'!$D46,LEN($D46)-7),'Bulb Weighting'!$B$3:$B$17,0)+1,2)</f>
        <v>0</v>
      </c>
      <c r="X46" s="37">
        <f>VLOOKUP($C46,$C$33:$Y$36,X$31,FALSE)*$C$42*$A46/8760/1000*INDEX('Bulb Weighting'!$B$2:$C$17,MATCH(RIGHT('SC-New'!$D46,LEN($D46)-7),'Bulb Weighting'!$B$3:$B$17,0)+1,2)</f>
        <v>0</v>
      </c>
      <c r="Y46" s="37">
        <f t="shared" si="18"/>
        <v>3.2484845637821845E-4</v>
      </c>
      <c r="AA46" s="31">
        <f t="shared" si="17"/>
        <v>6.496969127564369E-4</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c r="A47" s="89">
        <f t="shared" si="15"/>
        <v>1.835623194306955</v>
      </c>
      <c r="B47" s="71">
        <f t="shared" si="16"/>
        <v>45.354656455601045</v>
      </c>
      <c r="C47" s="1" t="s">
        <v>29</v>
      </c>
      <c r="D47" t="s">
        <v>722</v>
      </c>
      <c r="E47" s="37">
        <f>VLOOKUP($C47,$C$33:$Y$36,E$31,FALSE)*$C$42*$A47/8760/1000*INDEX('Bulb Weighting'!$B$2:$C$17,MATCH(RIGHT('SC-New'!$D47,LEN($D47)-7),'Bulb Weighting'!$B$3:$B$17,0)+1,2)</f>
        <v>1.2875771216382517E-2</v>
      </c>
      <c r="F47" s="37">
        <f>VLOOKUP($C47,$C$33:$Y$36,F$31,FALSE)*$C$42*$A47/8760/1000*INDEX('Bulb Weighting'!$B$2:$C$17,MATCH(RIGHT('SC-New'!$D47,LEN($D47)-7),'Bulb Weighting'!$B$3:$B$17,0)+1,2)</f>
        <v>0</v>
      </c>
      <c r="G47" s="37">
        <f>VLOOKUP($C47,$C$33:$Y$36,G$31,FALSE)*$C$42*$A47/8760/1000*INDEX('Bulb Weighting'!$B$2:$C$17,MATCH(RIGHT('SC-New'!$D47,LEN($D47)-7),'Bulb Weighting'!$B$3:$B$17,0)+1,2)</f>
        <v>0</v>
      </c>
      <c r="H47" s="37">
        <f>VLOOKUP($C47,$C$33:$Y$36,H$31,FALSE)*$C$42*$A47/8760/1000*INDEX('Bulb Weighting'!$B$2:$C$17,MATCH(RIGHT('SC-New'!$D47,LEN($D47)-7),'Bulb Weighting'!$B$3:$B$17,0)+1,2)</f>
        <v>0</v>
      </c>
      <c r="I47" s="37">
        <f>VLOOKUP($C47,$C$33:$Y$36,I$31,FALSE)*$C$42*$A47/8760/1000*INDEX('Bulb Weighting'!$B$2:$C$17,MATCH(RIGHT('SC-New'!$D47,LEN($D47)-7),'Bulb Weighting'!$B$3:$B$17,0)+1,2)</f>
        <v>0</v>
      </c>
      <c r="J47" s="37">
        <f>VLOOKUP($C47,$C$33:$Y$36,J$31,FALSE)*$C$42*$A47/8760/1000*INDEX('Bulb Weighting'!$B$2:$C$17,MATCH(RIGHT('SC-New'!$D47,LEN($D47)-7),'Bulb Weighting'!$B$3:$B$17,0)+1,2)</f>
        <v>0</v>
      </c>
      <c r="K47" s="37">
        <f>VLOOKUP($C47,$C$33:$Y$36,K$31,FALSE)*$C$42*$A47/8760/1000*INDEX('Bulb Weighting'!$B$2:$C$17,MATCH(RIGHT('SC-New'!$D47,LEN($D47)-7),'Bulb Weighting'!$B$3:$B$17,0)+1,2)</f>
        <v>0</v>
      </c>
      <c r="L47" s="37">
        <f>VLOOKUP($C47,$C$33:$Y$36,L$31,FALSE)*$C$42*$A47/8760/1000*INDEX('Bulb Weighting'!$B$2:$C$17,MATCH(RIGHT('SC-New'!$D47,LEN($D47)-7),'Bulb Weighting'!$B$3:$B$17,0)+1,2)</f>
        <v>0</v>
      </c>
      <c r="M47" s="37">
        <f>VLOOKUP($C47,$C$33:$Y$36,M$31,FALSE)*$C$42*$A47/8760/1000*INDEX('Bulb Weighting'!$B$2:$C$17,MATCH(RIGHT('SC-New'!$D47,LEN($D47)-7),'Bulb Weighting'!$B$3:$B$17,0)+1,2)</f>
        <v>0</v>
      </c>
      <c r="N47" s="37">
        <f>VLOOKUP($C47,$C$33:$Y$36,N$31,FALSE)*$C$42*$A47/8760/1000*INDEX('Bulb Weighting'!$B$2:$C$17,MATCH(RIGHT('SC-New'!$D47,LEN($D47)-7),'Bulb Weighting'!$B$3:$B$17,0)+1,2)</f>
        <v>0</v>
      </c>
      <c r="O47" s="37">
        <f>VLOOKUP($C47,$C$33:$Y$36,O$31,FALSE)*$C$42*$A47/8760/1000*INDEX('Bulb Weighting'!$B$2:$C$17,MATCH(RIGHT('SC-New'!$D47,LEN($D47)-7),'Bulb Weighting'!$B$3:$B$17,0)+1,2)</f>
        <v>0</v>
      </c>
      <c r="P47" s="37">
        <f>VLOOKUP($C47,$C$33:$Y$36,P$31,FALSE)*$C$42*$A47/8760/1000*INDEX('Bulb Weighting'!$B$2:$C$17,MATCH(RIGHT('SC-New'!$D47,LEN($D47)-7),'Bulb Weighting'!$B$3:$B$17,0)+1,2)</f>
        <v>0</v>
      </c>
      <c r="Q47" s="37">
        <f>VLOOKUP($C47,$C$33:$Y$36,Q$31,FALSE)*$C$42*$A47/8760/1000*INDEX('Bulb Weighting'!$B$2:$C$17,MATCH(RIGHT('SC-New'!$D47,LEN($D47)-7),'Bulb Weighting'!$B$3:$B$17,0)+1,2)</f>
        <v>0</v>
      </c>
      <c r="R47" s="37">
        <f>VLOOKUP($C47,$C$33:$Y$36,R$31,FALSE)*$C$42*$A47/8760/1000*INDEX('Bulb Weighting'!$B$2:$C$17,MATCH(RIGHT('SC-New'!$D47,LEN($D47)-7),'Bulb Weighting'!$B$3:$B$17,0)+1,2)</f>
        <v>0</v>
      </c>
      <c r="S47" s="37">
        <f>VLOOKUP($C47,$C$33:$Y$36,S$31,FALSE)*$C$42*$A47/8760/1000*INDEX('Bulb Weighting'!$B$2:$C$17,MATCH(RIGHT('SC-New'!$D47,LEN($D47)-7),'Bulb Weighting'!$B$3:$B$17,0)+1,2)</f>
        <v>0</v>
      </c>
      <c r="T47" s="37">
        <f>VLOOKUP($C47,$C$33:$Y$36,T$31,FALSE)*$C$42*$A47/8760/1000*INDEX('Bulb Weighting'!$B$2:$C$17,MATCH(RIGHT('SC-New'!$D47,LEN($D47)-7),'Bulb Weighting'!$B$3:$B$17,0)+1,2)</f>
        <v>0</v>
      </c>
      <c r="U47" s="37">
        <f>VLOOKUP($C47,$C$33:$Y$36,U$31,FALSE)*$C$42*$A47/8760/1000*INDEX('Bulb Weighting'!$B$2:$C$17,MATCH(RIGHT('SC-New'!$D47,LEN($D47)-7),'Bulb Weighting'!$B$3:$B$17,0)+1,2)</f>
        <v>0</v>
      </c>
      <c r="V47" s="37">
        <f>VLOOKUP($C47,$C$33:$Y$36,V$31,FALSE)*$C$42*$A47/8760/1000*INDEX('Bulb Weighting'!$B$2:$C$17,MATCH(RIGHT('SC-New'!$D47,LEN($D47)-7),'Bulb Weighting'!$B$3:$B$17,0)+1,2)</f>
        <v>0</v>
      </c>
      <c r="W47" s="37">
        <f>VLOOKUP($C47,$C$33:$Y$36,W$31,FALSE)*$C$42*$A47/8760/1000*INDEX('Bulb Weighting'!$B$2:$C$17,MATCH(RIGHT('SC-New'!$D47,LEN($D47)-7),'Bulb Weighting'!$B$3:$B$17,0)+1,2)</f>
        <v>0</v>
      </c>
      <c r="X47" s="37">
        <f>VLOOKUP($C47,$C$33:$Y$36,X$31,FALSE)*$C$42*$A47/8760/1000*INDEX('Bulb Weighting'!$B$2:$C$17,MATCH(RIGHT('SC-New'!$D47,LEN($D47)-7),'Bulb Weighting'!$B$3:$B$17,0)+1,2)</f>
        <v>0</v>
      </c>
      <c r="Y47" s="37">
        <f t="shared" si="18"/>
        <v>1.2875771216382517E-2</v>
      </c>
      <c r="AA47" s="31"/>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c r="A48" s="89">
        <f t="shared" si="15"/>
        <v>7.1645689261628798</v>
      </c>
      <c r="B48" s="71">
        <f t="shared" si="16"/>
        <v>56.611757463143533</v>
      </c>
      <c r="C48" s="1" t="s">
        <v>29</v>
      </c>
      <c r="D48" t="s">
        <v>724</v>
      </c>
      <c r="E48" s="37">
        <f>VLOOKUP($C48,$C$33:$Y$36,E$31,FALSE)*$C$42*$A48/8760/1000*INDEX('Bulb Weighting'!$B$2:$C$17,MATCH(RIGHT('SC-New'!$D48,LEN($D48)-7),'Bulb Weighting'!$B$3:$B$17,0)+1,2)</f>
        <v>0.38779130543257134</v>
      </c>
      <c r="F48" s="37">
        <f>VLOOKUP($C48,$C$33:$Y$36,F$31,FALSE)*$C$42*$A48/8760/1000*INDEX('Bulb Weighting'!$B$2:$C$17,MATCH(RIGHT('SC-New'!$D48,LEN($D48)-7),'Bulb Weighting'!$B$3:$B$17,0)+1,2)</f>
        <v>0</v>
      </c>
      <c r="G48" s="37">
        <f>VLOOKUP($C48,$C$33:$Y$36,G$31,FALSE)*$C$42*$A48/8760/1000*INDEX('Bulb Weighting'!$B$2:$C$17,MATCH(RIGHT('SC-New'!$D48,LEN($D48)-7),'Bulb Weighting'!$B$3:$B$17,0)+1,2)</f>
        <v>0</v>
      </c>
      <c r="H48" s="37">
        <f>VLOOKUP($C48,$C$33:$Y$36,H$31,FALSE)*$C$42*$A48/8760/1000*INDEX('Bulb Weighting'!$B$2:$C$17,MATCH(RIGHT('SC-New'!$D48,LEN($D48)-7),'Bulb Weighting'!$B$3:$B$17,0)+1,2)</f>
        <v>0</v>
      </c>
      <c r="I48" s="37">
        <f>VLOOKUP($C48,$C$33:$Y$36,I$31,FALSE)*$C$42*$A48/8760/1000*INDEX('Bulb Weighting'!$B$2:$C$17,MATCH(RIGHT('SC-New'!$D48,LEN($D48)-7),'Bulb Weighting'!$B$3:$B$17,0)+1,2)</f>
        <v>0</v>
      </c>
      <c r="J48" s="37">
        <f>VLOOKUP($C48,$C$33:$Y$36,J$31,FALSE)*$C$42*$A48/8760/1000*INDEX('Bulb Weighting'!$B$2:$C$17,MATCH(RIGHT('SC-New'!$D48,LEN($D48)-7),'Bulb Weighting'!$B$3:$B$17,0)+1,2)</f>
        <v>0</v>
      </c>
      <c r="K48" s="37">
        <f>VLOOKUP($C48,$C$33:$Y$36,K$31,FALSE)*$C$42*$A48/8760/1000*INDEX('Bulb Weighting'!$B$2:$C$17,MATCH(RIGHT('SC-New'!$D48,LEN($D48)-7),'Bulb Weighting'!$B$3:$B$17,0)+1,2)</f>
        <v>0</v>
      </c>
      <c r="L48" s="37">
        <f>VLOOKUP($C48,$C$33:$Y$36,L$31,FALSE)*$C$42*$A48/8760/1000*INDEX('Bulb Weighting'!$B$2:$C$17,MATCH(RIGHT('SC-New'!$D48,LEN($D48)-7),'Bulb Weighting'!$B$3:$B$17,0)+1,2)</f>
        <v>0</v>
      </c>
      <c r="M48" s="37">
        <f>VLOOKUP($C48,$C$33:$Y$36,M$31,FALSE)*$C$42*$A48/8760/1000*INDEX('Bulb Weighting'!$B$2:$C$17,MATCH(RIGHT('SC-New'!$D48,LEN($D48)-7),'Bulb Weighting'!$B$3:$B$17,0)+1,2)</f>
        <v>0</v>
      </c>
      <c r="N48" s="37">
        <f>VLOOKUP($C48,$C$33:$Y$36,N$31,FALSE)*$C$42*$A48/8760/1000*INDEX('Bulb Weighting'!$B$2:$C$17,MATCH(RIGHT('SC-New'!$D48,LEN($D48)-7),'Bulb Weighting'!$B$3:$B$17,0)+1,2)</f>
        <v>0</v>
      </c>
      <c r="O48" s="37">
        <f>VLOOKUP($C48,$C$33:$Y$36,O$31,FALSE)*$C$42*$A48/8760/1000*INDEX('Bulb Weighting'!$B$2:$C$17,MATCH(RIGHT('SC-New'!$D48,LEN($D48)-7),'Bulb Weighting'!$B$3:$B$17,0)+1,2)</f>
        <v>0</v>
      </c>
      <c r="P48" s="37">
        <f>VLOOKUP($C48,$C$33:$Y$36,P$31,FALSE)*$C$42*$A48/8760/1000*INDEX('Bulb Weighting'!$B$2:$C$17,MATCH(RIGHT('SC-New'!$D48,LEN($D48)-7),'Bulb Weighting'!$B$3:$B$17,0)+1,2)</f>
        <v>0</v>
      </c>
      <c r="Q48" s="37">
        <f>VLOOKUP($C48,$C$33:$Y$36,Q$31,FALSE)*$C$42*$A48/8760/1000*INDEX('Bulb Weighting'!$B$2:$C$17,MATCH(RIGHT('SC-New'!$D48,LEN($D48)-7),'Bulb Weighting'!$B$3:$B$17,0)+1,2)</f>
        <v>0</v>
      </c>
      <c r="R48" s="37">
        <f>VLOOKUP($C48,$C$33:$Y$36,R$31,FALSE)*$C$42*$A48/8760/1000*INDEX('Bulb Weighting'!$B$2:$C$17,MATCH(RIGHT('SC-New'!$D48,LEN($D48)-7),'Bulb Weighting'!$B$3:$B$17,0)+1,2)</f>
        <v>0</v>
      </c>
      <c r="S48" s="37">
        <f>VLOOKUP($C48,$C$33:$Y$36,S$31,FALSE)*$C$42*$A48/8760/1000*INDEX('Bulb Weighting'!$B$2:$C$17,MATCH(RIGHT('SC-New'!$D48,LEN($D48)-7),'Bulb Weighting'!$B$3:$B$17,0)+1,2)</f>
        <v>0</v>
      </c>
      <c r="T48" s="37">
        <f>VLOOKUP($C48,$C$33:$Y$36,T$31,FALSE)*$C$42*$A48/8760/1000*INDEX('Bulb Weighting'!$B$2:$C$17,MATCH(RIGHT('SC-New'!$D48,LEN($D48)-7),'Bulb Weighting'!$B$3:$B$17,0)+1,2)</f>
        <v>0</v>
      </c>
      <c r="U48" s="37">
        <f>VLOOKUP($C48,$C$33:$Y$36,U$31,FALSE)*$C$42*$A48/8760/1000*INDEX('Bulb Weighting'!$B$2:$C$17,MATCH(RIGHT('SC-New'!$D48,LEN($D48)-7),'Bulb Weighting'!$B$3:$B$17,0)+1,2)</f>
        <v>0</v>
      </c>
      <c r="V48" s="37">
        <f>VLOOKUP($C48,$C$33:$Y$36,V$31,FALSE)*$C$42*$A48/8760/1000*INDEX('Bulb Weighting'!$B$2:$C$17,MATCH(RIGHT('SC-New'!$D48,LEN($D48)-7),'Bulb Weighting'!$B$3:$B$17,0)+1,2)</f>
        <v>0</v>
      </c>
      <c r="W48" s="37">
        <f>VLOOKUP($C48,$C$33:$Y$36,W$31,FALSE)*$C$42*$A48/8760/1000*INDEX('Bulb Weighting'!$B$2:$C$17,MATCH(RIGHT('SC-New'!$D48,LEN($D48)-7),'Bulb Weighting'!$B$3:$B$17,0)+1,2)</f>
        <v>0</v>
      </c>
      <c r="X48" s="37">
        <f>VLOOKUP($C48,$C$33:$Y$36,X$31,FALSE)*$C$42*$A48/8760/1000*INDEX('Bulb Weighting'!$B$2:$C$17,MATCH(RIGHT('SC-New'!$D48,LEN($D48)-7),'Bulb Weighting'!$B$3:$B$17,0)+1,2)</f>
        <v>0</v>
      </c>
      <c r="Y48" s="37">
        <f t="shared" si="18"/>
        <v>0.38779130543257134</v>
      </c>
      <c r="AA48" s="31"/>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c r="A49" s="89">
        <f t="shared" si="15"/>
        <v>13.386672313322151</v>
      </c>
      <c r="B49" s="71">
        <f t="shared" si="16"/>
        <v>91.063681093838966</v>
      </c>
      <c r="C49" s="1" t="s">
        <v>29</v>
      </c>
      <c r="D49" t="s">
        <v>726</v>
      </c>
      <c r="E49" s="37">
        <f>VLOOKUP($C49,$C$33:$Y$36,E$31,FALSE)*$C$42*$A49/8760/1000*INDEX('Bulb Weighting'!$B$2:$C$17,MATCH(RIGHT('SC-New'!$D49,LEN($D49)-7),'Bulb Weighting'!$B$3:$B$17,0)+1,2)</f>
        <v>7.2240605652077211E-2</v>
      </c>
      <c r="F49" s="37">
        <f>VLOOKUP($C49,$C$33:$Y$36,F$31,FALSE)*$C$42*$A49/8760/1000*INDEX('Bulb Weighting'!$B$2:$C$17,MATCH(RIGHT('SC-New'!$D49,LEN($D49)-7),'Bulb Weighting'!$B$3:$B$17,0)+1,2)</f>
        <v>0</v>
      </c>
      <c r="G49" s="37">
        <f>VLOOKUP($C49,$C$33:$Y$36,G$31,FALSE)*$C$42*$A49/8760/1000*INDEX('Bulb Weighting'!$B$2:$C$17,MATCH(RIGHT('SC-New'!$D49,LEN($D49)-7),'Bulb Weighting'!$B$3:$B$17,0)+1,2)</f>
        <v>0</v>
      </c>
      <c r="H49" s="37">
        <f>VLOOKUP($C49,$C$33:$Y$36,H$31,FALSE)*$C$42*$A49/8760/1000*INDEX('Bulb Weighting'!$B$2:$C$17,MATCH(RIGHT('SC-New'!$D49,LEN($D49)-7),'Bulb Weighting'!$B$3:$B$17,0)+1,2)</f>
        <v>0</v>
      </c>
      <c r="I49" s="37">
        <f>VLOOKUP($C49,$C$33:$Y$36,I$31,FALSE)*$C$42*$A49/8760/1000*INDEX('Bulb Weighting'!$B$2:$C$17,MATCH(RIGHT('SC-New'!$D49,LEN($D49)-7),'Bulb Weighting'!$B$3:$B$17,0)+1,2)</f>
        <v>0</v>
      </c>
      <c r="J49" s="37">
        <f>VLOOKUP($C49,$C$33:$Y$36,J$31,FALSE)*$C$42*$A49/8760/1000*INDEX('Bulb Weighting'!$B$2:$C$17,MATCH(RIGHT('SC-New'!$D49,LEN($D49)-7),'Bulb Weighting'!$B$3:$B$17,0)+1,2)</f>
        <v>0</v>
      </c>
      <c r="K49" s="37">
        <f>VLOOKUP($C49,$C$33:$Y$36,K$31,FALSE)*$C$42*$A49/8760/1000*INDEX('Bulb Weighting'!$B$2:$C$17,MATCH(RIGHT('SC-New'!$D49,LEN($D49)-7),'Bulb Weighting'!$B$3:$B$17,0)+1,2)</f>
        <v>0</v>
      </c>
      <c r="L49" s="37">
        <f>VLOOKUP($C49,$C$33:$Y$36,L$31,FALSE)*$C$42*$A49/8760/1000*INDEX('Bulb Weighting'!$B$2:$C$17,MATCH(RIGHT('SC-New'!$D49,LEN($D49)-7),'Bulb Weighting'!$B$3:$B$17,0)+1,2)</f>
        <v>0</v>
      </c>
      <c r="M49" s="37">
        <f>VLOOKUP($C49,$C$33:$Y$36,M$31,FALSE)*$C$42*$A49/8760/1000*INDEX('Bulb Weighting'!$B$2:$C$17,MATCH(RIGHT('SC-New'!$D49,LEN($D49)-7),'Bulb Weighting'!$B$3:$B$17,0)+1,2)</f>
        <v>0</v>
      </c>
      <c r="N49" s="37">
        <f>VLOOKUP($C49,$C$33:$Y$36,N$31,FALSE)*$C$42*$A49/8760/1000*INDEX('Bulb Weighting'!$B$2:$C$17,MATCH(RIGHT('SC-New'!$D49,LEN($D49)-7),'Bulb Weighting'!$B$3:$B$17,0)+1,2)</f>
        <v>0</v>
      </c>
      <c r="O49" s="37">
        <f>VLOOKUP($C49,$C$33:$Y$36,O$31,FALSE)*$C$42*$A49/8760/1000*INDEX('Bulb Weighting'!$B$2:$C$17,MATCH(RIGHT('SC-New'!$D49,LEN($D49)-7),'Bulb Weighting'!$B$3:$B$17,0)+1,2)</f>
        <v>0</v>
      </c>
      <c r="P49" s="37">
        <f>VLOOKUP($C49,$C$33:$Y$36,P$31,FALSE)*$C$42*$A49/8760/1000*INDEX('Bulb Weighting'!$B$2:$C$17,MATCH(RIGHT('SC-New'!$D49,LEN($D49)-7),'Bulb Weighting'!$B$3:$B$17,0)+1,2)</f>
        <v>0</v>
      </c>
      <c r="Q49" s="37">
        <f>VLOOKUP($C49,$C$33:$Y$36,Q$31,FALSE)*$C$42*$A49/8760/1000*INDEX('Bulb Weighting'!$B$2:$C$17,MATCH(RIGHT('SC-New'!$D49,LEN($D49)-7),'Bulb Weighting'!$B$3:$B$17,0)+1,2)</f>
        <v>0</v>
      </c>
      <c r="R49" s="37">
        <f>VLOOKUP($C49,$C$33:$Y$36,R$31,FALSE)*$C$42*$A49/8760/1000*INDEX('Bulb Weighting'!$B$2:$C$17,MATCH(RIGHT('SC-New'!$D49,LEN($D49)-7),'Bulb Weighting'!$B$3:$B$17,0)+1,2)</f>
        <v>0</v>
      </c>
      <c r="S49" s="37">
        <f>VLOOKUP($C49,$C$33:$Y$36,S$31,FALSE)*$C$42*$A49/8760/1000*INDEX('Bulb Weighting'!$B$2:$C$17,MATCH(RIGHT('SC-New'!$D49,LEN($D49)-7),'Bulb Weighting'!$B$3:$B$17,0)+1,2)</f>
        <v>0</v>
      </c>
      <c r="T49" s="37">
        <f>VLOOKUP($C49,$C$33:$Y$36,T$31,FALSE)*$C$42*$A49/8760/1000*INDEX('Bulb Weighting'!$B$2:$C$17,MATCH(RIGHT('SC-New'!$D49,LEN($D49)-7),'Bulb Weighting'!$B$3:$B$17,0)+1,2)</f>
        <v>0</v>
      </c>
      <c r="U49" s="37">
        <f>VLOOKUP($C49,$C$33:$Y$36,U$31,FALSE)*$C$42*$A49/8760/1000*INDEX('Bulb Weighting'!$B$2:$C$17,MATCH(RIGHT('SC-New'!$D49,LEN($D49)-7),'Bulb Weighting'!$B$3:$B$17,0)+1,2)</f>
        <v>0</v>
      </c>
      <c r="V49" s="37">
        <f>VLOOKUP($C49,$C$33:$Y$36,V$31,FALSE)*$C$42*$A49/8760/1000*INDEX('Bulb Weighting'!$B$2:$C$17,MATCH(RIGHT('SC-New'!$D49,LEN($D49)-7),'Bulb Weighting'!$B$3:$B$17,0)+1,2)</f>
        <v>0</v>
      </c>
      <c r="W49" s="37">
        <f>VLOOKUP($C49,$C$33:$Y$36,W$31,FALSE)*$C$42*$A49/8760/1000*INDEX('Bulb Weighting'!$B$2:$C$17,MATCH(RIGHT('SC-New'!$D49,LEN($D49)-7),'Bulb Weighting'!$B$3:$B$17,0)+1,2)</f>
        <v>0</v>
      </c>
      <c r="X49" s="37">
        <f>VLOOKUP($C49,$C$33:$Y$36,X$31,FALSE)*$C$42*$A49/8760/1000*INDEX('Bulb Weighting'!$B$2:$C$17,MATCH(RIGHT('SC-New'!$D49,LEN($D49)-7),'Bulb Weighting'!$B$3:$B$17,0)+1,2)</f>
        <v>0</v>
      </c>
      <c r="Y49" s="37">
        <f t="shared" si="18"/>
        <v>7.2240605652077211E-2</v>
      </c>
      <c r="AA49" s="31"/>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c r="A50" s="89">
        <f t="shared" si="15"/>
        <v>14.33449498481688</v>
      </c>
      <c r="B50" s="71">
        <f t="shared" si="16"/>
        <v>-37.397069706053522</v>
      </c>
      <c r="C50" s="1" t="s">
        <v>29</v>
      </c>
      <c r="D50" t="s">
        <v>728</v>
      </c>
      <c r="E50" s="37">
        <f>VLOOKUP($C50,$C$33:$Y$36,E$31,FALSE)*$C$42*$A50/8760/1000*INDEX('Bulb Weighting'!$B$2:$C$17,MATCH(RIGHT('SC-New'!$D50,LEN($D50)-7),'Bulb Weighting'!$B$3:$B$17,0)+1,2)</f>
        <v>6.6113878749598343E-2</v>
      </c>
      <c r="F50" s="37">
        <f>VLOOKUP($C50,$C$33:$Y$36,F$31,FALSE)*$C$42*$A50/8760/1000*INDEX('Bulb Weighting'!$B$2:$C$17,MATCH(RIGHT('SC-New'!$D50,LEN($D50)-7),'Bulb Weighting'!$B$3:$B$17,0)+1,2)</f>
        <v>0</v>
      </c>
      <c r="G50" s="37">
        <f>VLOOKUP($C50,$C$33:$Y$36,G$31,FALSE)*$C$42*$A50/8760/1000*INDEX('Bulb Weighting'!$B$2:$C$17,MATCH(RIGHT('SC-New'!$D50,LEN($D50)-7),'Bulb Weighting'!$B$3:$B$17,0)+1,2)</f>
        <v>0</v>
      </c>
      <c r="H50" s="37">
        <f>VLOOKUP($C50,$C$33:$Y$36,H$31,FALSE)*$C$42*$A50/8760/1000*INDEX('Bulb Weighting'!$B$2:$C$17,MATCH(RIGHT('SC-New'!$D50,LEN($D50)-7),'Bulb Weighting'!$B$3:$B$17,0)+1,2)</f>
        <v>0</v>
      </c>
      <c r="I50" s="37">
        <f>VLOOKUP($C50,$C$33:$Y$36,I$31,FALSE)*$C$42*$A50/8760/1000*INDEX('Bulb Weighting'!$B$2:$C$17,MATCH(RIGHT('SC-New'!$D50,LEN($D50)-7),'Bulb Weighting'!$B$3:$B$17,0)+1,2)</f>
        <v>0</v>
      </c>
      <c r="J50" s="37">
        <f>VLOOKUP($C50,$C$33:$Y$36,J$31,FALSE)*$C$42*$A50/8760/1000*INDEX('Bulb Weighting'!$B$2:$C$17,MATCH(RIGHT('SC-New'!$D50,LEN($D50)-7),'Bulb Weighting'!$B$3:$B$17,0)+1,2)</f>
        <v>0</v>
      </c>
      <c r="K50" s="37">
        <f>VLOOKUP($C50,$C$33:$Y$36,K$31,FALSE)*$C$42*$A50/8760/1000*INDEX('Bulb Weighting'!$B$2:$C$17,MATCH(RIGHT('SC-New'!$D50,LEN($D50)-7),'Bulb Weighting'!$B$3:$B$17,0)+1,2)</f>
        <v>0</v>
      </c>
      <c r="L50" s="37">
        <f>VLOOKUP($C50,$C$33:$Y$36,L$31,FALSE)*$C$42*$A50/8760/1000*INDEX('Bulb Weighting'!$B$2:$C$17,MATCH(RIGHT('SC-New'!$D50,LEN($D50)-7),'Bulb Weighting'!$B$3:$B$17,0)+1,2)</f>
        <v>0</v>
      </c>
      <c r="M50" s="37">
        <f>VLOOKUP($C50,$C$33:$Y$36,M$31,FALSE)*$C$42*$A50/8760/1000*INDEX('Bulb Weighting'!$B$2:$C$17,MATCH(RIGHT('SC-New'!$D50,LEN($D50)-7),'Bulb Weighting'!$B$3:$B$17,0)+1,2)</f>
        <v>0</v>
      </c>
      <c r="N50" s="37">
        <f>VLOOKUP($C50,$C$33:$Y$36,N$31,FALSE)*$C$42*$A50/8760/1000*INDEX('Bulb Weighting'!$B$2:$C$17,MATCH(RIGHT('SC-New'!$D50,LEN($D50)-7),'Bulb Weighting'!$B$3:$B$17,0)+1,2)</f>
        <v>0</v>
      </c>
      <c r="O50" s="37">
        <f>VLOOKUP($C50,$C$33:$Y$36,O$31,FALSE)*$C$42*$A50/8760/1000*INDEX('Bulb Weighting'!$B$2:$C$17,MATCH(RIGHT('SC-New'!$D50,LEN($D50)-7),'Bulb Weighting'!$B$3:$B$17,0)+1,2)</f>
        <v>0</v>
      </c>
      <c r="P50" s="37">
        <f>VLOOKUP($C50,$C$33:$Y$36,P$31,FALSE)*$C$42*$A50/8760/1000*INDEX('Bulb Weighting'!$B$2:$C$17,MATCH(RIGHT('SC-New'!$D50,LEN($D50)-7),'Bulb Weighting'!$B$3:$B$17,0)+1,2)</f>
        <v>0</v>
      </c>
      <c r="Q50" s="37">
        <f>VLOOKUP($C50,$C$33:$Y$36,Q$31,FALSE)*$C$42*$A50/8760/1000*INDEX('Bulb Weighting'!$B$2:$C$17,MATCH(RIGHT('SC-New'!$D50,LEN($D50)-7),'Bulb Weighting'!$B$3:$B$17,0)+1,2)</f>
        <v>0</v>
      </c>
      <c r="R50" s="37">
        <f>VLOOKUP($C50,$C$33:$Y$36,R$31,FALSE)*$C$42*$A50/8760/1000*INDEX('Bulb Weighting'!$B$2:$C$17,MATCH(RIGHT('SC-New'!$D50,LEN($D50)-7),'Bulb Weighting'!$B$3:$B$17,0)+1,2)</f>
        <v>0</v>
      </c>
      <c r="S50" s="37">
        <f>VLOOKUP($C50,$C$33:$Y$36,S$31,FALSE)*$C$42*$A50/8760/1000*INDEX('Bulb Weighting'!$B$2:$C$17,MATCH(RIGHT('SC-New'!$D50,LEN($D50)-7),'Bulb Weighting'!$B$3:$B$17,0)+1,2)</f>
        <v>0</v>
      </c>
      <c r="T50" s="37">
        <f>VLOOKUP($C50,$C$33:$Y$36,T$31,FALSE)*$C$42*$A50/8760/1000*INDEX('Bulb Weighting'!$B$2:$C$17,MATCH(RIGHT('SC-New'!$D50,LEN($D50)-7),'Bulb Weighting'!$B$3:$B$17,0)+1,2)</f>
        <v>0</v>
      </c>
      <c r="U50" s="37">
        <f>VLOOKUP($C50,$C$33:$Y$36,U$31,FALSE)*$C$42*$A50/8760/1000*INDEX('Bulb Weighting'!$B$2:$C$17,MATCH(RIGHT('SC-New'!$D50,LEN($D50)-7),'Bulb Weighting'!$B$3:$B$17,0)+1,2)</f>
        <v>0</v>
      </c>
      <c r="V50" s="37">
        <f>VLOOKUP($C50,$C$33:$Y$36,V$31,FALSE)*$C$42*$A50/8760/1000*INDEX('Bulb Weighting'!$B$2:$C$17,MATCH(RIGHT('SC-New'!$D50,LEN($D50)-7),'Bulb Weighting'!$B$3:$B$17,0)+1,2)</f>
        <v>0</v>
      </c>
      <c r="W50" s="37">
        <f>VLOOKUP($C50,$C$33:$Y$36,W$31,FALSE)*$C$42*$A50/8760/1000*INDEX('Bulb Weighting'!$B$2:$C$17,MATCH(RIGHT('SC-New'!$D50,LEN($D50)-7),'Bulb Weighting'!$B$3:$B$17,0)+1,2)</f>
        <v>0</v>
      </c>
      <c r="X50" s="37">
        <f>VLOOKUP($C50,$C$33:$Y$36,X$31,FALSE)*$C$42*$A50/8760/1000*INDEX('Bulb Weighting'!$B$2:$C$17,MATCH(RIGHT('SC-New'!$D50,LEN($D50)-7),'Bulb Weighting'!$B$3:$B$17,0)+1,2)</f>
        <v>0</v>
      </c>
      <c r="Y50" s="37">
        <f t="shared" si="18"/>
        <v>6.6113878749598343E-2</v>
      </c>
      <c r="AA50" s="31"/>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c r="A51" s="89">
        <f t="shared" si="15"/>
        <v>9.8723739493112301</v>
      </c>
      <c r="B51" s="71">
        <f t="shared" si="16"/>
        <v>-94.996719014918995</v>
      </c>
      <c r="C51" s="1" t="s">
        <v>29</v>
      </c>
      <c r="D51" t="s">
        <v>730</v>
      </c>
      <c r="E51" s="37">
        <f>VLOOKUP($C51,$C$33:$Y$36,E$31,FALSE)*$C$42*$A51/8760/1000*INDEX('Bulb Weighting'!$B$2:$C$17,MATCH(RIGHT('SC-New'!$D51,LEN($D51)-7),'Bulb Weighting'!$B$3:$B$17,0)+1,2)</f>
        <v>2.7765215939883906E-2</v>
      </c>
      <c r="F51" s="37">
        <f>VLOOKUP($C51,$C$33:$Y$36,F$31,FALSE)*$C$42*$A51/8760/1000*INDEX('Bulb Weighting'!$B$2:$C$17,MATCH(RIGHT('SC-New'!$D51,LEN($D51)-7),'Bulb Weighting'!$B$3:$B$17,0)+1,2)</f>
        <v>0</v>
      </c>
      <c r="G51" s="37">
        <f>VLOOKUP($C51,$C$33:$Y$36,G$31,FALSE)*$C$42*$A51/8760/1000*INDEX('Bulb Weighting'!$B$2:$C$17,MATCH(RIGHT('SC-New'!$D51,LEN($D51)-7),'Bulb Weighting'!$B$3:$B$17,0)+1,2)</f>
        <v>0</v>
      </c>
      <c r="H51" s="37">
        <f>VLOOKUP($C51,$C$33:$Y$36,H$31,FALSE)*$C$42*$A51/8760/1000*INDEX('Bulb Weighting'!$B$2:$C$17,MATCH(RIGHT('SC-New'!$D51,LEN($D51)-7),'Bulb Weighting'!$B$3:$B$17,0)+1,2)</f>
        <v>0</v>
      </c>
      <c r="I51" s="37">
        <f>VLOOKUP($C51,$C$33:$Y$36,I$31,FALSE)*$C$42*$A51/8760/1000*INDEX('Bulb Weighting'!$B$2:$C$17,MATCH(RIGHT('SC-New'!$D51,LEN($D51)-7),'Bulb Weighting'!$B$3:$B$17,0)+1,2)</f>
        <v>0</v>
      </c>
      <c r="J51" s="37">
        <f>VLOOKUP($C51,$C$33:$Y$36,J$31,FALSE)*$C$42*$A51/8760/1000*INDEX('Bulb Weighting'!$B$2:$C$17,MATCH(RIGHT('SC-New'!$D51,LEN($D51)-7),'Bulb Weighting'!$B$3:$B$17,0)+1,2)</f>
        <v>0</v>
      </c>
      <c r="K51" s="37">
        <f>VLOOKUP($C51,$C$33:$Y$36,K$31,FALSE)*$C$42*$A51/8760/1000*INDEX('Bulb Weighting'!$B$2:$C$17,MATCH(RIGHT('SC-New'!$D51,LEN($D51)-7),'Bulb Weighting'!$B$3:$B$17,0)+1,2)</f>
        <v>0</v>
      </c>
      <c r="L51" s="37">
        <f>VLOOKUP($C51,$C$33:$Y$36,L$31,FALSE)*$C$42*$A51/8760/1000*INDEX('Bulb Weighting'!$B$2:$C$17,MATCH(RIGHT('SC-New'!$D51,LEN($D51)-7),'Bulb Weighting'!$B$3:$B$17,0)+1,2)</f>
        <v>0</v>
      </c>
      <c r="M51" s="37">
        <f>VLOOKUP($C51,$C$33:$Y$36,M$31,FALSE)*$C$42*$A51/8760/1000*INDEX('Bulb Weighting'!$B$2:$C$17,MATCH(RIGHT('SC-New'!$D51,LEN($D51)-7),'Bulb Weighting'!$B$3:$B$17,0)+1,2)</f>
        <v>0</v>
      </c>
      <c r="N51" s="37">
        <f>VLOOKUP($C51,$C$33:$Y$36,N$31,FALSE)*$C$42*$A51/8760/1000*INDEX('Bulb Weighting'!$B$2:$C$17,MATCH(RIGHT('SC-New'!$D51,LEN($D51)-7),'Bulb Weighting'!$B$3:$B$17,0)+1,2)</f>
        <v>0</v>
      </c>
      <c r="O51" s="37">
        <f>VLOOKUP($C51,$C$33:$Y$36,O$31,FALSE)*$C$42*$A51/8760/1000*INDEX('Bulb Weighting'!$B$2:$C$17,MATCH(RIGHT('SC-New'!$D51,LEN($D51)-7),'Bulb Weighting'!$B$3:$B$17,0)+1,2)</f>
        <v>0</v>
      </c>
      <c r="P51" s="37">
        <f>VLOOKUP($C51,$C$33:$Y$36,P$31,FALSE)*$C$42*$A51/8760/1000*INDEX('Bulb Weighting'!$B$2:$C$17,MATCH(RIGHT('SC-New'!$D51,LEN($D51)-7),'Bulb Weighting'!$B$3:$B$17,0)+1,2)</f>
        <v>0</v>
      </c>
      <c r="Q51" s="37">
        <f>VLOOKUP($C51,$C$33:$Y$36,Q$31,FALSE)*$C$42*$A51/8760/1000*INDEX('Bulb Weighting'!$B$2:$C$17,MATCH(RIGHT('SC-New'!$D51,LEN($D51)-7),'Bulb Weighting'!$B$3:$B$17,0)+1,2)</f>
        <v>0</v>
      </c>
      <c r="R51" s="37">
        <f>VLOOKUP($C51,$C$33:$Y$36,R$31,FALSE)*$C$42*$A51/8760/1000*INDEX('Bulb Weighting'!$B$2:$C$17,MATCH(RIGHT('SC-New'!$D51,LEN($D51)-7),'Bulb Weighting'!$B$3:$B$17,0)+1,2)</f>
        <v>0</v>
      </c>
      <c r="S51" s="37">
        <f>VLOOKUP($C51,$C$33:$Y$36,S$31,FALSE)*$C$42*$A51/8760/1000*INDEX('Bulb Weighting'!$B$2:$C$17,MATCH(RIGHT('SC-New'!$D51,LEN($D51)-7),'Bulb Weighting'!$B$3:$B$17,0)+1,2)</f>
        <v>0</v>
      </c>
      <c r="T51" s="37">
        <f>VLOOKUP($C51,$C$33:$Y$36,T$31,FALSE)*$C$42*$A51/8760/1000*INDEX('Bulb Weighting'!$B$2:$C$17,MATCH(RIGHT('SC-New'!$D51,LEN($D51)-7),'Bulb Weighting'!$B$3:$B$17,0)+1,2)</f>
        <v>0</v>
      </c>
      <c r="U51" s="37">
        <f>VLOOKUP($C51,$C$33:$Y$36,U$31,FALSE)*$C$42*$A51/8760/1000*INDEX('Bulb Weighting'!$B$2:$C$17,MATCH(RIGHT('SC-New'!$D51,LEN($D51)-7),'Bulb Weighting'!$B$3:$B$17,0)+1,2)</f>
        <v>0</v>
      </c>
      <c r="V51" s="37">
        <f>VLOOKUP($C51,$C$33:$Y$36,V$31,FALSE)*$C$42*$A51/8760/1000*INDEX('Bulb Weighting'!$B$2:$C$17,MATCH(RIGHT('SC-New'!$D51,LEN($D51)-7),'Bulb Weighting'!$B$3:$B$17,0)+1,2)</f>
        <v>0</v>
      </c>
      <c r="W51" s="37">
        <f>VLOOKUP($C51,$C$33:$Y$36,W$31,FALSE)*$C$42*$A51/8760/1000*INDEX('Bulb Weighting'!$B$2:$C$17,MATCH(RIGHT('SC-New'!$D51,LEN($D51)-7),'Bulb Weighting'!$B$3:$B$17,0)+1,2)</f>
        <v>0</v>
      </c>
      <c r="X51" s="37">
        <f>VLOOKUP($C51,$C$33:$Y$36,X$31,FALSE)*$C$42*$A51/8760/1000*INDEX('Bulb Weighting'!$B$2:$C$17,MATCH(RIGHT('SC-New'!$D51,LEN($D51)-7),'Bulb Weighting'!$B$3:$B$17,0)+1,2)</f>
        <v>0</v>
      </c>
      <c r="Y51" s="37">
        <f t="shared" si="18"/>
        <v>2.7765215939883906E-2</v>
      </c>
      <c r="AA51" s="3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c r="A52" s="89">
        <f t="shared" si="15"/>
        <v>10.681196090262945</v>
      </c>
      <c r="B52" s="71">
        <f t="shared" si="16"/>
        <v>-99.87829920820603</v>
      </c>
      <c r="C52" s="1" t="s">
        <v>29</v>
      </c>
      <c r="D52" t="s">
        <v>732</v>
      </c>
      <c r="E52" s="37">
        <f>VLOOKUP($C52,$C$33:$Y$36,E$31,FALSE)*$C$42*$A52/8760/1000*INDEX('Bulb Weighting'!$B$2:$C$17,MATCH(RIGHT('SC-New'!$D52,LEN($D52)-7),'Bulb Weighting'!$B$3:$B$17,0)+1,2)</f>
        <v>2.2635354627524545E-3</v>
      </c>
      <c r="F52" s="37">
        <f>VLOOKUP($C52,$C$33:$Y$36,F$31,FALSE)*$C$42*$A52/8760/1000*INDEX('Bulb Weighting'!$B$2:$C$17,MATCH(RIGHT('SC-New'!$D52,LEN($D52)-7),'Bulb Weighting'!$B$3:$B$17,0)+1,2)</f>
        <v>0</v>
      </c>
      <c r="G52" s="37">
        <f>VLOOKUP($C52,$C$33:$Y$36,G$31,FALSE)*$C$42*$A52/8760/1000*INDEX('Bulb Weighting'!$B$2:$C$17,MATCH(RIGHT('SC-New'!$D52,LEN($D52)-7),'Bulb Weighting'!$B$3:$B$17,0)+1,2)</f>
        <v>0</v>
      </c>
      <c r="H52" s="37">
        <f>VLOOKUP($C52,$C$33:$Y$36,H$31,FALSE)*$C$42*$A52/8760/1000*INDEX('Bulb Weighting'!$B$2:$C$17,MATCH(RIGHT('SC-New'!$D52,LEN($D52)-7),'Bulb Weighting'!$B$3:$B$17,0)+1,2)</f>
        <v>0</v>
      </c>
      <c r="I52" s="37">
        <f>VLOOKUP($C52,$C$33:$Y$36,I$31,FALSE)*$C$42*$A52/8760/1000*INDEX('Bulb Weighting'!$B$2:$C$17,MATCH(RIGHT('SC-New'!$D52,LEN($D52)-7),'Bulb Weighting'!$B$3:$B$17,0)+1,2)</f>
        <v>0</v>
      </c>
      <c r="J52" s="37">
        <f>VLOOKUP($C52,$C$33:$Y$36,J$31,FALSE)*$C$42*$A52/8760/1000*INDEX('Bulb Weighting'!$B$2:$C$17,MATCH(RIGHT('SC-New'!$D52,LEN($D52)-7),'Bulb Weighting'!$B$3:$B$17,0)+1,2)</f>
        <v>0</v>
      </c>
      <c r="K52" s="37">
        <f>VLOOKUP($C52,$C$33:$Y$36,K$31,FALSE)*$C$42*$A52/8760/1000*INDEX('Bulb Weighting'!$B$2:$C$17,MATCH(RIGHT('SC-New'!$D52,LEN($D52)-7),'Bulb Weighting'!$B$3:$B$17,0)+1,2)</f>
        <v>0</v>
      </c>
      <c r="L52" s="37">
        <f>VLOOKUP($C52,$C$33:$Y$36,L$31,FALSE)*$C$42*$A52/8760/1000*INDEX('Bulb Weighting'!$B$2:$C$17,MATCH(RIGHT('SC-New'!$D52,LEN($D52)-7),'Bulb Weighting'!$B$3:$B$17,0)+1,2)</f>
        <v>0</v>
      </c>
      <c r="M52" s="37">
        <f>VLOOKUP($C52,$C$33:$Y$36,M$31,FALSE)*$C$42*$A52/8760/1000*INDEX('Bulb Weighting'!$B$2:$C$17,MATCH(RIGHT('SC-New'!$D52,LEN($D52)-7),'Bulb Weighting'!$B$3:$B$17,0)+1,2)</f>
        <v>0</v>
      </c>
      <c r="N52" s="37">
        <f>VLOOKUP($C52,$C$33:$Y$36,N$31,FALSE)*$C$42*$A52/8760/1000*INDEX('Bulb Weighting'!$B$2:$C$17,MATCH(RIGHT('SC-New'!$D52,LEN($D52)-7),'Bulb Weighting'!$B$3:$B$17,0)+1,2)</f>
        <v>0</v>
      </c>
      <c r="O52" s="37">
        <f>VLOOKUP($C52,$C$33:$Y$36,O$31,FALSE)*$C$42*$A52/8760/1000*INDEX('Bulb Weighting'!$B$2:$C$17,MATCH(RIGHT('SC-New'!$D52,LEN($D52)-7),'Bulb Weighting'!$B$3:$B$17,0)+1,2)</f>
        <v>0</v>
      </c>
      <c r="P52" s="37">
        <f>VLOOKUP($C52,$C$33:$Y$36,P$31,FALSE)*$C$42*$A52/8760/1000*INDEX('Bulb Weighting'!$B$2:$C$17,MATCH(RIGHT('SC-New'!$D52,LEN($D52)-7),'Bulb Weighting'!$B$3:$B$17,0)+1,2)</f>
        <v>0</v>
      </c>
      <c r="Q52" s="37">
        <f>VLOOKUP($C52,$C$33:$Y$36,Q$31,FALSE)*$C$42*$A52/8760/1000*INDEX('Bulb Weighting'!$B$2:$C$17,MATCH(RIGHT('SC-New'!$D52,LEN($D52)-7),'Bulb Weighting'!$B$3:$B$17,0)+1,2)</f>
        <v>0</v>
      </c>
      <c r="R52" s="37">
        <f>VLOOKUP($C52,$C$33:$Y$36,R$31,FALSE)*$C$42*$A52/8760/1000*INDEX('Bulb Weighting'!$B$2:$C$17,MATCH(RIGHT('SC-New'!$D52,LEN($D52)-7),'Bulb Weighting'!$B$3:$B$17,0)+1,2)</f>
        <v>0</v>
      </c>
      <c r="S52" s="37">
        <f>VLOOKUP($C52,$C$33:$Y$36,S$31,FALSE)*$C$42*$A52/8760/1000*INDEX('Bulb Weighting'!$B$2:$C$17,MATCH(RIGHT('SC-New'!$D52,LEN($D52)-7),'Bulb Weighting'!$B$3:$B$17,0)+1,2)</f>
        <v>0</v>
      </c>
      <c r="T52" s="37">
        <f>VLOOKUP($C52,$C$33:$Y$36,T$31,FALSE)*$C$42*$A52/8760/1000*INDEX('Bulb Weighting'!$B$2:$C$17,MATCH(RIGHT('SC-New'!$D52,LEN($D52)-7),'Bulb Weighting'!$B$3:$B$17,0)+1,2)</f>
        <v>0</v>
      </c>
      <c r="U52" s="37">
        <f>VLOOKUP($C52,$C$33:$Y$36,U$31,FALSE)*$C$42*$A52/8760/1000*INDEX('Bulb Weighting'!$B$2:$C$17,MATCH(RIGHT('SC-New'!$D52,LEN($D52)-7),'Bulb Weighting'!$B$3:$B$17,0)+1,2)</f>
        <v>0</v>
      </c>
      <c r="V52" s="37">
        <f>VLOOKUP($C52,$C$33:$Y$36,V$31,FALSE)*$C$42*$A52/8760/1000*INDEX('Bulb Weighting'!$B$2:$C$17,MATCH(RIGHT('SC-New'!$D52,LEN($D52)-7),'Bulb Weighting'!$B$3:$B$17,0)+1,2)</f>
        <v>0</v>
      </c>
      <c r="W52" s="37">
        <f>VLOOKUP($C52,$C$33:$Y$36,W$31,FALSE)*$C$42*$A52/8760/1000*INDEX('Bulb Weighting'!$B$2:$C$17,MATCH(RIGHT('SC-New'!$D52,LEN($D52)-7),'Bulb Weighting'!$B$3:$B$17,0)+1,2)</f>
        <v>0</v>
      </c>
      <c r="X52" s="37">
        <f>VLOOKUP($C52,$C$33:$Y$36,X$31,FALSE)*$C$42*$A52/8760/1000*INDEX('Bulb Weighting'!$B$2:$C$17,MATCH(RIGHT('SC-New'!$D52,LEN($D52)-7),'Bulb Weighting'!$B$3:$B$17,0)+1,2)</f>
        <v>0</v>
      </c>
      <c r="Y52" s="37">
        <f t="shared" si="18"/>
        <v>2.2635354627524545E-3</v>
      </c>
      <c r="AA52" s="31"/>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c r="A53" s="89">
        <f t="shared" si="15"/>
        <v>20.374790406766845</v>
      </c>
      <c r="B53" s="71">
        <f t="shared" si="16"/>
        <v>-38.377975660533203</v>
      </c>
      <c r="C53" s="1" t="s">
        <v>29</v>
      </c>
      <c r="D53" t="s">
        <v>734</v>
      </c>
      <c r="E53" s="37">
        <f>VLOOKUP($C53,$C$33:$Y$36,E$31,FALSE)*$C$42*$A53/8760/1000*INDEX('Bulb Weighting'!$B$2:$C$17,MATCH(RIGHT('SC-New'!$D53,LEN($D53)-7),'Bulb Weighting'!$B$3:$B$17,0)+1,2)</f>
        <v>2.9890860589702219E-2</v>
      </c>
      <c r="F53" s="37">
        <f>VLOOKUP($C53,$C$33:$Y$36,F$31,FALSE)*$C$42*$A53/8760/1000*INDEX('Bulb Weighting'!$B$2:$C$17,MATCH(RIGHT('SC-New'!$D53,LEN($D53)-7),'Bulb Weighting'!$B$3:$B$17,0)+1,2)</f>
        <v>0</v>
      </c>
      <c r="G53" s="37">
        <f>VLOOKUP($C53,$C$33:$Y$36,G$31,FALSE)*$C$42*$A53/8760/1000*INDEX('Bulb Weighting'!$B$2:$C$17,MATCH(RIGHT('SC-New'!$D53,LEN($D53)-7),'Bulb Weighting'!$B$3:$B$17,0)+1,2)</f>
        <v>0</v>
      </c>
      <c r="H53" s="37">
        <f>VLOOKUP($C53,$C$33:$Y$36,H$31,FALSE)*$C$42*$A53/8760/1000*INDEX('Bulb Weighting'!$B$2:$C$17,MATCH(RIGHT('SC-New'!$D53,LEN($D53)-7),'Bulb Weighting'!$B$3:$B$17,0)+1,2)</f>
        <v>0</v>
      </c>
      <c r="I53" s="37">
        <f>VLOOKUP($C53,$C$33:$Y$36,I$31,FALSE)*$C$42*$A53/8760/1000*INDEX('Bulb Weighting'!$B$2:$C$17,MATCH(RIGHT('SC-New'!$D53,LEN($D53)-7),'Bulb Weighting'!$B$3:$B$17,0)+1,2)</f>
        <v>0</v>
      </c>
      <c r="J53" s="37">
        <f>VLOOKUP($C53,$C$33:$Y$36,J$31,FALSE)*$C$42*$A53/8760/1000*INDEX('Bulb Weighting'!$B$2:$C$17,MATCH(RIGHT('SC-New'!$D53,LEN($D53)-7),'Bulb Weighting'!$B$3:$B$17,0)+1,2)</f>
        <v>0</v>
      </c>
      <c r="K53" s="37">
        <f>VLOOKUP($C53,$C$33:$Y$36,K$31,FALSE)*$C$42*$A53/8760/1000*INDEX('Bulb Weighting'!$B$2:$C$17,MATCH(RIGHT('SC-New'!$D53,LEN($D53)-7),'Bulb Weighting'!$B$3:$B$17,0)+1,2)</f>
        <v>0</v>
      </c>
      <c r="L53" s="37">
        <f>VLOOKUP($C53,$C$33:$Y$36,L$31,FALSE)*$C$42*$A53/8760/1000*INDEX('Bulb Weighting'!$B$2:$C$17,MATCH(RIGHT('SC-New'!$D53,LEN($D53)-7),'Bulb Weighting'!$B$3:$B$17,0)+1,2)</f>
        <v>0</v>
      </c>
      <c r="M53" s="37">
        <f>VLOOKUP($C53,$C$33:$Y$36,M$31,FALSE)*$C$42*$A53/8760/1000*INDEX('Bulb Weighting'!$B$2:$C$17,MATCH(RIGHT('SC-New'!$D53,LEN($D53)-7),'Bulb Weighting'!$B$3:$B$17,0)+1,2)</f>
        <v>0</v>
      </c>
      <c r="N53" s="37">
        <f>VLOOKUP($C53,$C$33:$Y$36,N$31,FALSE)*$C$42*$A53/8760/1000*INDEX('Bulb Weighting'!$B$2:$C$17,MATCH(RIGHT('SC-New'!$D53,LEN($D53)-7),'Bulb Weighting'!$B$3:$B$17,0)+1,2)</f>
        <v>0</v>
      </c>
      <c r="O53" s="37">
        <f>VLOOKUP($C53,$C$33:$Y$36,O$31,FALSE)*$C$42*$A53/8760/1000*INDEX('Bulb Weighting'!$B$2:$C$17,MATCH(RIGHT('SC-New'!$D53,LEN($D53)-7),'Bulb Weighting'!$B$3:$B$17,0)+1,2)</f>
        <v>0</v>
      </c>
      <c r="P53" s="37">
        <f>VLOOKUP($C53,$C$33:$Y$36,P$31,FALSE)*$C$42*$A53/8760/1000*INDEX('Bulb Weighting'!$B$2:$C$17,MATCH(RIGHT('SC-New'!$D53,LEN($D53)-7),'Bulb Weighting'!$B$3:$B$17,0)+1,2)</f>
        <v>0</v>
      </c>
      <c r="Q53" s="37">
        <f>VLOOKUP($C53,$C$33:$Y$36,Q$31,FALSE)*$C$42*$A53/8760/1000*INDEX('Bulb Weighting'!$B$2:$C$17,MATCH(RIGHT('SC-New'!$D53,LEN($D53)-7),'Bulb Weighting'!$B$3:$B$17,0)+1,2)</f>
        <v>0</v>
      </c>
      <c r="R53" s="37">
        <f>VLOOKUP($C53,$C$33:$Y$36,R$31,FALSE)*$C$42*$A53/8760/1000*INDEX('Bulb Weighting'!$B$2:$C$17,MATCH(RIGHT('SC-New'!$D53,LEN($D53)-7),'Bulb Weighting'!$B$3:$B$17,0)+1,2)</f>
        <v>0</v>
      </c>
      <c r="S53" s="37">
        <f>VLOOKUP($C53,$C$33:$Y$36,S$31,FALSE)*$C$42*$A53/8760/1000*INDEX('Bulb Weighting'!$B$2:$C$17,MATCH(RIGHT('SC-New'!$D53,LEN($D53)-7),'Bulb Weighting'!$B$3:$B$17,0)+1,2)</f>
        <v>0</v>
      </c>
      <c r="T53" s="37">
        <f>VLOOKUP($C53,$C$33:$Y$36,T$31,FALSE)*$C$42*$A53/8760/1000*INDEX('Bulb Weighting'!$B$2:$C$17,MATCH(RIGHT('SC-New'!$D53,LEN($D53)-7),'Bulb Weighting'!$B$3:$B$17,0)+1,2)</f>
        <v>0</v>
      </c>
      <c r="U53" s="37">
        <f>VLOOKUP($C53,$C$33:$Y$36,U$31,FALSE)*$C$42*$A53/8760/1000*INDEX('Bulb Weighting'!$B$2:$C$17,MATCH(RIGHT('SC-New'!$D53,LEN($D53)-7),'Bulb Weighting'!$B$3:$B$17,0)+1,2)</f>
        <v>0</v>
      </c>
      <c r="V53" s="37">
        <f>VLOOKUP($C53,$C$33:$Y$36,V$31,FALSE)*$C$42*$A53/8760/1000*INDEX('Bulb Weighting'!$B$2:$C$17,MATCH(RIGHT('SC-New'!$D53,LEN($D53)-7),'Bulb Weighting'!$B$3:$B$17,0)+1,2)</f>
        <v>0</v>
      </c>
      <c r="W53" s="37">
        <f>VLOOKUP($C53,$C$33:$Y$36,W$31,FALSE)*$C$42*$A53/8760/1000*INDEX('Bulb Weighting'!$B$2:$C$17,MATCH(RIGHT('SC-New'!$D53,LEN($D53)-7),'Bulb Weighting'!$B$3:$B$17,0)+1,2)</f>
        <v>0</v>
      </c>
      <c r="X53" s="37">
        <f>VLOOKUP($C53,$C$33:$Y$36,X$31,FALSE)*$C$42*$A53/8760/1000*INDEX('Bulb Weighting'!$B$2:$C$17,MATCH(RIGHT('SC-New'!$D53,LEN($D53)-7),'Bulb Weighting'!$B$3:$B$17,0)+1,2)</f>
        <v>0</v>
      </c>
      <c r="Y53" s="37">
        <f t="shared" si="18"/>
        <v>2.9890860589702219E-2</v>
      </c>
      <c r="AA53" s="31"/>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row>
    <row r="54" spans="1:80">
      <c r="A54" s="89">
        <f t="shared" si="15"/>
        <v>15.536210538971808</v>
      </c>
      <c r="B54" s="71">
        <f t="shared" si="16"/>
        <v>-47.72588478334999</v>
      </c>
      <c r="C54" s="1" t="s">
        <v>29</v>
      </c>
      <c r="D54" t="s">
        <v>736</v>
      </c>
      <c r="E54" s="37">
        <f>VLOOKUP($C54,$C$33:$Y$36,E$31,FALSE)*$C$42*$A54/8760/1000*INDEX('Bulb Weighting'!$B$2:$C$17,MATCH(RIGHT('SC-New'!$D54,LEN($D54)-7),'Bulb Weighting'!$B$3:$B$17,0)+1,2)</f>
        <v>0.23031051333284341</v>
      </c>
      <c r="F54" s="37">
        <f>VLOOKUP($C54,$C$33:$Y$36,F$31,FALSE)*$C$42*$A54/8760/1000*INDEX('Bulb Weighting'!$B$2:$C$17,MATCH(RIGHT('SC-New'!$D54,LEN($D54)-7),'Bulb Weighting'!$B$3:$B$17,0)+1,2)</f>
        <v>0</v>
      </c>
      <c r="G54" s="37">
        <f>VLOOKUP($C54,$C$33:$Y$36,G$31,FALSE)*$C$42*$A54/8760/1000*INDEX('Bulb Weighting'!$B$2:$C$17,MATCH(RIGHT('SC-New'!$D54,LEN($D54)-7),'Bulb Weighting'!$B$3:$B$17,0)+1,2)</f>
        <v>0</v>
      </c>
      <c r="H54" s="37">
        <f>VLOOKUP($C54,$C$33:$Y$36,H$31,FALSE)*$C$42*$A54/8760/1000*INDEX('Bulb Weighting'!$B$2:$C$17,MATCH(RIGHT('SC-New'!$D54,LEN($D54)-7),'Bulb Weighting'!$B$3:$B$17,0)+1,2)</f>
        <v>0</v>
      </c>
      <c r="I54" s="37">
        <f>VLOOKUP($C54,$C$33:$Y$36,I$31,FALSE)*$C$42*$A54/8760/1000*INDEX('Bulb Weighting'!$B$2:$C$17,MATCH(RIGHT('SC-New'!$D54,LEN($D54)-7),'Bulb Weighting'!$B$3:$B$17,0)+1,2)</f>
        <v>0</v>
      </c>
      <c r="J54" s="37">
        <f>VLOOKUP($C54,$C$33:$Y$36,J$31,FALSE)*$C$42*$A54/8760/1000*INDEX('Bulb Weighting'!$B$2:$C$17,MATCH(RIGHT('SC-New'!$D54,LEN($D54)-7),'Bulb Weighting'!$B$3:$B$17,0)+1,2)</f>
        <v>0</v>
      </c>
      <c r="K54" s="37">
        <f>VLOOKUP($C54,$C$33:$Y$36,K$31,FALSE)*$C$42*$A54/8760/1000*INDEX('Bulb Weighting'!$B$2:$C$17,MATCH(RIGHT('SC-New'!$D54,LEN($D54)-7),'Bulb Weighting'!$B$3:$B$17,0)+1,2)</f>
        <v>0</v>
      </c>
      <c r="L54" s="37">
        <f>VLOOKUP($C54,$C$33:$Y$36,L$31,FALSE)*$C$42*$A54/8760/1000*INDEX('Bulb Weighting'!$B$2:$C$17,MATCH(RIGHT('SC-New'!$D54,LEN($D54)-7),'Bulb Weighting'!$B$3:$B$17,0)+1,2)</f>
        <v>0</v>
      </c>
      <c r="M54" s="37">
        <f>VLOOKUP($C54,$C$33:$Y$36,M$31,FALSE)*$C$42*$A54/8760/1000*INDEX('Bulb Weighting'!$B$2:$C$17,MATCH(RIGHT('SC-New'!$D54,LEN($D54)-7),'Bulb Weighting'!$B$3:$B$17,0)+1,2)</f>
        <v>0</v>
      </c>
      <c r="N54" s="37">
        <f>VLOOKUP($C54,$C$33:$Y$36,N$31,FALSE)*$C$42*$A54/8760/1000*INDEX('Bulb Weighting'!$B$2:$C$17,MATCH(RIGHT('SC-New'!$D54,LEN($D54)-7),'Bulb Weighting'!$B$3:$B$17,0)+1,2)</f>
        <v>0</v>
      </c>
      <c r="O54" s="37">
        <f>VLOOKUP($C54,$C$33:$Y$36,O$31,FALSE)*$C$42*$A54/8760/1000*INDEX('Bulb Weighting'!$B$2:$C$17,MATCH(RIGHT('SC-New'!$D54,LEN($D54)-7),'Bulb Weighting'!$B$3:$B$17,0)+1,2)</f>
        <v>0</v>
      </c>
      <c r="P54" s="37">
        <f>VLOOKUP($C54,$C$33:$Y$36,P$31,FALSE)*$C$42*$A54/8760/1000*INDEX('Bulb Weighting'!$B$2:$C$17,MATCH(RIGHT('SC-New'!$D54,LEN($D54)-7),'Bulb Weighting'!$B$3:$B$17,0)+1,2)</f>
        <v>0</v>
      </c>
      <c r="Q54" s="37">
        <f>VLOOKUP($C54,$C$33:$Y$36,Q$31,FALSE)*$C$42*$A54/8760/1000*INDEX('Bulb Weighting'!$B$2:$C$17,MATCH(RIGHT('SC-New'!$D54,LEN($D54)-7),'Bulb Weighting'!$B$3:$B$17,0)+1,2)</f>
        <v>0</v>
      </c>
      <c r="R54" s="37">
        <f>VLOOKUP($C54,$C$33:$Y$36,R$31,FALSE)*$C$42*$A54/8760/1000*INDEX('Bulb Weighting'!$B$2:$C$17,MATCH(RIGHT('SC-New'!$D54,LEN($D54)-7),'Bulb Weighting'!$B$3:$B$17,0)+1,2)</f>
        <v>0</v>
      </c>
      <c r="S54" s="37">
        <f>VLOOKUP($C54,$C$33:$Y$36,S$31,FALSE)*$C$42*$A54/8760/1000*INDEX('Bulb Weighting'!$B$2:$C$17,MATCH(RIGHT('SC-New'!$D54,LEN($D54)-7),'Bulb Weighting'!$B$3:$B$17,0)+1,2)</f>
        <v>0</v>
      </c>
      <c r="T54" s="37">
        <f>VLOOKUP($C54,$C$33:$Y$36,T$31,FALSE)*$C$42*$A54/8760/1000*INDEX('Bulb Weighting'!$B$2:$C$17,MATCH(RIGHT('SC-New'!$D54,LEN($D54)-7),'Bulb Weighting'!$B$3:$B$17,0)+1,2)</f>
        <v>0</v>
      </c>
      <c r="U54" s="37">
        <f>VLOOKUP($C54,$C$33:$Y$36,U$31,FALSE)*$C$42*$A54/8760/1000*INDEX('Bulb Weighting'!$B$2:$C$17,MATCH(RIGHT('SC-New'!$D54,LEN($D54)-7),'Bulb Weighting'!$B$3:$B$17,0)+1,2)</f>
        <v>0</v>
      </c>
      <c r="V54" s="37">
        <f>VLOOKUP($C54,$C$33:$Y$36,V$31,FALSE)*$C$42*$A54/8760/1000*INDEX('Bulb Weighting'!$B$2:$C$17,MATCH(RIGHT('SC-New'!$D54,LEN($D54)-7),'Bulb Weighting'!$B$3:$B$17,0)+1,2)</f>
        <v>0</v>
      </c>
      <c r="W54" s="37">
        <f>VLOOKUP($C54,$C$33:$Y$36,W$31,FALSE)*$C$42*$A54/8760/1000*INDEX('Bulb Weighting'!$B$2:$C$17,MATCH(RIGHT('SC-New'!$D54,LEN($D54)-7),'Bulb Weighting'!$B$3:$B$17,0)+1,2)</f>
        <v>0</v>
      </c>
      <c r="X54" s="37">
        <f>VLOOKUP($C54,$C$33:$Y$36,X$31,FALSE)*$C$42*$A54/8760/1000*INDEX('Bulb Weighting'!$B$2:$C$17,MATCH(RIGHT('SC-New'!$D54,LEN($D54)-7),'Bulb Weighting'!$B$3:$B$17,0)+1,2)</f>
        <v>0</v>
      </c>
      <c r="Y54" s="37">
        <f t="shared" si="18"/>
        <v>0.23031051333284341</v>
      </c>
      <c r="AA54" s="31"/>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row>
    <row r="55" spans="1:80">
      <c r="A55" s="89">
        <f t="shared" si="15"/>
        <v>83.173238448682625</v>
      </c>
      <c r="B55" s="71">
        <f t="shared" si="16"/>
        <v>-27.334459272113147</v>
      </c>
      <c r="C55" s="1" t="s">
        <v>29</v>
      </c>
      <c r="D55" t="s">
        <v>738</v>
      </c>
      <c r="E55" s="37">
        <f>VLOOKUP($C55,$C$33:$Y$36,E$31,FALSE)*$C$42*$A55/8760/1000*INDEX('Bulb Weighting'!$B$2:$C$17,MATCH(RIGHT('SC-New'!$D55,LEN($D55)-7),'Bulb Weighting'!$B$3:$B$17,0)+1,2)</f>
        <v>0.10132211963691286</v>
      </c>
      <c r="F55" s="37">
        <f>VLOOKUP($C55,$C$33:$Y$36,F$31,FALSE)*$C$42*$A55/8760/1000*INDEX('Bulb Weighting'!$B$2:$C$17,MATCH(RIGHT('SC-New'!$D55,LEN($D55)-7),'Bulb Weighting'!$B$3:$B$17,0)+1,2)</f>
        <v>0</v>
      </c>
      <c r="G55" s="37">
        <f>VLOOKUP($C55,$C$33:$Y$36,G$31,FALSE)*$C$42*$A55/8760/1000*INDEX('Bulb Weighting'!$B$2:$C$17,MATCH(RIGHT('SC-New'!$D55,LEN($D55)-7),'Bulb Weighting'!$B$3:$B$17,0)+1,2)</f>
        <v>0</v>
      </c>
      <c r="H55" s="37">
        <f>VLOOKUP($C55,$C$33:$Y$36,H$31,FALSE)*$C$42*$A55/8760/1000*INDEX('Bulb Weighting'!$B$2:$C$17,MATCH(RIGHT('SC-New'!$D55,LEN($D55)-7),'Bulb Weighting'!$B$3:$B$17,0)+1,2)</f>
        <v>0</v>
      </c>
      <c r="I55" s="37">
        <f>VLOOKUP($C55,$C$33:$Y$36,I$31,FALSE)*$C$42*$A55/8760/1000*INDEX('Bulb Weighting'!$B$2:$C$17,MATCH(RIGHT('SC-New'!$D55,LEN($D55)-7),'Bulb Weighting'!$B$3:$B$17,0)+1,2)</f>
        <v>0</v>
      </c>
      <c r="J55" s="37">
        <f>VLOOKUP($C55,$C$33:$Y$36,J$31,FALSE)*$C$42*$A55/8760/1000*INDEX('Bulb Weighting'!$B$2:$C$17,MATCH(RIGHT('SC-New'!$D55,LEN($D55)-7),'Bulb Weighting'!$B$3:$B$17,0)+1,2)</f>
        <v>0</v>
      </c>
      <c r="K55" s="37">
        <f>VLOOKUP($C55,$C$33:$Y$36,K$31,FALSE)*$C$42*$A55/8760/1000*INDEX('Bulb Weighting'!$B$2:$C$17,MATCH(RIGHT('SC-New'!$D55,LEN($D55)-7),'Bulb Weighting'!$B$3:$B$17,0)+1,2)</f>
        <v>0</v>
      </c>
      <c r="L55" s="37">
        <f>VLOOKUP($C55,$C$33:$Y$36,L$31,FALSE)*$C$42*$A55/8760/1000*INDEX('Bulb Weighting'!$B$2:$C$17,MATCH(RIGHT('SC-New'!$D55,LEN($D55)-7),'Bulb Weighting'!$B$3:$B$17,0)+1,2)</f>
        <v>0</v>
      </c>
      <c r="M55" s="37">
        <f>VLOOKUP($C55,$C$33:$Y$36,M$31,FALSE)*$C$42*$A55/8760/1000*INDEX('Bulb Weighting'!$B$2:$C$17,MATCH(RIGHT('SC-New'!$D55,LEN($D55)-7),'Bulb Weighting'!$B$3:$B$17,0)+1,2)</f>
        <v>0</v>
      </c>
      <c r="N55" s="37">
        <f>VLOOKUP($C55,$C$33:$Y$36,N$31,FALSE)*$C$42*$A55/8760/1000*INDEX('Bulb Weighting'!$B$2:$C$17,MATCH(RIGHT('SC-New'!$D55,LEN($D55)-7),'Bulb Weighting'!$B$3:$B$17,0)+1,2)</f>
        <v>0</v>
      </c>
      <c r="O55" s="37">
        <f>VLOOKUP($C55,$C$33:$Y$36,O$31,FALSE)*$C$42*$A55/8760/1000*INDEX('Bulb Weighting'!$B$2:$C$17,MATCH(RIGHT('SC-New'!$D55,LEN($D55)-7),'Bulb Weighting'!$B$3:$B$17,0)+1,2)</f>
        <v>0</v>
      </c>
      <c r="P55" s="37">
        <f>VLOOKUP($C55,$C$33:$Y$36,P$31,FALSE)*$C$42*$A55/8760/1000*INDEX('Bulb Weighting'!$B$2:$C$17,MATCH(RIGHT('SC-New'!$D55,LEN($D55)-7),'Bulb Weighting'!$B$3:$B$17,0)+1,2)</f>
        <v>0</v>
      </c>
      <c r="Q55" s="37">
        <f>VLOOKUP($C55,$C$33:$Y$36,Q$31,FALSE)*$C$42*$A55/8760/1000*INDEX('Bulb Weighting'!$B$2:$C$17,MATCH(RIGHT('SC-New'!$D55,LEN($D55)-7),'Bulb Weighting'!$B$3:$B$17,0)+1,2)</f>
        <v>0</v>
      </c>
      <c r="R55" s="37">
        <f>VLOOKUP($C55,$C$33:$Y$36,R$31,FALSE)*$C$42*$A55/8760/1000*INDEX('Bulb Weighting'!$B$2:$C$17,MATCH(RIGHT('SC-New'!$D55,LEN($D55)-7),'Bulb Weighting'!$B$3:$B$17,0)+1,2)</f>
        <v>0</v>
      </c>
      <c r="S55" s="37">
        <f>VLOOKUP($C55,$C$33:$Y$36,S$31,FALSE)*$C$42*$A55/8760/1000*INDEX('Bulb Weighting'!$B$2:$C$17,MATCH(RIGHT('SC-New'!$D55,LEN($D55)-7),'Bulb Weighting'!$B$3:$B$17,0)+1,2)</f>
        <v>0</v>
      </c>
      <c r="T55" s="37">
        <f>VLOOKUP($C55,$C$33:$Y$36,T$31,FALSE)*$C$42*$A55/8760/1000*INDEX('Bulb Weighting'!$B$2:$C$17,MATCH(RIGHT('SC-New'!$D55,LEN($D55)-7),'Bulb Weighting'!$B$3:$B$17,0)+1,2)</f>
        <v>0</v>
      </c>
      <c r="U55" s="37">
        <f>VLOOKUP($C55,$C$33:$Y$36,U$31,FALSE)*$C$42*$A55/8760/1000*INDEX('Bulb Weighting'!$B$2:$C$17,MATCH(RIGHT('SC-New'!$D55,LEN($D55)-7),'Bulb Weighting'!$B$3:$B$17,0)+1,2)</f>
        <v>0</v>
      </c>
      <c r="V55" s="37">
        <f>VLOOKUP($C55,$C$33:$Y$36,V$31,FALSE)*$C$42*$A55/8760/1000*INDEX('Bulb Weighting'!$B$2:$C$17,MATCH(RIGHT('SC-New'!$D55,LEN($D55)-7),'Bulb Weighting'!$B$3:$B$17,0)+1,2)</f>
        <v>0</v>
      </c>
      <c r="W55" s="37">
        <f>VLOOKUP($C55,$C$33:$Y$36,W$31,FALSE)*$C$42*$A55/8760/1000*INDEX('Bulb Weighting'!$B$2:$C$17,MATCH(RIGHT('SC-New'!$D55,LEN($D55)-7),'Bulb Weighting'!$B$3:$B$17,0)+1,2)</f>
        <v>0</v>
      </c>
      <c r="X55" s="37">
        <f>VLOOKUP($C55,$C$33:$Y$36,X$31,FALSE)*$C$42*$A55/8760/1000*INDEX('Bulb Weighting'!$B$2:$C$17,MATCH(RIGHT('SC-New'!$D55,LEN($D55)-7),'Bulb Weighting'!$B$3:$B$17,0)+1,2)</f>
        <v>0</v>
      </c>
      <c r="Y55" s="37">
        <f t="shared" si="18"/>
        <v>0.10132211963691286</v>
      </c>
      <c r="AA55" s="31"/>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row>
    <row r="56" spans="1:80">
      <c r="A56" s="89">
        <f t="shared" si="15"/>
        <v>48.421429568529426</v>
      </c>
      <c r="B56" s="71">
        <f t="shared" si="16"/>
        <v>-0.28395098554769854</v>
      </c>
      <c r="C56" s="1" t="s">
        <v>29</v>
      </c>
      <c r="D56" t="s">
        <v>740</v>
      </c>
      <c r="E56" s="37">
        <f>VLOOKUP($C56,$C$33:$Y$36,E$31,FALSE)*$C$42*$A56/8760/1000*INDEX('Bulb Weighting'!$B$2:$C$17,MATCH(RIGHT('SC-New'!$D56,LEN($D56)-7),'Bulb Weighting'!$B$3:$B$17,0)+1,2)</f>
        <v>9.2559020685497879E-4</v>
      </c>
      <c r="F56" s="37">
        <f>VLOOKUP($C56,$C$33:$Y$36,F$31,FALSE)*$C$42*$A56/8760/1000*INDEX('Bulb Weighting'!$B$2:$C$17,MATCH(RIGHT('SC-New'!$D56,LEN($D56)-7),'Bulb Weighting'!$B$3:$B$17,0)+1,2)</f>
        <v>0</v>
      </c>
      <c r="G56" s="37">
        <f>VLOOKUP($C56,$C$33:$Y$36,G$31,FALSE)*$C$42*$A56/8760/1000*INDEX('Bulb Weighting'!$B$2:$C$17,MATCH(RIGHT('SC-New'!$D56,LEN($D56)-7),'Bulb Weighting'!$B$3:$B$17,0)+1,2)</f>
        <v>0</v>
      </c>
      <c r="H56" s="37">
        <f>VLOOKUP($C56,$C$33:$Y$36,H$31,FALSE)*$C$42*$A56/8760/1000*INDEX('Bulb Weighting'!$B$2:$C$17,MATCH(RIGHT('SC-New'!$D56,LEN($D56)-7),'Bulb Weighting'!$B$3:$B$17,0)+1,2)</f>
        <v>0</v>
      </c>
      <c r="I56" s="37">
        <f>VLOOKUP($C56,$C$33:$Y$36,I$31,FALSE)*$C$42*$A56/8760/1000*INDEX('Bulb Weighting'!$B$2:$C$17,MATCH(RIGHT('SC-New'!$D56,LEN($D56)-7),'Bulb Weighting'!$B$3:$B$17,0)+1,2)</f>
        <v>0</v>
      </c>
      <c r="J56" s="37">
        <f>VLOOKUP($C56,$C$33:$Y$36,J$31,FALSE)*$C$42*$A56/8760/1000*INDEX('Bulb Weighting'!$B$2:$C$17,MATCH(RIGHT('SC-New'!$D56,LEN($D56)-7),'Bulb Weighting'!$B$3:$B$17,0)+1,2)</f>
        <v>0</v>
      </c>
      <c r="K56" s="37">
        <f>VLOOKUP($C56,$C$33:$Y$36,K$31,FALSE)*$C$42*$A56/8760/1000*INDEX('Bulb Weighting'!$B$2:$C$17,MATCH(RIGHT('SC-New'!$D56,LEN($D56)-7),'Bulb Weighting'!$B$3:$B$17,0)+1,2)</f>
        <v>0</v>
      </c>
      <c r="L56" s="37">
        <f>VLOOKUP($C56,$C$33:$Y$36,L$31,FALSE)*$C$42*$A56/8760/1000*INDEX('Bulb Weighting'!$B$2:$C$17,MATCH(RIGHT('SC-New'!$D56,LEN($D56)-7),'Bulb Weighting'!$B$3:$B$17,0)+1,2)</f>
        <v>0</v>
      </c>
      <c r="M56" s="37">
        <f>VLOOKUP($C56,$C$33:$Y$36,M$31,FALSE)*$C$42*$A56/8760/1000*INDEX('Bulb Weighting'!$B$2:$C$17,MATCH(RIGHT('SC-New'!$D56,LEN($D56)-7),'Bulb Weighting'!$B$3:$B$17,0)+1,2)</f>
        <v>0</v>
      </c>
      <c r="N56" s="37">
        <f>VLOOKUP($C56,$C$33:$Y$36,N$31,FALSE)*$C$42*$A56/8760/1000*INDEX('Bulb Weighting'!$B$2:$C$17,MATCH(RIGHT('SC-New'!$D56,LEN($D56)-7),'Bulb Weighting'!$B$3:$B$17,0)+1,2)</f>
        <v>0</v>
      </c>
      <c r="O56" s="37">
        <f>VLOOKUP($C56,$C$33:$Y$36,O$31,FALSE)*$C$42*$A56/8760/1000*INDEX('Bulb Weighting'!$B$2:$C$17,MATCH(RIGHT('SC-New'!$D56,LEN($D56)-7),'Bulb Weighting'!$B$3:$B$17,0)+1,2)</f>
        <v>0</v>
      </c>
      <c r="P56" s="37">
        <f>VLOOKUP($C56,$C$33:$Y$36,P$31,FALSE)*$C$42*$A56/8760/1000*INDEX('Bulb Weighting'!$B$2:$C$17,MATCH(RIGHT('SC-New'!$D56,LEN($D56)-7),'Bulb Weighting'!$B$3:$B$17,0)+1,2)</f>
        <v>0</v>
      </c>
      <c r="Q56" s="37">
        <f>VLOOKUP($C56,$C$33:$Y$36,Q$31,FALSE)*$C$42*$A56/8760/1000*INDEX('Bulb Weighting'!$B$2:$C$17,MATCH(RIGHT('SC-New'!$D56,LEN($D56)-7),'Bulb Weighting'!$B$3:$B$17,0)+1,2)</f>
        <v>0</v>
      </c>
      <c r="R56" s="37">
        <f>VLOOKUP($C56,$C$33:$Y$36,R$31,FALSE)*$C$42*$A56/8760/1000*INDEX('Bulb Weighting'!$B$2:$C$17,MATCH(RIGHT('SC-New'!$D56,LEN($D56)-7),'Bulb Weighting'!$B$3:$B$17,0)+1,2)</f>
        <v>0</v>
      </c>
      <c r="S56" s="37">
        <f>VLOOKUP($C56,$C$33:$Y$36,S$31,FALSE)*$C$42*$A56/8760/1000*INDEX('Bulb Weighting'!$B$2:$C$17,MATCH(RIGHT('SC-New'!$D56,LEN($D56)-7),'Bulb Weighting'!$B$3:$B$17,0)+1,2)</f>
        <v>0</v>
      </c>
      <c r="T56" s="37">
        <f>VLOOKUP($C56,$C$33:$Y$36,T$31,FALSE)*$C$42*$A56/8760/1000*INDEX('Bulb Weighting'!$B$2:$C$17,MATCH(RIGHT('SC-New'!$D56,LEN($D56)-7),'Bulb Weighting'!$B$3:$B$17,0)+1,2)</f>
        <v>0</v>
      </c>
      <c r="U56" s="37">
        <f>VLOOKUP($C56,$C$33:$Y$36,U$31,FALSE)*$C$42*$A56/8760/1000*INDEX('Bulb Weighting'!$B$2:$C$17,MATCH(RIGHT('SC-New'!$D56,LEN($D56)-7),'Bulb Weighting'!$B$3:$B$17,0)+1,2)</f>
        <v>0</v>
      </c>
      <c r="V56" s="37">
        <f>VLOOKUP($C56,$C$33:$Y$36,V$31,FALSE)*$C$42*$A56/8760/1000*INDEX('Bulb Weighting'!$B$2:$C$17,MATCH(RIGHT('SC-New'!$D56,LEN($D56)-7),'Bulb Weighting'!$B$3:$B$17,0)+1,2)</f>
        <v>0</v>
      </c>
      <c r="W56" s="37">
        <f>VLOOKUP($C56,$C$33:$Y$36,W$31,FALSE)*$C$42*$A56/8760/1000*INDEX('Bulb Weighting'!$B$2:$C$17,MATCH(RIGHT('SC-New'!$D56,LEN($D56)-7),'Bulb Weighting'!$B$3:$B$17,0)+1,2)</f>
        <v>0</v>
      </c>
      <c r="X56" s="37">
        <f>VLOOKUP($C56,$C$33:$Y$36,X$31,FALSE)*$C$42*$A56/8760/1000*INDEX('Bulb Weighting'!$B$2:$C$17,MATCH(RIGHT('SC-New'!$D56,LEN($D56)-7),'Bulb Weighting'!$B$3:$B$17,0)+1,2)</f>
        <v>0</v>
      </c>
      <c r="Y56" s="37">
        <f t="shared" si="18"/>
        <v>9.2559020685497879E-4</v>
      </c>
      <c r="AA56" s="31"/>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c r="A57" s="89">
        <f t="shared" si="15"/>
        <v>52.157694278074032</v>
      </c>
      <c r="B57" s="71">
        <f t="shared" si="16"/>
        <v>-8.9398321624848585</v>
      </c>
      <c r="C57" s="1" t="s">
        <v>29</v>
      </c>
      <c r="D57" t="s">
        <v>742</v>
      </c>
      <c r="E57" s="37">
        <f>VLOOKUP($C57,$C$33:$Y$36,E$31,FALSE)*$C$42*$A57/8760/1000*INDEX('Bulb Weighting'!$B$2:$C$17,MATCH(RIGHT('SC-New'!$D57,LEN($D57)-7),'Bulb Weighting'!$B$3:$B$17,0)+1,2)</f>
        <v>1.2306514340645799E-2</v>
      </c>
      <c r="F57" s="37">
        <f>VLOOKUP($C57,$C$33:$Y$36,F$31,FALSE)*$C$42*$A57/8760/1000*INDEX('Bulb Weighting'!$B$2:$C$17,MATCH(RIGHT('SC-New'!$D57,LEN($D57)-7),'Bulb Weighting'!$B$3:$B$17,0)+1,2)</f>
        <v>0</v>
      </c>
      <c r="G57" s="37">
        <f>VLOOKUP($C57,$C$33:$Y$36,G$31,FALSE)*$C$42*$A57/8760/1000*INDEX('Bulb Weighting'!$B$2:$C$17,MATCH(RIGHT('SC-New'!$D57,LEN($D57)-7),'Bulb Weighting'!$B$3:$B$17,0)+1,2)</f>
        <v>0</v>
      </c>
      <c r="H57" s="37">
        <f>VLOOKUP($C57,$C$33:$Y$36,H$31,FALSE)*$C$42*$A57/8760/1000*INDEX('Bulb Weighting'!$B$2:$C$17,MATCH(RIGHT('SC-New'!$D57,LEN($D57)-7),'Bulb Weighting'!$B$3:$B$17,0)+1,2)</f>
        <v>0</v>
      </c>
      <c r="I57" s="37">
        <f>VLOOKUP($C57,$C$33:$Y$36,I$31,FALSE)*$C$42*$A57/8760/1000*INDEX('Bulb Weighting'!$B$2:$C$17,MATCH(RIGHT('SC-New'!$D57,LEN($D57)-7),'Bulb Weighting'!$B$3:$B$17,0)+1,2)</f>
        <v>0</v>
      </c>
      <c r="J57" s="37">
        <f>VLOOKUP($C57,$C$33:$Y$36,J$31,FALSE)*$C$42*$A57/8760/1000*INDEX('Bulb Weighting'!$B$2:$C$17,MATCH(RIGHT('SC-New'!$D57,LEN($D57)-7),'Bulb Weighting'!$B$3:$B$17,0)+1,2)</f>
        <v>0</v>
      </c>
      <c r="K57" s="37">
        <f>VLOOKUP($C57,$C$33:$Y$36,K$31,FALSE)*$C$42*$A57/8760/1000*INDEX('Bulb Weighting'!$B$2:$C$17,MATCH(RIGHT('SC-New'!$D57,LEN($D57)-7),'Bulb Weighting'!$B$3:$B$17,0)+1,2)</f>
        <v>0</v>
      </c>
      <c r="L57" s="37">
        <f>VLOOKUP($C57,$C$33:$Y$36,L$31,FALSE)*$C$42*$A57/8760/1000*INDEX('Bulb Weighting'!$B$2:$C$17,MATCH(RIGHT('SC-New'!$D57,LEN($D57)-7),'Bulb Weighting'!$B$3:$B$17,0)+1,2)</f>
        <v>0</v>
      </c>
      <c r="M57" s="37">
        <f>VLOOKUP($C57,$C$33:$Y$36,M$31,FALSE)*$C$42*$A57/8760/1000*INDEX('Bulb Weighting'!$B$2:$C$17,MATCH(RIGHT('SC-New'!$D57,LEN($D57)-7),'Bulb Weighting'!$B$3:$B$17,0)+1,2)</f>
        <v>0</v>
      </c>
      <c r="N57" s="37">
        <f>VLOOKUP($C57,$C$33:$Y$36,N$31,FALSE)*$C$42*$A57/8760/1000*INDEX('Bulb Weighting'!$B$2:$C$17,MATCH(RIGHT('SC-New'!$D57,LEN($D57)-7),'Bulb Weighting'!$B$3:$B$17,0)+1,2)</f>
        <v>0</v>
      </c>
      <c r="O57" s="37">
        <f>VLOOKUP($C57,$C$33:$Y$36,O$31,FALSE)*$C$42*$A57/8760/1000*INDEX('Bulb Weighting'!$B$2:$C$17,MATCH(RIGHT('SC-New'!$D57,LEN($D57)-7),'Bulb Weighting'!$B$3:$B$17,0)+1,2)</f>
        <v>0</v>
      </c>
      <c r="P57" s="37">
        <f>VLOOKUP($C57,$C$33:$Y$36,P$31,FALSE)*$C$42*$A57/8760/1000*INDEX('Bulb Weighting'!$B$2:$C$17,MATCH(RIGHT('SC-New'!$D57,LEN($D57)-7),'Bulb Weighting'!$B$3:$B$17,0)+1,2)</f>
        <v>0</v>
      </c>
      <c r="Q57" s="37">
        <f>VLOOKUP($C57,$C$33:$Y$36,Q$31,FALSE)*$C$42*$A57/8760/1000*INDEX('Bulb Weighting'!$B$2:$C$17,MATCH(RIGHT('SC-New'!$D57,LEN($D57)-7),'Bulb Weighting'!$B$3:$B$17,0)+1,2)</f>
        <v>0</v>
      </c>
      <c r="R57" s="37">
        <f>VLOOKUP($C57,$C$33:$Y$36,R$31,FALSE)*$C$42*$A57/8760/1000*INDEX('Bulb Weighting'!$B$2:$C$17,MATCH(RIGHT('SC-New'!$D57,LEN($D57)-7),'Bulb Weighting'!$B$3:$B$17,0)+1,2)</f>
        <v>0</v>
      </c>
      <c r="S57" s="37">
        <f>VLOOKUP($C57,$C$33:$Y$36,S$31,FALSE)*$C$42*$A57/8760/1000*INDEX('Bulb Weighting'!$B$2:$C$17,MATCH(RIGHT('SC-New'!$D57,LEN($D57)-7),'Bulb Weighting'!$B$3:$B$17,0)+1,2)</f>
        <v>0</v>
      </c>
      <c r="T57" s="37">
        <f>VLOOKUP($C57,$C$33:$Y$36,T$31,FALSE)*$C$42*$A57/8760/1000*INDEX('Bulb Weighting'!$B$2:$C$17,MATCH(RIGHT('SC-New'!$D57,LEN($D57)-7),'Bulb Weighting'!$B$3:$B$17,0)+1,2)</f>
        <v>0</v>
      </c>
      <c r="U57" s="37">
        <f>VLOOKUP($C57,$C$33:$Y$36,U$31,FALSE)*$C$42*$A57/8760/1000*INDEX('Bulb Weighting'!$B$2:$C$17,MATCH(RIGHT('SC-New'!$D57,LEN($D57)-7),'Bulb Weighting'!$B$3:$B$17,0)+1,2)</f>
        <v>0</v>
      </c>
      <c r="V57" s="37">
        <f>VLOOKUP($C57,$C$33:$Y$36,V$31,FALSE)*$C$42*$A57/8760/1000*INDEX('Bulb Weighting'!$B$2:$C$17,MATCH(RIGHT('SC-New'!$D57,LEN($D57)-7),'Bulb Weighting'!$B$3:$B$17,0)+1,2)</f>
        <v>0</v>
      </c>
      <c r="W57" s="37">
        <f>VLOOKUP($C57,$C$33:$Y$36,W$31,FALSE)*$C$42*$A57/8760/1000*INDEX('Bulb Weighting'!$B$2:$C$17,MATCH(RIGHT('SC-New'!$D57,LEN($D57)-7),'Bulb Weighting'!$B$3:$B$17,0)+1,2)</f>
        <v>0</v>
      </c>
      <c r="X57" s="37">
        <f>VLOOKUP($C57,$C$33:$Y$36,X$31,FALSE)*$C$42*$A57/8760/1000*INDEX('Bulb Weighting'!$B$2:$C$17,MATCH(RIGHT('SC-New'!$D57,LEN($D57)-7),'Bulb Weighting'!$B$3:$B$17,0)+1,2)</f>
        <v>0</v>
      </c>
      <c r="Y57" s="37">
        <f t="shared" si="18"/>
        <v>1.2306514340645799E-2</v>
      </c>
      <c r="AA57" s="31"/>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row>
    <row r="58" spans="1:80">
      <c r="A58" s="89">
        <f t="shared" si="15"/>
        <v>46.673278979590322</v>
      </c>
      <c r="B58" s="71">
        <f t="shared" si="16"/>
        <v>-22.011904676498236</v>
      </c>
      <c r="C58" s="1" t="s">
        <v>29</v>
      </c>
      <c r="D58" t="s">
        <v>744</v>
      </c>
      <c r="E58" s="37">
        <f>VLOOKUP($C58,$C$33:$Y$36,E$31,FALSE)*$C$42*$A58/8760/1000*INDEX('Bulb Weighting'!$B$2:$C$17,MATCH(RIGHT('SC-New'!$D58,LEN($D58)-7),'Bulb Weighting'!$B$3:$B$17,0)+1,2)</f>
        <v>4.2584062965933873E-2</v>
      </c>
      <c r="F58" s="37">
        <f>VLOOKUP($C58,$C$33:$Y$36,F$31,FALSE)*$C$42*$A58/8760/1000*INDEX('Bulb Weighting'!$B$2:$C$17,MATCH(RIGHT('SC-New'!$D58,LEN($D58)-7),'Bulb Weighting'!$B$3:$B$17,0)+1,2)</f>
        <v>0</v>
      </c>
      <c r="G58" s="37">
        <f>VLOOKUP($C58,$C$33:$Y$36,G$31,FALSE)*$C$42*$A58/8760/1000*INDEX('Bulb Weighting'!$B$2:$C$17,MATCH(RIGHT('SC-New'!$D58,LEN($D58)-7),'Bulb Weighting'!$B$3:$B$17,0)+1,2)</f>
        <v>0</v>
      </c>
      <c r="H58" s="37">
        <f>VLOOKUP($C58,$C$33:$Y$36,H$31,FALSE)*$C$42*$A58/8760/1000*INDEX('Bulb Weighting'!$B$2:$C$17,MATCH(RIGHT('SC-New'!$D58,LEN($D58)-7),'Bulb Weighting'!$B$3:$B$17,0)+1,2)</f>
        <v>0</v>
      </c>
      <c r="I58" s="37">
        <f>VLOOKUP($C58,$C$33:$Y$36,I$31,FALSE)*$C$42*$A58/8760/1000*INDEX('Bulb Weighting'!$B$2:$C$17,MATCH(RIGHT('SC-New'!$D58,LEN($D58)-7),'Bulb Weighting'!$B$3:$B$17,0)+1,2)</f>
        <v>0</v>
      </c>
      <c r="J58" s="37">
        <f>VLOOKUP($C58,$C$33:$Y$36,J$31,FALSE)*$C$42*$A58/8760/1000*INDEX('Bulb Weighting'!$B$2:$C$17,MATCH(RIGHT('SC-New'!$D58,LEN($D58)-7),'Bulb Weighting'!$B$3:$B$17,0)+1,2)</f>
        <v>0</v>
      </c>
      <c r="K58" s="37">
        <f>VLOOKUP($C58,$C$33:$Y$36,K$31,FALSE)*$C$42*$A58/8760/1000*INDEX('Bulb Weighting'!$B$2:$C$17,MATCH(RIGHT('SC-New'!$D58,LEN($D58)-7),'Bulb Weighting'!$B$3:$B$17,0)+1,2)</f>
        <v>0</v>
      </c>
      <c r="L58" s="37">
        <f>VLOOKUP($C58,$C$33:$Y$36,L$31,FALSE)*$C$42*$A58/8760/1000*INDEX('Bulb Weighting'!$B$2:$C$17,MATCH(RIGHT('SC-New'!$D58,LEN($D58)-7),'Bulb Weighting'!$B$3:$B$17,0)+1,2)</f>
        <v>0</v>
      </c>
      <c r="M58" s="37">
        <f>VLOOKUP($C58,$C$33:$Y$36,M$31,FALSE)*$C$42*$A58/8760/1000*INDEX('Bulb Weighting'!$B$2:$C$17,MATCH(RIGHT('SC-New'!$D58,LEN($D58)-7),'Bulb Weighting'!$B$3:$B$17,0)+1,2)</f>
        <v>0</v>
      </c>
      <c r="N58" s="37">
        <f>VLOOKUP($C58,$C$33:$Y$36,N$31,FALSE)*$C$42*$A58/8760/1000*INDEX('Bulb Weighting'!$B$2:$C$17,MATCH(RIGHT('SC-New'!$D58,LEN($D58)-7),'Bulb Weighting'!$B$3:$B$17,0)+1,2)</f>
        <v>0</v>
      </c>
      <c r="O58" s="37">
        <f>VLOOKUP($C58,$C$33:$Y$36,O$31,FALSE)*$C$42*$A58/8760/1000*INDEX('Bulb Weighting'!$B$2:$C$17,MATCH(RIGHT('SC-New'!$D58,LEN($D58)-7),'Bulb Weighting'!$B$3:$B$17,0)+1,2)</f>
        <v>0</v>
      </c>
      <c r="P58" s="37">
        <f>VLOOKUP($C58,$C$33:$Y$36,P$31,FALSE)*$C$42*$A58/8760/1000*INDEX('Bulb Weighting'!$B$2:$C$17,MATCH(RIGHT('SC-New'!$D58,LEN($D58)-7),'Bulb Weighting'!$B$3:$B$17,0)+1,2)</f>
        <v>0</v>
      </c>
      <c r="Q58" s="37">
        <f>VLOOKUP($C58,$C$33:$Y$36,Q$31,FALSE)*$C$42*$A58/8760/1000*INDEX('Bulb Weighting'!$B$2:$C$17,MATCH(RIGHT('SC-New'!$D58,LEN($D58)-7),'Bulb Weighting'!$B$3:$B$17,0)+1,2)</f>
        <v>0</v>
      </c>
      <c r="R58" s="37">
        <f>VLOOKUP($C58,$C$33:$Y$36,R$31,FALSE)*$C$42*$A58/8760/1000*INDEX('Bulb Weighting'!$B$2:$C$17,MATCH(RIGHT('SC-New'!$D58,LEN($D58)-7),'Bulb Weighting'!$B$3:$B$17,0)+1,2)</f>
        <v>0</v>
      </c>
      <c r="S58" s="37">
        <f>VLOOKUP($C58,$C$33:$Y$36,S$31,FALSE)*$C$42*$A58/8760/1000*INDEX('Bulb Weighting'!$B$2:$C$17,MATCH(RIGHT('SC-New'!$D58,LEN($D58)-7),'Bulb Weighting'!$B$3:$B$17,0)+1,2)</f>
        <v>0</v>
      </c>
      <c r="T58" s="37">
        <f>VLOOKUP($C58,$C$33:$Y$36,T$31,FALSE)*$C$42*$A58/8760/1000*INDEX('Bulb Weighting'!$B$2:$C$17,MATCH(RIGHT('SC-New'!$D58,LEN($D58)-7),'Bulb Weighting'!$B$3:$B$17,0)+1,2)</f>
        <v>0</v>
      </c>
      <c r="U58" s="37">
        <f>VLOOKUP($C58,$C$33:$Y$36,U$31,FALSE)*$C$42*$A58/8760/1000*INDEX('Bulb Weighting'!$B$2:$C$17,MATCH(RIGHT('SC-New'!$D58,LEN($D58)-7),'Bulb Weighting'!$B$3:$B$17,0)+1,2)</f>
        <v>0</v>
      </c>
      <c r="V58" s="37">
        <f>VLOOKUP($C58,$C$33:$Y$36,V$31,FALSE)*$C$42*$A58/8760/1000*INDEX('Bulb Weighting'!$B$2:$C$17,MATCH(RIGHT('SC-New'!$D58,LEN($D58)-7),'Bulb Weighting'!$B$3:$B$17,0)+1,2)</f>
        <v>0</v>
      </c>
      <c r="W58" s="37">
        <f>VLOOKUP($C58,$C$33:$Y$36,W$31,FALSE)*$C$42*$A58/8760/1000*INDEX('Bulb Weighting'!$B$2:$C$17,MATCH(RIGHT('SC-New'!$D58,LEN($D58)-7),'Bulb Weighting'!$B$3:$B$17,0)+1,2)</f>
        <v>0</v>
      </c>
      <c r="X58" s="37">
        <f>VLOOKUP($C58,$C$33:$Y$36,X$31,FALSE)*$C$42*$A58/8760/1000*INDEX('Bulb Weighting'!$B$2:$C$17,MATCH(RIGHT('SC-New'!$D58,LEN($D58)-7),'Bulb Weighting'!$B$3:$B$17,0)+1,2)</f>
        <v>0</v>
      </c>
      <c r="Y58" s="37">
        <f t="shared" si="18"/>
        <v>4.2584062965933873E-2</v>
      </c>
      <c r="AA58" s="31"/>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row>
    <row r="59" spans="1:80">
      <c r="A59" s="89">
        <f t="shared" si="15"/>
        <v>19.236292058718274</v>
      </c>
      <c r="B59" s="71">
        <f t="shared" si="16"/>
        <v>-15.059976945801358</v>
      </c>
      <c r="C59" s="1" t="str">
        <f>C14</f>
        <v>Multifamily - Low Rise</v>
      </c>
      <c r="D59" t="s">
        <v>716</v>
      </c>
      <c r="E59" s="37">
        <f>VLOOKUP($C59,$C$33:$Y$36,E$31,FALSE)*$C$42*$A59/8760/1000*INDEX('Bulb Weighting'!$B$2:$C$17,MATCH(RIGHT('SC-New'!$D59,LEN($D59)-7),'Bulb Weighting'!$B$3:$B$17,0)+1,2)</f>
        <v>1.7924896914952932E-2</v>
      </c>
      <c r="F59" s="37">
        <f>VLOOKUP($C59,$C$33:$Y$36,F$31,FALSE)*$C$42*$A59/8760/1000*INDEX('Bulb Weighting'!$B$2:$C$17,MATCH(RIGHT('SC-New'!$D59,LEN($D59)-7),'Bulb Weighting'!$B$3:$B$17,0)+1,2)</f>
        <v>0</v>
      </c>
      <c r="G59" s="37">
        <f>VLOOKUP($C59,$C$33:$Y$36,G$31,FALSE)*$C$42*$A59/8760/1000*INDEX('Bulb Weighting'!$B$2:$C$17,MATCH(RIGHT('SC-New'!$D59,LEN($D59)-7),'Bulb Weighting'!$B$3:$B$17,0)+1,2)</f>
        <v>0</v>
      </c>
      <c r="H59" s="37">
        <f>VLOOKUP($C59,$C$33:$Y$36,H$31,FALSE)*$C$42*$A59/8760/1000*INDEX('Bulb Weighting'!$B$2:$C$17,MATCH(RIGHT('SC-New'!$D59,LEN($D59)-7),'Bulb Weighting'!$B$3:$B$17,0)+1,2)</f>
        <v>0</v>
      </c>
      <c r="I59" s="37">
        <f>VLOOKUP($C59,$C$33:$Y$36,I$31,FALSE)*$C$42*$A59/8760/1000*INDEX('Bulb Weighting'!$B$2:$C$17,MATCH(RIGHT('SC-New'!$D59,LEN($D59)-7),'Bulb Weighting'!$B$3:$B$17,0)+1,2)</f>
        <v>0</v>
      </c>
      <c r="J59" s="37">
        <f>VLOOKUP($C59,$C$33:$Y$36,J$31,FALSE)*$C$42*$A59/8760/1000*INDEX('Bulb Weighting'!$B$2:$C$17,MATCH(RIGHT('SC-New'!$D59,LEN($D59)-7),'Bulb Weighting'!$B$3:$B$17,0)+1,2)</f>
        <v>0</v>
      </c>
      <c r="K59" s="37">
        <f>VLOOKUP($C59,$C$33:$Y$36,K$31,FALSE)*$C$42*$A59/8760/1000*INDEX('Bulb Weighting'!$B$2:$C$17,MATCH(RIGHT('SC-New'!$D59,LEN($D59)-7),'Bulb Weighting'!$B$3:$B$17,0)+1,2)</f>
        <v>0</v>
      </c>
      <c r="L59" s="37">
        <f>VLOOKUP($C59,$C$33:$Y$36,L$31,FALSE)*$C$42*$A59/8760/1000*INDEX('Bulb Weighting'!$B$2:$C$17,MATCH(RIGHT('SC-New'!$D59,LEN($D59)-7),'Bulb Weighting'!$B$3:$B$17,0)+1,2)</f>
        <v>0</v>
      </c>
      <c r="M59" s="37">
        <f>VLOOKUP($C59,$C$33:$Y$36,M$31,FALSE)*$C$42*$A59/8760/1000*INDEX('Bulb Weighting'!$B$2:$C$17,MATCH(RIGHT('SC-New'!$D59,LEN($D59)-7),'Bulb Weighting'!$B$3:$B$17,0)+1,2)</f>
        <v>0</v>
      </c>
      <c r="N59" s="37">
        <f>VLOOKUP($C59,$C$33:$Y$36,N$31,FALSE)*$C$42*$A59/8760/1000*INDEX('Bulb Weighting'!$B$2:$C$17,MATCH(RIGHT('SC-New'!$D59,LEN($D59)-7),'Bulb Weighting'!$B$3:$B$17,0)+1,2)</f>
        <v>0</v>
      </c>
      <c r="O59" s="37">
        <f>VLOOKUP($C59,$C$33:$Y$36,O$31,FALSE)*$C$42*$A59/8760/1000*INDEX('Bulb Weighting'!$B$2:$C$17,MATCH(RIGHT('SC-New'!$D59,LEN($D59)-7),'Bulb Weighting'!$B$3:$B$17,0)+1,2)</f>
        <v>0</v>
      </c>
      <c r="P59" s="37">
        <f>VLOOKUP($C59,$C$33:$Y$36,P$31,FALSE)*$C$42*$A59/8760/1000*INDEX('Bulb Weighting'!$B$2:$C$17,MATCH(RIGHT('SC-New'!$D59,LEN($D59)-7),'Bulb Weighting'!$B$3:$B$17,0)+1,2)</f>
        <v>0</v>
      </c>
      <c r="Q59" s="37">
        <f>VLOOKUP($C59,$C$33:$Y$36,Q$31,FALSE)*$C$42*$A59/8760/1000*INDEX('Bulb Weighting'!$B$2:$C$17,MATCH(RIGHT('SC-New'!$D59,LEN($D59)-7),'Bulb Weighting'!$B$3:$B$17,0)+1,2)</f>
        <v>0</v>
      </c>
      <c r="R59" s="37">
        <f>VLOOKUP($C59,$C$33:$Y$36,R$31,FALSE)*$C$42*$A59/8760/1000*INDEX('Bulb Weighting'!$B$2:$C$17,MATCH(RIGHT('SC-New'!$D59,LEN($D59)-7),'Bulb Weighting'!$B$3:$B$17,0)+1,2)</f>
        <v>0</v>
      </c>
      <c r="S59" s="37">
        <f>VLOOKUP($C59,$C$33:$Y$36,S$31,FALSE)*$C$42*$A59/8760/1000*INDEX('Bulb Weighting'!$B$2:$C$17,MATCH(RIGHT('SC-New'!$D59,LEN($D59)-7),'Bulb Weighting'!$B$3:$B$17,0)+1,2)</f>
        <v>0</v>
      </c>
      <c r="T59" s="37">
        <f>VLOOKUP($C59,$C$33:$Y$36,T$31,FALSE)*$C$42*$A59/8760/1000*INDEX('Bulb Weighting'!$B$2:$C$17,MATCH(RIGHT('SC-New'!$D59,LEN($D59)-7),'Bulb Weighting'!$B$3:$B$17,0)+1,2)</f>
        <v>0</v>
      </c>
      <c r="U59" s="37">
        <f>VLOOKUP($C59,$C$33:$Y$36,U$31,FALSE)*$C$42*$A59/8760/1000*INDEX('Bulb Weighting'!$B$2:$C$17,MATCH(RIGHT('SC-New'!$D59,LEN($D59)-7),'Bulb Weighting'!$B$3:$B$17,0)+1,2)</f>
        <v>0</v>
      </c>
      <c r="V59" s="37">
        <f>VLOOKUP($C59,$C$33:$Y$36,V$31,FALSE)*$C$42*$A59/8760/1000*INDEX('Bulb Weighting'!$B$2:$C$17,MATCH(RIGHT('SC-New'!$D59,LEN($D59)-7),'Bulb Weighting'!$B$3:$B$17,0)+1,2)</f>
        <v>0</v>
      </c>
      <c r="W59" s="37">
        <f>VLOOKUP($C59,$C$33:$Y$36,W$31,FALSE)*$C$42*$A59/8760/1000*INDEX('Bulb Weighting'!$B$2:$C$17,MATCH(RIGHT('SC-New'!$D59,LEN($D59)-7),'Bulb Weighting'!$B$3:$B$17,0)+1,2)</f>
        <v>0</v>
      </c>
      <c r="X59" s="37">
        <f>VLOOKUP($C59,$C$33:$Y$36,X$31,FALSE)*$C$42*$A59/8760/1000*INDEX('Bulb Weighting'!$B$2:$C$17,MATCH(RIGHT('SC-New'!$D59,LEN($D59)-7),'Bulb Weighting'!$B$3:$B$17,0)+1,2)</f>
        <v>0</v>
      </c>
      <c r="Y59" s="37">
        <f t="shared" si="18"/>
        <v>1.7924896914952932E-2</v>
      </c>
      <c r="AA59" s="31"/>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row>
    <row r="60" spans="1:80">
      <c r="A60" s="89">
        <f t="shared" si="15"/>
        <v>14.492020906444102</v>
      </c>
      <c r="B60" s="71">
        <f t="shared" si="16"/>
        <v>-3.5286913755547569</v>
      </c>
      <c r="C60" s="1" t="s">
        <v>32</v>
      </c>
      <c r="D60" t="s">
        <v>718</v>
      </c>
      <c r="E60" s="37">
        <f>VLOOKUP($C60,$C$33:$Y$36,E$31,FALSE)*$C$42*$A60/8760/1000*INDEX('Bulb Weighting'!$B$2:$C$17,MATCH(RIGHT('SC-New'!$D60,LEN($D60)-7),'Bulb Weighting'!$B$3:$B$17,0)+1,2)</f>
        <v>3.703789327330132E-3</v>
      </c>
      <c r="F60" s="37">
        <f>VLOOKUP($C60,$C$33:$Y$36,F$31,FALSE)*$C$42*$A60/8760/1000*INDEX('Bulb Weighting'!$B$2:$C$17,MATCH(RIGHT('SC-New'!$D60,LEN($D60)-7),'Bulb Weighting'!$B$3:$B$17,0)+1,2)</f>
        <v>0</v>
      </c>
      <c r="G60" s="37">
        <f>VLOOKUP($C60,$C$33:$Y$36,G$31,FALSE)*$C$42*$A60/8760/1000*INDEX('Bulb Weighting'!$B$2:$C$17,MATCH(RIGHT('SC-New'!$D60,LEN($D60)-7),'Bulb Weighting'!$B$3:$B$17,0)+1,2)</f>
        <v>0</v>
      </c>
      <c r="H60" s="37">
        <f>VLOOKUP($C60,$C$33:$Y$36,H$31,FALSE)*$C$42*$A60/8760/1000*INDEX('Bulb Weighting'!$B$2:$C$17,MATCH(RIGHT('SC-New'!$D60,LEN($D60)-7),'Bulb Weighting'!$B$3:$B$17,0)+1,2)</f>
        <v>0</v>
      </c>
      <c r="I60" s="37">
        <f>VLOOKUP($C60,$C$33:$Y$36,I$31,FALSE)*$C$42*$A60/8760/1000*INDEX('Bulb Weighting'!$B$2:$C$17,MATCH(RIGHT('SC-New'!$D60,LEN($D60)-7),'Bulb Weighting'!$B$3:$B$17,0)+1,2)</f>
        <v>0</v>
      </c>
      <c r="J60" s="37">
        <f>VLOOKUP($C60,$C$33:$Y$36,J$31,FALSE)*$C$42*$A60/8760/1000*INDEX('Bulb Weighting'!$B$2:$C$17,MATCH(RIGHT('SC-New'!$D60,LEN($D60)-7),'Bulb Weighting'!$B$3:$B$17,0)+1,2)</f>
        <v>0</v>
      </c>
      <c r="K60" s="37">
        <f>VLOOKUP($C60,$C$33:$Y$36,K$31,FALSE)*$C$42*$A60/8760/1000*INDEX('Bulb Weighting'!$B$2:$C$17,MATCH(RIGHT('SC-New'!$D60,LEN($D60)-7),'Bulb Weighting'!$B$3:$B$17,0)+1,2)</f>
        <v>0</v>
      </c>
      <c r="L60" s="37">
        <f>VLOOKUP($C60,$C$33:$Y$36,L$31,FALSE)*$C$42*$A60/8760/1000*INDEX('Bulb Weighting'!$B$2:$C$17,MATCH(RIGHT('SC-New'!$D60,LEN($D60)-7),'Bulb Weighting'!$B$3:$B$17,0)+1,2)</f>
        <v>0</v>
      </c>
      <c r="M60" s="37">
        <f>VLOOKUP($C60,$C$33:$Y$36,M$31,FALSE)*$C$42*$A60/8760/1000*INDEX('Bulb Weighting'!$B$2:$C$17,MATCH(RIGHT('SC-New'!$D60,LEN($D60)-7),'Bulb Weighting'!$B$3:$B$17,0)+1,2)</f>
        <v>0</v>
      </c>
      <c r="N60" s="37">
        <f>VLOOKUP($C60,$C$33:$Y$36,N$31,FALSE)*$C$42*$A60/8760/1000*INDEX('Bulb Weighting'!$B$2:$C$17,MATCH(RIGHT('SC-New'!$D60,LEN($D60)-7),'Bulb Weighting'!$B$3:$B$17,0)+1,2)</f>
        <v>0</v>
      </c>
      <c r="O60" s="37">
        <f>VLOOKUP($C60,$C$33:$Y$36,O$31,FALSE)*$C$42*$A60/8760/1000*INDEX('Bulb Weighting'!$B$2:$C$17,MATCH(RIGHT('SC-New'!$D60,LEN($D60)-7),'Bulb Weighting'!$B$3:$B$17,0)+1,2)</f>
        <v>0</v>
      </c>
      <c r="P60" s="37">
        <f>VLOOKUP($C60,$C$33:$Y$36,P$31,FALSE)*$C$42*$A60/8760/1000*INDEX('Bulb Weighting'!$B$2:$C$17,MATCH(RIGHT('SC-New'!$D60,LEN($D60)-7),'Bulb Weighting'!$B$3:$B$17,0)+1,2)</f>
        <v>0</v>
      </c>
      <c r="Q60" s="37">
        <f>VLOOKUP($C60,$C$33:$Y$36,Q$31,FALSE)*$C$42*$A60/8760/1000*INDEX('Bulb Weighting'!$B$2:$C$17,MATCH(RIGHT('SC-New'!$D60,LEN($D60)-7),'Bulb Weighting'!$B$3:$B$17,0)+1,2)</f>
        <v>0</v>
      </c>
      <c r="R60" s="37">
        <f>VLOOKUP($C60,$C$33:$Y$36,R$31,FALSE)*$C$42*$A60/8760/1000*INDEX('Bulb Weighting'!$B$2:$C$17,MATCH(RIGHT('SC-New'!$D60,LEN($D60)-7),'Bulb Weighting'!$B$3:$B$17,0)+1,2)</f>
        <v>0</v>
      </c>
      <c r="S60" s="37">
        <f>VLOOKUP($C60,$C$33:$Y$36,S$31,FALSE)*$C$42*$A60/8760/1000*INDEX('Bulb Weighting'!$B$2:$C$17,MATCH(RIGHT('SC-New'!$D60,LEN($D60)-7),'Bulb Weighting'!$B$3:$B$17,0)+1,2)</f>
        <v>0</v>
      </c>
      <c r="T60" s="37">
        <f>VLOOKUP($C60,$C$33:$Y$36,T$31,FALSE)*$C$42*$A60/8760/1000*INDEX('Bulb Weighting'!$B$2:$C$17,MATCH(RIGHT('SC-New'!$D60,LEN($D60)-7),'Bulb Weighting'!$B$3:$B$17,0)+1,2)</f>
        <v>0</v>
      </c>
      <c r="U60" s="37">
        <f>VLOOKUP($C60,$C$33:$Y$36,U$31,FALSE)*$C$42*$A60/8760/1000*INDEX('Bulb Weighting'!$B$2:$C$17,MATCH(RIGHT('SC-New'!$D60,LEN($D60)-7),'Bulb Weighting'!$B$3:$B$17,0)+1,2)</f>
        <v>0</v>
      </c>
      <c r="V60" s="37">
        <f>VLOOKUP($C60,$C$33:$Y$36,V$31,FALSE)*$C$42*$A60/8760/1000*INDEX('Bulb Weighting'!$B$2:$C$17,MATCH(RIGHT('SC-New'!$D60,LEN($D60)-7),'Bulb Weighting'!$B$3:$B$17,0)+1,2)</f>
        <v>0</v>
      </c>
      <c r="W60" s="37">
        <f>VLOOKUP($C60,$C$33:$Y$36,W$31,FALSE)*$C$42*$A60/8760/1000*INDEX('Bulb Weighting'!$B$2:$C$17,MATCH(RIGHT('SC-New'!$D60,LEN($D60)-7),'Bulb Weighting'!$B$3:$B$17,0)+1,2)</f>
        <v>0</v>
      </c>
      <c r="X60" s="37">
        <f>VLOOKUP($C60,$C$33:$Y$36,X$31,FALSE)*$C$42*$A60/8760/1000*INDEX('Bulb Weighting'!$B$2:$C$17,MATCH(RIGHT('SC-New'!$D60,LEN($D60)-7),'Bulb Weighting'!$B$3:$B$17,0)+1,2)</f>
        <v>0</v>
      </c>
      <c r="Y60" s="37">
        <f t="shared" si="18"/>
        <v>3.703789327330132E-3</v>
      </c>
      <c r="AA60" s="31"/>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row>
    <row r="61" spans="1:80">
      <c r="A61" s="89">
        <f t="shared" si="15"/>
        <v>7.1768930642853626</v>
      </c>
      <c r="B61" s="71">
        <f t="shared" si="16"/>
        <v>355.22288385759038</v>
      </c>
      <c r="C61" s="1" t="s">
        <v>32</v>
      </c>
      <c r="D61" t="s">
        <v>720</v>
      </c>
      <c r="E61" s="37">
        <f>VLOOKUP($C61,$C$33:$Y$36,E$31,FALSE)*$C$42*$A61/8760/1000*INDEX('Bulb Weighting'!$B$2:$C$17,MATCH(RIGHT('SC-New'!$D61,LEN($D61)-7),'Bulb Weighting'!$B$3:$B$17,0)+1,2)</f>
        <v>3.6036157864444775E-5</v>
      </c>
      <c r="F61" s="37">
        <f>VLOOKUP($C61,$C$33:$Y$36,F$31,FALSE)*$C$42*$A61/8760/1000*INDEX('Bulb Weighting'!$B$2:$C$17,MATCH(RIGHT('SC-New'!$D61,LEN($D61)-7),'Bulb Weighting'!$B$3:$B$17,0)+1,2)</f>
        <v>0</v>
      </c>
      <c r="G61" s="37">
        <f>VLOOKUP($C61,$C$33:$Y$36,G$31,FALSE)*$C$42*$A61/8760/1000*INDEX('Bulb Weighting'!$B$2:$C$17,MATCH(RIGHT('SC-New'!$D61,LEN($D61)-7),'Bulb Weighting'!$B$3:$B$17,0)+1,2)</f>
        <v>0</v>
      </c>
      <c r="H61" s="37">
        <f>VLOOKUP($C61,$C$33:$Y$36,H$31,FALSE)*$C$42*$A61/8760/1000*INDEX('Bulb Weighting'!$B$2:$C$17,MATCH(RIGHT('SC-New'!$D61,LEN($D61)-7),'Bulb Weighting'!$B$3:$B$17,0)+1,2)</f>
        <v>0</v>
      </c>
      <c r="I61" s="37">
        <f>VLOOKUP($C61,$C$33:$Y$36,I$31,FALSE)*$C$42*$A61/8760/1000*INDEX('Bulb Weighting'!$B$2:$C$17,MATCH(RIGHT('SC-New'!$D61,LEN($D61)-7),'Bulb Weighting'!$B$3:$B$17,0)+1,2)</f>
        <v>0</v>
      </c>
      <c r="J61" s="37">
        <f>VLOOKUP($C61,$C$33:$Y$36,J$31,FALSE)*$C$42*$A61/8760/1000*INDEX('Bulb Weighting'!$B$2:$C$17,MATCH(RIGHT('SC-New'!$D61,LEN($D61)-7),'Bulb Weighting'!$B$3:$B$17,0)+1,2)</f>
        <v>0</v>
      </c>
      <c r="K61" s="37">
        <f>VLOOKUP($C61,$C$33:$Y$36,K$31,FALSE)*$C$42*$A61/8760/1000*INDEX('Bulb Weighting'!$B$2:$C$17,MATCH(RIGHT('SC-New'!$D61,LEN($D61)-7),'Bulb Weighting'!$B$3:$B$17,0)+1,2)</f>
        <v>0</v>
      </c>
      <c r="L61" s="37">
        <f>VLOOKUP($C61,$C$33:$Y$36,L$31,FALSE)*$C$42*$A61/8760/1000*INDEX('Bulb Weighting'!$B$2:$C$17,MATCH(RIGHT('SC-New'!$D61,LEN($D61)-7),'Bulb Weighting'!$B$3:$B$17,0)+1,2)</f>
        <v>0</v>
      </c>
      <c r="M61" s="37">
        <f>VLOOKUP($C61,$C$33:$Y$36,M$31,FALSE)*$C$42*$A61/8760/1000*INDEX('Bulb Weighting'!$B$2:$C$17,MATCH(RIGHT('SC-New'!$D61,LEN($D61)-7),'Bulb Weighting'!$B$3:$B$17,0)+1,2)</f>
        <v>0</v>
      </c>
      <c r="N61" s="37">
        <f>VLOOKUP($C61,$C$33:$Y$36,N$31,FALSE)*$C$42*$A61/8760/1000*INDEX('Bulb Weighting'!$B$2:$C$17,MATCH(RIGHT('SC-New'!$D61,LEN($D61)-7),'Bulb Weighting'!$B$3:$B$17,0)+1,2)</f>
        <v>0</v>
      </c>
      <c r="O61" s="37">
        <f>VLOOKUP($C61,$C$33:$Y$36,O$31,FALSE)*$C$42*$A61/8760/1000*INDEX('Bulb Weighting'!$B$2:$C$17,MATCH(RIGHT('SC-New'!$D61,LEN($D61)-7),'Bulb Weighting'!$B$3:$B$17,0)+1,2)</f>
        <v>0</v>
      </c>
      <c r="P61" s="37">
        <f>VLOOKUP($C61,$C$33:$Y$36,P$31,FALSE)*$C$42*$A61/8760/1000*INDEX('Bulb Weighting'!$B$2:$C$17,MATCH(RIGHT('SC-New'!$D61,LEN($D61)-7),'Bulb Weighting'!$B$3:$B$17,0)+1,2)</f>
        <v>0</v>
      </c>
      <c r="Q61" s="37">
        <f>VLOOKUP($C61,$C$33:$Y$36,Q$31,FALSE)*$C$42*$A61/8760/1000*INDEX('Bulb Weighting'!$B$2:$C$17,MATCH(RIGHT('SC-New'!$D61,LEN($D61)-7),'Bulb Weighting'!$B$3:$B$17,0)+1,2)</f>
        <v>0</v>
      </c>
      <c r="R61" s="37">
        <f>VLOOKUP($C61,$C$33:$Y$36,R$31,FALSE)*$C$42*$A61/8760/1000*INDEX('Bulb Weighting'!$B$2:$C$17,MATCH(RIGHT('SC-New'!$D61,LEN($D61)-7),'Bulb Weighting'!$B$3:$B$17,0)+1,2)</f>
        <v>0</v>
      </c>
      <c r="S61" s="37">
        <f>VLOOKUP($C61,$C$33:$Y$36,S$31,FALSE)*$C$42*$A61/8760/1000*INDEX('Bulb Weighting'!$B$2:$C$17,MATCH(RIGHT('SC-New'!$D61,LEN($D61)-7),'Bulb Weighting'!$B$3:$B$17,0)+1,2)</f>
        <v>0</v>
      </c>
      <c r="T61" s="37">
        <f>VLOOKUP($C61,$C$33:$Y$36,T$31,FALSE)*$C$42*$A61/8760/1000*INDEX('Bulb Weighting'!$B$2:$C$17,MATCH(RIGHT('SC-New'!$D61,LEN($D61)-7),'Bulb Weighting'!$B$3:$B$17,0)+1,2)</f>
        <v>0</v>
      </c>
      <c r="U61" s="37">
        <f>VLOOKUP($C61,$C$33:$Y$36,U$31,FALSE)*$C$42*$A61/8760/1000*INDEX('Bulb Weighting'!$B$2:$C$17,MATCH(RIGHT('SC-New'!$D61,LEN($D61)-7),'Bulb Weighting'!$B$3:$B$17,0)+1,2)</f>
        <v>0</v>
      </c>
      <c r="V61" s="37">
        <f>VLOOKUP($C61,$C$33:$Y$36,V$31,FALSE)*$C$42*$A61/8760/1000*INDEX('Bulb Weighting'!$B$2:$C$17,MATCH(RIGHT('SC-New'!$D61,LEN($D61)-7),'Bulb Weighting'!$B$3:$B$17,0)+1,2)</f>
        <v>0</v>
      </c>
      <c r="W61" s="37">
        <f>VLOOKUP($C61,$C$33:$Y$36,W$31,FALSE)*$C$42*$A61/8760/1000*INDEX('Bulb Weighting'!$B$2:$C$17,MATCH(RIGHT('SC-New'!$D61,LEN($D61)-7),'Bulb Weighting'!$B$3:$B$17,0)+1,2)</f>
        <v>0</v>
      </c>
      <c r="X61" s="37">
        <f>VLOOKUP($C61,$C$33:$Y$36,X$31,FALSE)*$C$42*$A61/8760/1000*INDEX('Bulb Weighting'!$B$2:$C$17,MATCH(RIGHT('SC-New'!$D61,LEN($D61)-7),'Bulb Weighting'!$B$3:$B$17,0)+1,2)</f>
        <v>0</v>
      </c>
      <c r="Y61" s="37">
        <f t="shared" si="18"/>
        <v>3.6036157864444775E-5</v>
      </c>
      <c r="AA61" s="3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c r="A62" s="89">
        <f t="shared" si="15"/>
        <v>1.835623194306955</v>
      </c>
      <c r="B62" s="71">
        <f t="shared" si="16"/>
        <v>45.354656455601045</v>
      </c>
      <c r="C62" s="1" t="s">
        <v>32</v>
      </c>
      <c r="D62" t="s">
        <v>722</v>
      </c>
      <c r="E62" s="37">
        <f>VLOOKUP($C62,$C$33:$Y$36,E$31,FALSE)*$C$42*$A62/8760/1000*INDEX('Bulb Weighting'!$B$2:$C$17,MATCH(RIGHT('SC-New'!$D62,LEN($D62)-7),'Bulb Weighting'!$B$3:$B$17,0)+1,2)</f>
        <v>1.4283377835719517E-3</v>
      </c>
      <c r="F62" s="37">
        <f>VLOOKUP($C62,$C$33:$Y$36,F$31,FALSE)*$C$42*$A62/8760/1000*INDEX('Bulb Weighting'!$B$2:$C$17,MATCH(RIGHT('SC-New'!$D62,LEN($D62)-7),'Bulb Weighting'!$B$3:$B$17,0)+1,2)</f>
        <v>0</v>
      </c>
      <c r="G62" s="37">
        <f>VLOOKUP($C62,$C$33:$Y$36,G$31,FALSE)*$C$42*$A62/8760/1000*INDEX('Bulb Weighting'!$B$2:$C$17,MATCH(RIGHT('SC-New'!$D62,LEN($D62)-7),'Bulb Weighting'!$B$3:$B$17,0)+1,2)</f>
        <v>0</v>
      </c>
      <c r="H62" s="37">
        <f>VLOOKUP($C62,$C$33:$Y$36,H$31,FALSE)*$C$42*$A62/8760/1000*INDEX('Bulb Weighting'!$B$2:$C$17,MATCH(RIGHT('SC-New'!$D62,LEN($D62)-7),'Bulb Weighting'!$B$3:$B$17,0)+1,2)</f>
        <v>0</v>
      </c>
      <c r="I62" s="37">
        <f>VLOOKUP($C62,$C$33:$Y$36,I$31,FALSE)*$C$42*$A62/8760/1000*INDEX('Bulb Weighting'!$B$2:$C$17,MATCH(RIGHT('SC-New'!$D62,LEN($D62)-7),'Bulb Weighting'!$B$3:$B$17,0)+1,2)</f>
        <v>0</v>
      </c>
      <c r="J62" s="37">
        <f>VLOOKUP($C62,$C$33:$Y$36,J$31,FALSE)*$C$42*$A62/8760/1000*INDEX('Bulb Weighting'!$B$2:$C$17,MATCH(RIGHT('SC-New'!$D62,LEN($D62)-7),'Bulb Weighting'!$B$3:$B$17,0)+1,2)</f>
        <v>0</v>
      </c>
      <c r="K62" s="37">
        <f>VLOOKUP($C62,$C$33:$Y$36,K$31,FALSE)*$C$42*$A62/8760/1000*INDEX('Bulb Weighting'!$B$2:$C$17,MATCH(RIGHT('SC-New'!$D62,LEN($D62)-7),'Bulb Weighting'!$B$3:$B$17,0)+1,2)</f>
        <v>0</v>
      </c>
      <c r="L62" s="37">
        <f>VLOOKUP($C62,$C$33:$Y$36,L$31,FALSE)*$C$42*$A62/8760/1000*INDEX('Bulb Weighting'!$B$2:$C$17,MATCH(RIGHT('SC-New'!$D62,LEN($D62)-7),'Bulb Weighting'!$B$3:$B$17,0)+1,2)</f>
        <v>0</v>
      </c>
      <c r="M62" s="37">
        <f>VLOOKUP($C62,$C$33:$Y$36,M$31,FALSE)*$C$42*$A62/8760/1000*INDEX('Bulb Weighting'!$B$2:$C$17,MATCH(RIGHT('SC-New'!$D62,LEN($D62)-7),'Bulb Weighting'!$B$3:$B$17,0)+1,2)</f>
        <v>0</v>
      </c>
      <c r="N62" s="37">
        <f>VLOOKUP($C62,$C$33:$Y$36,N$31,FALSE)*$C$42*$A62/8760/1000*INDEX('Bulb Weighting'!$B$2:$C$17,MATCH(RIGHT('SC-New'!$D62,LEN($D62)-7),'Bulb Weighting'!$B$3:$B$17,0)+1,2)</f>
        <v>0</v>
      </c>
      <c r="O62" s="37">
        <f>VLOOKUP($C62,$C$33:$Y$36,O$31,FALSE)*$C$42*$A62/8760/1000*INDEX('Bulb Weighting'!$B$2:$C$17,MATCH(RIGHT('SC-New'!$D62,LEN($D62)-7),'Bulb Weighting'!$B$3:$B$17,0)+1,2)</f>
        <v>0</v>
      </c>
      <c r="P62" s="37">
        <f>VLOOKUP($C62,$C$33:$Y$36,P$31,FALSE)*$C$42*$A62/8760/1000*INDEX('Bulb Weighting'!$B$2:$C$17,MATCH(RIGHT('SC-New'!$D62,LEN($D62)-7),'Bulb Weighting'!$B$3:$B$17,0)+1,2)</f>
        <v>0</v>
      </c>
      <c r="Q62" s="37">
        <f>VLOOKUP($C62,$C$33:$Y$36,Q$31,FALSE)*$C$42*$A62/8760/1000*INDEX('Bulb Weighting'!$B$2:$C$17,MATCH(RIGHT('SC-New'!$D62,LEN($D62)-7),'Bulb Weighting'!$B$3:$B$17,0)+1,2)</f>
        <v>0</v>
      </c>
      <c r="R62" s="37">
        <f>VLOOKUP($C62,$C$33:$Y$36,R$31,FALSE)*$C$42*$A62/8760/1000*INDEX('Bulb Weighting'!$B$2:$C$17,MATCH(RIGHT('SC-New'!$D62,LEN($D62)-7),'Bulb Weighting'!$B$3:$B$17,0)+1,2)</f>
        <v>0</v>
      </c>
      <c r="S62" s="37">
        <f>VLOOKUP($C62,$C$33:$Y$36,S$31,FALSE)*$C$42*$A62/8760/1000*INDEX('Bulb Weighting'!$B$2:$C$17,MATCH(RIGHT('SC-New'!$D62,LEN($D62)-7),'Bulb Weighting'!$B$3:$B$17,0)+1,2)</f>
        <v>0</v>
      </c>
      <c r="T62" s="37">
        <f>VLOOKUP($C62,$C$33:$Y$36,T$31,FALSE)*$C$42*$A62/8760/1000*INDEX('Bulb Weighting'!$B$2:$C$17,MATCH(RIGHT('SC-New'!$D62,LEN($D62)-7),'Bulb Weighting'!$B$3:$B$17,0)+1,2)</f>
        <v>0</v>
      </c>
      <c r="U62" s="37">
        <f>VLOOKUP($C62,$C$33:$Y$36,U$31,FALSE)*$C$42*$A62/8760/1000*INDEX('Bulb Weighting'!$B$2:$C$17,MATCH(RIGHT('SC-New'!$D62,LEN($D62)-7),'Bulb Weighting'!$B$3:$B$17,0)+1,2)</f>
        <v>0</v>
      </c>
      <c r="V62" s="37">
        <f>VLOOKUP($C62,$C$33:$Y$36,V$31,FALSE)*$C$42*$A62/8760/1000*INDEX('Bulb Weighting'!$B$2:$C$17,MATCH(RIGHT('SC-New'!$D62,LEN($D62)-7),'Bulb Weighting'!$B$3:$B$17,0)+1,2)</f>
        <v>0</v>
      </c>
      <c r="W62" s="37">
        <f>VLOOKUP($C62,$C$33:$Y$36,W$31,FALSE)*$C$42*$A62/8760/1000*INDEX('Bulb Weighting'!$B$2:$C$17,MATCH(RIGHT('SC-New'!$D62,LEN($D62)-7),'Bulb Weighting'!$B$3:$B$17,0)+1,2)</f>
        <v>0</v>
      </c>
      <c r="X62" s="37">
        <f>VLOOKUP($C62,$C$33:$Y$36,X$31,FALSE)*$C$42*$A62/8760/1000*INDEX('Bulb Weighting'!$B$2:$C$17,MATCH(RIGHT('SC-New'!$D62,LEN($D62)-7),'Bulb Weighting'!$B$3:$B$17,0)+1,2)</f>
        <v>0</v>
      </c>
      <c r="Y62" s="37">
        <f t="shared" si="18"/>
        <v>1.4283377835719517E-3</v>
      </c>
      <c r="AA62" s="31"/>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row>
    <row r="63" spans="1:80">
      <c r="A63" s="89">
        <f t="shared" si="15"/>
        <v>7.1645689261628798</v>
      </c>
      <c r="B63" s="71">
        <f t="shared" si="16"/>
        <v>56.611757463143533</v>
      </c>
      <c r="C63" s="1" t="s">
        <v>32</v>
      </c>
      <c r="D63" t="s">
        <v>724</v>
      </c>
      <c r="E63" s="37">
        <f>VLOOKUP($C63,$C$33:$Y$36,E$31,FALSE)*$C$42*$A63/8760/1000*INDEX('Bulb Weighting'!$B$2:$C$17,MATCH(RIGHT('SC-New'!$D63,LEN($D63)-7),'Bulb Weighting'!$B$3:$B$17,0)+1,2)</f>
        <v>4.3018547346141141E-2</v>
      </c>
      <c r="F63" s="37">
        <f>VLOOKUP($C63,$C$33:$Y$36,F$31,FALSE)*$C$42*$A63/8760/1000*INDEX('Bulb Weighting'!$B$2:$C$17,MATCH(RIGHT('SC-New'!$D63,LEN($D63)-7),'Bulb Weighting'!$B$3:$B$17,0)+1,2)</f>
        <v>0</v>
      </c>
      <c r="G63" s="37">
        <f>VLOOKUP($C63,$C$33:$Y$36,G$31,FALSE)*$C$42*$A63/8760/1000*INDEX('Bulb Weighting'!$B$2:$C$17,MATCH(RIGHT('SC-New'!$D63,LEN($D63)-7),'Bulb Weighting'!$B$3:$B$17,0)+1,2)</f>
        <v>0</v>
      </c>
      <c r="H63" s="37">
        <f>VLOOKUP($C63,$C$33:$Y$36,H$31,FALSE)*$C$42*$A63/8760/1000*INDEX('Bulb Weighting'!$B$2:$C$17,MATCH(RIGHT('SC-New'!$D63,LEN($D63)-7),'Bulb Weighting'!$B$3:$B$17,0)+1,2)</f>
        <v>0</v>
      </c>
      <c r="I63" s="37">
        <f>VLOOKUP($C63,$C$33:$Y$36,I$31,FALSE)*$C$42*$A63/8760/1000*INDEX('Bulb Weighting'!$B$2:$C$17,MATCH(RIGHT('SC-New'!$D63,LEN($D63)-7),'Bulb Weighting'!$B$3:$B$17,0)+1,2)</f>
        <v>0</v>
      </c>
      <c r="J63" s="37">
        <f>VLOOKUP($C63,$C$33:$Y$36,J$31,FALSE)*$C$42*$A63/8760/1000*INDEX('Bulb Weighting'!$B$2:$C$17,MATCH(RIGHT('SC-New'!$D63,LEN($D63)-7),'Bulb Weighting'!$B$3:$B$17,0)+1,2)</f>
        <v>0</v>
      </c>
      <c r="K63" s="37">
        <f>VLOOKUP($C63,$C$33:$Y$36,K$31,FALSE)*$C$42*$A63/8760/1000*INDEX('Bulb Weighting'!$B$2:$C$17,MATCH(RIGHT('SC-New'!$D63,LEN($D63)-7),'Bulb Weighting'!$B$3:$B$17,0)+1,2)</f>
        <v>0</v>
      </c>
      <c r="L63" s="37">
        <f>VLOOKUP($C63,$C$33:$Y$36,L$31,FALSE)*$C$42*$A63/8760/1000*INDEX('Bulb Weighting'!$B$2:$C$17,MATCH(RIGHT('SC-New'!$D63,LEN($D63)-7),'Bulb Weighting'!$B$3:$B$17,0)+1,2)</f>
        <v>0</v>
      </c>
      <c r="M63" s="37">
        <f>VLOOKUP($C63,$C$33:$Y$36,M$31,FALSE)*$C$42*$A63/8760/1000*INDEX('Bulb Weighting'!$B$2:$C$17,MATCH(RIGHT('SC-New'!$D63,LEN($D63)-7),'Bulb Weighting'!$B$3:$B$17,0)+1,2)</f>
        <v>0</v>
      </c>
      <c r="N63" s="37">
        <f>VLOOKUP($C63,$C$33:$Y$36,N$31,FALSE)*$C$42*$A63/8760/1000*INDEX('Bulb Weighting'!$B$2:$C$17,MATCH(RIGHT('SC-New'!$D63,LEN($D63)-7),'Bulb Weighting'!$B$3:$B$17,0)+1,2)</f>
        <v>0</v>
      </c>
      <c r="O63" s="37">
        <f>VLOOKUP($C63,$C$33:$Y$36,O$31,FALSE)*$C$42*$A63/8760/1000*INDEX('Bulb Weighting'!$B$2:$C$17,MATCH(RIGHT('SC-New'!$D63,LEN($D63)-7),'Bulb Weighting'!$B$3:$B$17,0)+1,2)</f>
        <v>0</v>
      </c>
      <c r="P63" s="37">
        <f>VLOOKUP($C63,$C$33:$Y$36,P$31,FALSE)*$C$42*$A63/8760/1000*INDEX('Bulb Weighting'!$B$2:$C$17,MATCH(RIGHT('SC-New'!$D63,LEN($D63)-7),'Bulb Weighting'!$B$3:$B$17,0)+1,2)</f>
        <v>0</v>
      </c>
      <c r="Q63" s="37">
        <f>VLOOKUP($C63,$C$33:$Y$36,Q$31,FALSE)*$C$42*$A63/8760/1000*INDEX('Bulb Weighting'!$B$2:$C$17,MATCH(RIGHT('SC-New'!$D63,LEN($D63)-7),'Bulb Weighting'!$B$3:$B$17,0)+1,2)</f>
        <v>0</v>
      </c>
      <c r="R63" s="37">
        <f>VLOOKUP($C63,$C$33:$Y$36,R$31,FALSE)*$C$42*$A63/8760/1000*INDEX('Bulb Weighting'!$B$2:$C$17,MATCH(RIGHT('SC-New'!$D63,LEN($D63)-7),'Bulb Weighting'!$B$3:$B$17,0)+1,2)</f>
        <v>0</v>
      </c>
      <c r="S63" s="37">
        <f>VLOOKUP($C63,$C$33:$Y$36,S$31,FALSE)*$C$42*$A63/8760/1000*INDEX('Bulb Weighting'!$B$2:$C$17,MATCH(RIGHT('SC-New'!$D63,LEN($D63)-7),'Bulb Weighting'!$B$3:$B$17,0)+1,2)</f>
        <v>0</v>
      </c>
      <c r="T63" s="37">
        <f>VLOOKUP($C63,$C$33:$Y$36,T$31,FALSE)*$C$42*$A63/8760/1000*INDEX('Bulb Weighting'!$B$2:$C$17,MATCH(RIGHT('SC-New'!$D63,LEN($D63)-7),'Bulb Weighting'!$B$3:$B$17,0)+1,2)</f>
        <v>0</v>
      </c>
      <c r="U63" s="37">
        <f>VLOOKUP($C63,$C$33:$Y$36,U$31,FALSE)*$C$42*$A63/8760/1000*INDEX('Bulb Weighting'!$B$2:$C$17,MATCH(RIGHT('SC-New'!$D63,LEN($D63)-7),'Bulb Weighting'!$B$3:$B$17,0)+1,2)</f>
        <v>0</v>
      </c>
      <c r="V63" s="37">
        <f>VLOOKUP($C63,$C$33:$Y$36,V$31,FALSE)*$C$42*$A63/8760/1000*INDEX('Bulb Weighting'!$B$2:$C$17,MATCH(RIGHT('SC-New'!$D63,LEN($D63)-7),'Bulb Weighting'!$B$3:$B$17,0)+1,2)</f>
        <v>0</v>
      </c>
      <c r="W63" s="37">
        <f>VLOOKUP($C63,$C$33:$Y$36,W$31,FALSE)*$C$42*$A63/8760/1000*INDEX('Bulb Weighting'!$B$2:$C$17,MATCH(RIGHT('SC-New'!$D63,LEN($D63)-7),'Bulb Weighting'!$B$3:$B$17,0)+1,2)</f>
        <v>0</v>
      </c>
      <c r="X63" s="37">
        <f>VLOOKUP($C63,$C$33:$Y$36,X$31,FALSE)*$C$42*$A63/8760/1000*INDEX('Bulb Weighting'!$B$2:$C$17,MATCH(RIGHT('SC-New'!$D63,LEN($D63)-7),'Bulb Weighting'!$B$3:$B$17,0)+1,2)</f>
        <v>0</v>
      </c>
      <c r="Y63" s="37">
        <f t="shared" si="18"/>
        <v>4.3018547346141141E-2</v>
      </c>
      <c r="AA63" s="31"/>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row>
    <row r="64" spans="1:80">
      <c r="A64" s="89">
        <f t="shared" si="15"/>
        <v>13.386672313322151</v>
      </c>
      <c r="B64" s="71">
        <f t="shared" si="16"/>
        <v>91.063681093838966</v>
      </c>
      <c r="C64" s="1" t="s">
        <v>32</v>
      </c>
      <c r="D64" t="s">
        <v>726</v>
      </c>
      <c r="E64" s="37">
        <f>VLOOKUP($C64,$C$33:$Y$36,E$31,FALSE)*$C$42*$A64/8760/1000*INDEX('Bulb Weighting'!$B$2:$C$17,MATCH(RIGHT('SC-New'!$D64,LEN($D64)-7),'Bulb Weighting'!$B$3:$B$17,0)+1,2)</f>
        <v>8.0138101886819014E-3</v>
      </c>
      <c r="F64" s="37">
        <f>VLOOKUP($C64,$C$33:$Y$36,F$31,FALSE)*$C$42*$A64/8760/1000*INDEX('Bulb Weighting'!$B$2:$C$17,MATCH(RIGHT('SC-New'!$D64,LEN($D64)-7),'Bulb Weighting'!$B$3:$B$17,0)+1,2)</f>
        <v>0</v>
      </c>
      <c r="G64" s="37">
        <f>VLOOKUP($C64,$C$33:$Y$36,G$31,FALSE)*$C$42*$A64/8760/1000*INDEX('Bulb Weighting'!$B$2:$C$17,MATCH(RIGHT('SC-New'!$D64,LEN($D64)-7),'Bulb Weighting'!$B$3:$B$17,0)+1,2)</f>
        <v>0</v>
      </c>
      <c r="H64" s="37">
        <f>VLOOKUP($C64,$C$33:$Y$36,H$31,FALSE)*$C$42*$A64/8760/1000*INDEX('Bulb Weighting'!$B$2:$C$17,MATCH(RIGHT('SC-New'!$D64,LEN($D64)-7),'Bulb Weighting'!$B$3:$B$17,0)+1,2)</f>
        <v>0</v>
      </c>
      <c r="I64" s="37">
        <f>VLOOKUP($C64,$C$33:$Y$36,I$31,FALSE)*$C$42*$A64/8760/1000*INDEX('Bulb Weighting'!$B$2:$C$17,MATCH(RIGHT('SC-New'!$D64,LEN($D64)-7),'Bulb Weighting'!$B$3:$B$17,0)+1,2)</f>
        <v>0</v>
      </c>
      <c r="J64" s="37">
        <f>VLOOKUP($C64,$C$33:$Y$36,J$31,FALSE)*$C$42*$A64/8760/1000*INDEX('Bulb Weighting'!$B$2:$C$17,MATCH(RIGHT('SC-New'!$D64,LEN($D64)-7),'Bulb Weighting'!$B$3:$B$17,0)+1,2)</f>
        <v>0</v>
      </c>
      <c r="K64" s="37">
        <f>VLOOKUP($C64,$C$33:$Y$36,K$31,FALSE)*$C$42*$A64/8760/1000*INDEX('Bulb Weighting'!$B$2:$C$17,MATCH(RIGHT('SC-New'!$D64,LEN($D64)-7),'Bulb Weighting'!$B$3:$B$17,0)+1,2)</f>
        <v>0</v>
      </c>
      <c r="L64" s="37">
        <f>VLOOKUP($C64,$C$33:$Y$36,L$31,FALSE)*$C$42*$A64/8760/1000*INDEX('Bulb Weighting'!$B$2:$C$17,MATCH(RIGHT('SC-New'!$D64,LEN($D64)-7),'Bulb Weighting'!$B$3:$B$17,0)+1,2)</f>
        <v>0</v>
      </c>
      <c r="M64" s="37">
        <f>VLOOKUP($C64,$C$33:$Y$36,M$31,FALSE)*$C$42*$A64/8760/1000*INDEX('Bulb Weighting'!$B$2:$C$17,MATCH(RIGHT('SC-New'!$D64,LEN($D64)-7),'Bulb Weighting'!$B$3:$B$17,0)+1,2)</f>
        <v>0</v>
      </c>
      <c r="N64" s="37">
        <f>VLOOKUP($C64,$C$33:$Y$36,N$31,FALSE)*$C$42*$A64/8760/1000*INDEX('Bulb Weighting'!$B$2:$C$17,MATCH(RIGHT('SC-New'!$D64,LEN($D64)-7),'Bulb Weighting'!$B$3:$B$17,0)+1,2)</f>
        <v>0</v>
      </c>
      <c r="O64" s="37">
        <f>VLOOKUP($C64,$C$33:$Y$36,O$31,FALSE)*$C$42*$A64/8760/1000*INDEX('Bulb Weighting'!$B$2:$C$17,MATCH(RIGHT('SC-New'!$D64,LEN($D64)-7),'Bulb Weighting'!$B$3:$B$17,0)+1,2)</f>
        <v>0</v>
      </c>
      <c r="P64" s="37">
        <f>VLOOKUP($C64,$C$33:$Y$36,P$31,FALSE)*$C$42*$A64/8760/1000*INDEX('Bulb Weighting'!$B$2:$C$17,MATCH(RIGHT('SC-New'!$D64,LEN($D64)-7),'Bulb Weighting'!$B$3:$B$17,0)+1,2)</f>
        <v>0</v>
      </c>
      <c r="Q64" s="37">
        <f>VLOOKUP($C64,$C$33:$Y$36,Q$31,FALSE)*$C$42*$A64/8760/1000*INDEX('Bulb Weighting'!$B$2:$C$17,MATCH(RIGHT('SC-New'!$D64,LEN($D64)-7),'Bulb Weighting'!$B$3:$B$17,0)+1,2)</f>
        <v>0</v>
      </c>
      <c r="R64" s="37">
        <f>VLOOKUP($C64,$C$33:$Y$36,R$31,FALSE)*$C$42*$A64/8760/1000*INDEX('Bulb Weighting'!$B$2:$C$17,MATCH(RIGHT('SC-New'!$D64,LEN($D64)-7),'Bulb Weighting'!$B$3:$B$17,0)+1,2)</f>
        <v>0</v>
      </c>
      <c r="S64" s="37">
        <f>VLOOKUP($C64,$C$33:$Y$36,S$31,FALSE)*$C$42*$A64/8760/1000*INDEX('Bulb Weighting'!$B$2:$C$17,MATCH(RIGHT('SC-New'!$D64,LEN($D64)-7),'Bulb Weighting'!$B$3:$B$17,0)+1,2)</f>
        <v>0</v>
      </c>
      <c r="T64" s="37">
        <f>VLOOKUP($C64,$C$33:$Y$36,T$31,FALSE)*$C$42*$A64/8760/1000*INDEX('Bulb Weighting'!$B$2:$C$17,MATCH(RIGHT('SC-New'!$D64,LEN($D64)-7),'Bulb Weighting'!$B$3:$B$17,0)+1,2)</f>
        <v>0</v>
      </c>
      <c r="U64" s="37">
        <f>VLOOKUP($C64,$C$33:$Y$36,U$31,FALSE)*$C$42*$A64/8760/1000*INDEX('Bulb Weighting'!$B$2:$C$17,MATCH(RIGHT('SC-New'!$D64,LEN($D64)-7),'Bulb Weighting'!$B$3:$B$17,0)+1,2)</f>
        <v>0</v>
      </c>
      <c r="V64" s="37">
        <f>VLOOKUP($C64,$C$33:$Y$36,V$31,FALSE)*$C$42*$A64/8760/1000*INDEX('Bulb Weighting'!$B$2:$C$17,MATCH(RIGHT('SC-New'!$D64,LEN($D64)-7),'Bulb Weighting'!$B$3:$B$17,0)+1,2)</f>
        <v>0</v>
      </c>
      <c r="W64" s="37">
        <f>VLOOKUP($C64,$C$33:$Y$36,W$31,FALSE)*$C$42*$A64/8760/1000*INDEX('Bulb Weighting'!$B$2:$C$17,MATCH(RIGHT('SC-New'!$D64,LEN($D64)-7),'Bulb Weighting'!$B$3:$B$17,0)+1,2)</f>
        <v>0</v>
      </c>
      <c r="X64" s="37">
        <f>VLOOKUP($C64,$C$33:$Y$36,X$31,FALSE)*$C$42*$A64/8760/1000*INDEX('Bulb Weighting'!$B$2:$C$17,MATCH(RIGHT('SC-New'!$D64,LEN($D64)-7),'Bulb Weighting'!$B$3:$B$17,0)+1,2)</f>
        <v>0</v>
      </c>
      <c r="Y64" s="37">
        <f t="shared" si="18"/>
        <v>8.0138101886819014E-3</v>
      </c>
      <c r="AA64" s="31"/>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row>
    <row r="65" spans="1:80">
      <c r="A65" s="89">
        <f t="shared" si="15"/>
        <v>14.33449498481688</v>
      </c>
      <c r="B65" s="71">
        <f t="shared" si="16"/>
        <v>-37.397069706053522</v>
      </c>
      <c r="C65" s="1" t="s">
        <v>32</v>
      </c>
      <c r="D65" t="s">
        <v>728</v>
      </c>
      <c r="E65" s="37">
        <f>VLOOKUP($C65,$C$33:$Y$36,E$31,FALSE)*$C$42*$A65/8760/1000*INDEX('Bulb Weighting'!$B$2:$C$17,MATCH(RIGHT('SC-New'!$D65,LEN($D65)-7),'Bulb Weighting'!$B$3:$B$17,0)+1,2)</f>
        <v>7.3341588204358672E-3</v>
      </c>
      <c r="F65" s="37">
        <f>VLOOKUP($C65,$C$33:$Y$36,F$31,FALSE)*$C$42*$A65/8760/1000*INDEX('Bulb Weighting'!$B$2:$C$17,MATCH(RIGHT('SC-New'!$D65,LEN($D65)-7),'Bulb Weighting'!$B$3:$B$17,0)+1,2)</f>
        <v>0</v>
      </c>
      <c r="G65" s="37">
        <f>VLOOKUP($C65,$C$33:$Y$36,G$31,FALSE)*$C$42*$A65/8760/1000*INDEX('Bulb Weighting'!$B$2:$C$17,MATCH(RIGHT('SC-New'!$D65,LEN($D65)-7),'Bulb Weighting'!$B$3:$B$17,0)+1,2)</f>
        <v>0</v>
      </c>
      <c r="H65" s="37">
        <f>VLOOKUP($C65,$C$33:$Y$36,H$31,FALSE)*$C$42*$A65/8760/1000*INDEX('Bulb Weighting'!$B$2:$C$17,MATCH(RIGHT('SC-New'!$D65,LEN($D65)-7),'Bulb Weighting'!$B$3:$B$17,0)+1,2)</f>
        <v>0</v>
      </c>
      <c r="I65" s="37">
        <f>VLOOKUP($C65,$C$33:$Y$36,I$31,FALSE)*$C$42*$A65/8760/1000*INDEX('Bulb Weighting'!$B$2:$C$17,MATCH(RIGHT('SC-New'!$D65,LEN($D65)-7),'Bulb Weighting'!$B$3:$B$17,0)+1,2)</f>
        <v>0</v>
      </c>
      <c r="J65" s="37">
        <f>VLOOKUP($C65,$C$33:$Y$36,J$31,FALSE)*$C$42*$A65/8760/1000*INDEX('Bulb Weighting'!$B$2:$C$17,MATCH(RIGHT('SC-New'!$D65,LEN($D65)-7),'Bulb Weighting'!$B$3:$B$17,0)+1,2)</f>
        <v>0</v>
      </c>
      <c r="K65" s="37">
        <f>VLOOKUP($C65,$C$33:$Y$36,K$31,FALSE)*$C$42*$A65/8760/1000*INDEX('Bulb Weighting'!$B$2:$C$17,MATCH(RIGHT('SC-New'!$D65,LEN($D65)-7),'Bulb Weighting'!$B$3:$B$17,0)+1,2)</f>
        <v>0</v>
      </c>
      <c r="L65" s="37">
        <f>VLOOKUP($C65,$C$33:$Y$36,L$31,FALSE)*$C$42*$A65/8760/1000*INDEX('Bulb Weighting'!$B$2:$C$17,MATCH(RIGHT('SC-New'!$D65,LEN($D65)-7),'Bulb Weighting'!$B$3:$B$17,0)+1,2)</f>
        <v>0</v>
      </c>
      <c r="M65" s="37">
        <f>VLOOKUP($C65,$C$33:$Y$36,M$31,FALSE)*$C$42*$A65/8760/1000*INDEX('Bulb Weighting'!$B$2:$C$17,MATCH(RIGHT('SC-New'!$D65,LEN($D65)-7),'Bulb Weighting'!$B$3:$B$17,0)+1,2)</f>
        <v>0</v>
      </c>
      <c r="N65" s="37">
        <f>VLOOKUP($C65,$C$33:$Y$36,N$31,FALSE)*$C$42*$A65/8760/1000*INDEX('Bulb Weighting'!$B$2:$C$17,MATCH(RIGHT('SC-New'!$D65,LEN($D65)-7),'Bulb Weighting'!$B$3:$B$17,0)+1,2)</f>
        <v>0</v>
      </c>
      <c r="O65" s="37">
        <f>VLOOKUP($C65,$C$33:$Y$36,O$31,FALSE)*$C$42*$A65/8760/1000*INDEX('Bulb Weighting'!$B$2:$C$17,MATCH(RIGHT('SC-New'!$D65,LEN($D65)-7),'Bulb Weighting'!$B$3:$B$17,0)+1,2)</f>
        <v>0</v>
      </c>
      <c r="P65" s="37">
        <f>VLOOKUP($C65,$C$33:$Y$36,P$31,FALSE)*$C$42*$A65/8760/1000*INDEX('Bulb Weighting'!$B$2:$C$17,MATCH(RIGHT('SC-New'!$D65,LEN($D65)-7),'Bulb Weighting'!$B$3:$B$17,0)+1,2)</f>
        <v>0</v>
      </c>
      <c r="Q65" s="37">
        <f>VLOOKUP($C65,$C$33:$Y$36,Q$31,FALSE)*$C$42*$A65/8760/1000*INDEX('Bulb Weighting'!$B$2:$C$17,MATCH(RIGHT('SC-New'!$D65,LEN($D65)-7),'Bulb Weighting'!$B$3:$B$17,0)+1,2)</f>
        <v>0</v>
      </c>
      <c r="R65" s="37">
        <f>VLOOKUP($C65,$C$33:$Y$36,R$31,FALSE)*$C$42*$A65/8760/1000*INDEX('Bulb Weighting'!$B$2:$C$17,MATCH(RIGHT('SC-New'!$D65,LEN($D65)-7),'Bulb Weighting'!$B$3:$B$17,0)+1,2)</f>
        <v>0</v>
      </c>
      <c r="S65" s="37">
        <f>VLOOKUP($C65,$C$33:$Y$36,S$31,FALSE)*$C$42*$A65/8760/1000*INDEX('Bulb Weighting'!$B$2:$C$17,MATCH(RIGHT('SC-New'!$D65,LEN($D65)-7),'Bulb Weighting'!$B$3:$B$17,0)+1,2)</f>
        <v>0</v>
      </c>
      <c r="T65" s="37">
        <f>VLOOKUP($C65,$C$33:$Y$36,T$31,FALSE)*$C$42*$A65/8760/1000*INDEX('Bulb Weighting'!$B$2:$C$17,MATCH(RIGHT('SC-New'!$D65,LEN($D65)-7),'Bulb Weighting'!$B$3:$B$17,0)+1,2)</f>
        <v>0</v>
      </c>
      <c r="U65" s="37">
        <f>VLOOKUP($C65,$C$33:$Y$36,U$31,FALSE)*$C$42*$A65/8760/1000*INDEX('Bulb Weighting'!$B$2:$C$17,MATCH(RIGHT('SC-New'!$D65,LEN($D65)-7),'Bulb Weighting'!$B$3:$B$17,0)+1,2)</f>
        <v>0</v>
      </c>
      <c r="V65" s="37">
        <f>VLOOKUP($C65,$C$33:$Y$36,V$31,FALSE)*$C$42*$A65/8760/1000*INDEX('Bulb Weighting'!$B$2:$C$17,MATCH(RIGHT('SC-New'!$D65,LEN($D65)-7),'Bulb Weighting'!$B$3:$B$17,0)+1,2)</f>
        <v>0</v>
      </c>
      <c r="W65" s="37">
        <f>VLOOKUP($C65,$C$33:$Y$36,W$31,FALSE)*$C$42*$A65/8760/1000*INDEX('Bulb Weighting'!$B$2:$C$17,MATCH(RIGHT('SC-New'!$D65,LEN($D65)-7),'Bulb Weighting'!$B$3:$B$17,0)+1,2)</f>
        <v>0</v>
      </c>
      <c r="X65" s="37">
        <f>VLOOKUP($C65,$C$33:$Y$36,X$31,FALSE)*$C$42*$A65/8760/1000*INDEX('Bulb Weighting'!$B$2:$C$17,MATCH(RIGHT('SC-New'!$D65,LEN($D65)-7),'Bulb Weighting'!$B$3:$B$17,0)+1,2)</f>
        <v>0</v>
      </c>
      <c r="Y65" s="37">
        <f t="shared" si="18"/>
        <v>7.3341588204358672E-3</v>
      </c>
      <c r="AA65" s="31"/>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c r="A66" s="89">
        <f t="shared" si="15"/>
        <v>9.8723739493112301</v>
      </c>
      <c r="B66" s="71">
        <f t="shared" si="16"/>
        <v>-94.996719014918995</v>
      </c>
      <c r="C66" s="1" t="s">
        <v>32</v>
      </c>
      <c r="D66" t="s">
        <v>730</v>
      </c>
      <c r="E66" s="37">
        <f>VLOOKUP($C66,$C$33:$Y$36,E$31,FALSE)*$C$42*$A66/8760/1000*INDEX('Bulb Weighting'!$B$2:$C$17,MATCH(RIGHT('SC-New'!$D66,LEN($D66)-7),'Bulb Weighting'!$B$3:$B$17,0)+1,2)</f>
        <v>3.0800568237428238E-3</v>
      </c>
      <c r="F66" s="37">
        <f>VLOOKUP($C66,$C$33:$Y$36,F$31,FALSE)*$C$42*$A66/8760/1000*INDEX('Bulb Weighting'!$B$2:$C$17,MATCH(RIGHT('SC-New'!$D66,LEN($D66)-7),'Bulb Weighting'!$B$3:$B$17,0)+1,2)</f>
        <v>0</v>
      </c>
      <c r="G66" s="37">
        <f>VLOOKUP($C66,$C$33:$Y$36,G$31,FALSE)*$C$42*$A66/8760/1000*INDEX('Bulb Weighting'!$B$2:$C$17,MATCH(RIGHT('SC-New'!$D66,LEN($D66)-7),'Bulb Weighting'!$B$3:$B$17,0)+1,2)</f>
        <v>0</v>
      </c>
      <c r="H66" s="37">
        <f>VLOOKUP($C66,$C$33:$Y$36,H$31,FALSE)*$C$42*$A66/8760/1000*INDEX('Bulb Weighting'!$B$2:$C$17,MATCH(RIGHT('SC-New'!$D66,LEN($D66)-7),'Bulb Weighting'!$B$3:$B$17,0)+1,2)</f>
        <v>0</v>
      </c>
      <c r="I66" s="37">
        <f>VLOOKUP($C66,$C$33:$Y$36,I$31,FALSE)*$C$42*$A66/8760/1000*INDEX('Bulb Weighting'!$B$2:$C$17,MATCH(RIGHT('SC-New'!$D66,LEN($D66)-7),'Bulb Weighting'!$B$3:$B$17,0)+1,2)</f>
        <v>0</v>
      </c>
      <c r="J66" s="37">
        <f>VLOOKUP($C66,$C$33:$Y$36,J$31,FALSE)*$C$42*$A66/8760/1000*INDEX('Bulb Weighting'!$B$2:$C$17,MATCH(RIGHT('SC-New'!$D66,LEN($D66)-7),'Bulb Weighting'!$B$3:$B$17,0)+1,2)</f>
        <v>0</v>
      </c>
      <c r="K66" s="37">
        <f>VLOOKUP($C66,$C$33:$Y$36,K$31,FALSE)*$C$42*$A66/8760/1000*INDEX('Bulb Weighting'!$B$2:$C$17,MATCH(RIGHT('SC-New'!$D66,LEN($D66)-7),'Bulb Weighting'!$B$3:$B$17,0)+1,2)</f>
        <v>0</v>
      </c>
      <c r="L66" s="37">
        <f>VLOOKUP($C66,$C$33:$Y$36,L$31,FALSE)*$C$42*$A66/8760/1000*INDEX('Bulb Weighting'!$B$2:$C$17,MATCH(RIGHT('SC-New'!$D66,LEN($D66)-7),'Bulb Weighting'!$B$3:$B$17,0)+1,2)</f>
        <v>0</v>
      </c>
      <c r="M66" s="37">
        <f>VLOOKUP($C66,$C$33:$Y$36,M$31,FALSE)*$C$42*$A66/8760/1000*INDEX('Bulb Weighting'!$B$2:$C$17,MATCH(RIGHT('SC-New'!$D66,LEN($D66)-7),'Bulb Weighting'!$B$3:$B$17,0)+1,2)</f>
        <v>0</v>
      </c>
      <c r="N66" s="37">
        <f>VLOOKUP($C66,$C$33:$Y$36,N$31,FALSE)*$C$42*$A66/8760/1000*INDEX('Bulb Weighting'!$B$2:$C$17,MATCH(RIGHT('SC-New'!$D66,LEN($D66)-7),'Bulb Weighting'!$B$3:$B$17,0)+1,2)</f>
        <v>0</v>
      </c>
      <c r="O66" s="37">
        <f>VLOOKUP($C66,$C$33:$Y$36,O$31,FALSE)*$C$42*$A66/8760/1000*INDEX('Bulb Weighting'!$B$2:$C$17,MATCH(RIGHT('SC-New'!$D66,LEN($D66)-7),'Bulb Weighting'!$B$3:$B$17,0)+1,2)</f>
        <v>0</v>
      </c>
      <c r="P66" s="37">
        <f>VLOOKUP($C66,$C$33:$Y$36,P$31,FALSE)*$C$42*$A66/8760/1000*INDEX('Bulb Weighting'!$B$2:$C$17,MATCH(RIGHT('SC-New'!$D66,LEN($D66)-7),'Bulb Weighting'!$B$3:$B$17,0)+1,2)</f>
        <v>0</v>
      </c>
      <c r="Q66" s="37">
        <f>VLOOKUP($C66,$C$33:$Y$36,Q$31,FALSE)*$C$42*$A66/8760/1000*INDEX('Bulb Weighting'!$B$2:$C$17,MATCH(RIGHT('SC-New'!$D66,LEN($D66)-7),'Bulb Weighting'!$B$3:$B$17,0)+1,2)</f>
        <v>0</v>
      </c>
      <c r="R66" s="37">
        <f>VLOOKUP($C66,$C$33:$Y$36,R$31,FALSE)*$C$42*$A66/8760/1000*INDEX('Bulb Weighting'!$B$2:$C$17,MATCH(RIGHT('SC-New'!$D66,LEN($D66)-7),'Bulb Weighting'!$B$3:$B$17,0)+1,2)</f>
        <v>0</v>
      </c>
      <c r="S66" s="37">
        <f>VLOOKUP($C66,$C$33:$Y$36,S$31,FALSE)*$C$42*$A66/8760/1000*INDEX('Bulb Weighting'!$B$2:$C$17,MATCH(RIGHT('SC-New'!$D66,LEN($D66)-7),'Bulb Weighting'!$B$3:$B$17,0)+1,2)</f>
        <v>0</v>
      </c>
      <c r="T66" s="37">
        <f>VLOOKUP($C66,$C$33:$Y$36,T$31,FALSE)*$C$42*$A66/8760/1000*INDEX('Bulb Weighting'!$B$2:$C$17,MATCH(RIGHT('SC-New'!$D66,LEN($D66)-7),'Bulb Weighting'!$B$3:$B$17,0)+1,2)</f>
        <v>0</v>
      </c>
      <c r="U66" s="37">
        <f>VLOOKUP($C66,$C$33:$Y$36,U$31,FALSE)*$C$42*$A66/8760/1000*INDEX('Bulb Weighting'!$B$2:$C$17,MATCH(RIGHT('SC-New'!$D66,LEN($D66)-7),'Bulb Weighting'!$B$3:$B$17,0)+1,2)</f>
        <v>0</v>
      </c>
      <c r="V66" s="37">
        <f>VLOOKUP($C66,$C$33:$Y$36,V$31,FALSE)*$C$42*$A66/8760/1000*INDEX('Bulb Weighting'!$B$2:$C$17,MATCH(RIGHT('SC-New'!$D66,LEN($D66)-7),'Bulb Weighting'!$B$3:$B$17,0)+1,2)</f>
        <v>0</v>
      </c>
      <c r="W66" s="37">
        <f>VLOOKUP($C66,$C$33:$Y$36,W$31,FALSE)*$C$42*$A66/8760/1000*INDEX('Bulb Weighting'!$B$2:$C$17,MATCH(RIGHT('SC-New'!$D66,LEN($D66)-7),'Bulb Weighting'!$B$3:$B$17,0)+1,2)</f>
        <v>0</v>
      </c>
      <c r="X66" s="37">
        <f>VLOOKUP($C66,$C$33:$Y$36,X$31,FALSE)*$C$42*$A66/8760/1000*INDEX('Bulb Weighting'!$B$2:$C$17,MATCH(RIGHT('SC-New'!$D66,LEN($D66)-7),'Bulb Weighting'!$B$3:$B$17,0)+1,2)</f>
        <v>0</v>
      </c>
      <c r="Y66" s="37">
        <f t="shared" si="18"/>
        <v>3.0800568237428238E-3</v>
      </c>
      <c r="AA66" s="31"/>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row>
    <row r="67" spans="1:80">
      <c r="A67" s="89">
        <f t="shared" si="15"/>
        <v>10.681196090262945</v>
      </c>
      <c r="B67" s="71">
        <f t="shared" si="16"/>
        <v>-99.87829920820603</v>
      </c>
      <c r="C67" s="1" t="s">
        <v>32</v>
      </c>
      <c r="D67" t="s">
        <v>732</v>
      </c>
      <c r="E67" s="37">
        <f>VLOOKUP($C67,$C$33:$Y$36,E$31,FALSE)*$C$42*$A67/8760/1000*INDEX('Bulb Weighting'!$B$2:$C$17,MATCH(RIGHT('SC-New'!$D67,LEN($D67)-7),'Bulb Weighting'!$B$3:$B$17,0)+1,2)</f>
        <v>2.5109899605786103E-4</v>
      </c>
      <c r="F67" s="37">
        <f>VLOOKUP($C67,$C$33:$Y$36,F$31,FALSE)*$C$42*$A67/8760/1000*INDEX('Bulb Weighting'!$B$2:$C$17,MATCH(RIGHT('SC-New'!$D67,LEN($D67)-7),'Bulb Weighting'!$B$3:$B$17,0)+1,2)</f>
        <v>0</v>
      </c>
      <c r="G67" s="37">
        <f>VLOOKUP($C67,$C$33:$Y$36,G$31,FALSE)*$C$42*$A67/8760/1000*INDEX('Bulb Weighting'!$B$2:$C$17,MATCH(RIGHT('SC-New'!$D67,LEN($D67)-7),'Bulb Weighting'!$B$3:$B$17,0)+1,2)</f>
        <v>0</v>
      </c>
      <c r="H67" s="37">
        <f>VLOOKUP($C67,$C$33:$Y$36,H$31,FALSE)*$C$42*$A67/8760/1000*INDEX('Bulb Weighting'!$B$2:$C$17,MATCH(RIGHT('SC-New'!$D67,LEN($D67)-7),'Bulb Weighting'!$B$3:$B$17,0)+1,2)</f>
        <v>0</v>
      </c>
      <c r="I67" s="37">
        <f>VLOOKUP($C67,$C$33:$Y$36,I$31,FALSE)*$C$42*$A67/8760/1000*INDEX('Bulb Weighting'!$B$2:$C$17,MATCH(RIGHT('SC-New'!$D67,LEN($D67)-7),'Bulb Weighting'!$B$3:$B$17,0)+1,2)</f>
        <v>0</v>
      </c>
      <c r="J67" s="37">
        <f>VLOOKUP($C67,$C$33:$Y$36,J$31,FALSE)*$C$42*$A67/8760/1000*INDEX('Bulb Weighting'!$B$2:$C$17,MATCH(RIGHT('SC-New'!$D67,LEN($D67)-7),'Bulb Weighting'!$B$3:$B$17,0)+1,2)</f>
        <v>0</v>
      </c>
      <c r="K67" s="37">
        <f>VLOOKUP($C67,$C$33:$Y$36,K$31,FALSE)*$C$42*$A67/8760/1000*INDEX('Bulb Weighting'!$B$2:$C$17,MATCH(RIGHT('SC-New'!$D67,LEN($D67)-7),'Bulb Weighting'!$B$3:$B$17,0)+1,2)</f>
        <v>0</v>
      </c>
      <c r="L67" s="37">
        <f>VLOOKUP($C67,$C$33:$Y$36,L$31,FALSE)*$C$42*$A67/8760/1000*INDEX('Bulb Weighting'!$B$2:$C$17,MATCH(RIGHT('SC-New'!$D67,LEN($D67)-7),'Bulb Weighting'!$B$3:$B$17,0)+1,2)</f>
        <v>0</v>
      </c>
      <c r="M67" s="37">
        <f>VLOOKUP($C67,$C$33:$Y$36,M$31,FALSE)*$C$42*$A67/8760/1000*INDEX('Bulb Weighting'!$B$2:$C$17,MATCH(RIGHT('SC-New'!$D67,LEN($D67)-7),'Bulb Weighting'!$B$3:$B$17,0)+1,2)</f>
        <v>0</v>
      </c>
      <c r="N67" s="37">
        <f>VLOOKUP($C67,$C$33:$Y$36,N$31,FALSE)*$C$42*$A67/8760/1000*INDEX('Bulb Weighting'!$B$2:$C$17,MATCH(RIGHT('SC-New'!$D67,LEN($D67)-7),'Bulb Weighting'!$B$3:$B$17,0)+1,2)</f>
        <v>0</v>
      </c>
      <c r="O67" s="37">
        <f>VLOOKUP($C67,$C$33:$Y$36,O$31,FALSE)*$C$42*$A67/8760/1000*INDEX('Bulb Weighting'!$B$2:$C$17,MATCH(RIGHT('SC-New'!$D67,LEN($D67)-7),'Bulb Weighting'!$B$3:$B$17,0)+1,2)</f>
        <v>0</v>
      </c>
      <c r="P67" s="37">
        <f>VLOOKUP($C67,$C$33:$Y$36,P$31,FALSE)*$C$42*$A67/8760/1000*INDEX('Bulb Weighting'!$B$2:$C$17,MATCH(RIGHT('SC-New'!$D67,LEN($D67)-7),'Bulb Weighting'!$B$3:$B$17,0)+1,2)</f>
        <v>0</v>
      </c>
      <c r="Q67" s="37">
        <f>VLOOKUP($C67,$C$33:$Y$36,Q$31,FALSE)*$C$42*$A67/8760/1000*INDEX('Bulb Weighting'!$B$2:$C$17,MATCH(RIGHT('SC-New'!$D67,LEN($D67)-7),'Bulb Weighting'!$B$3:$B$17,0)+1,2)</f>
        <v>0</v>
      </c>
      <c r="R67" s="37">
        <f>VLOOKUP($C67,$C$33:$Y$36,R$31,FALSE)*$C$42*$A67/8760/1000*INDEX('Bulb Weighting'!$B$2:$C$17,MATCH(RIGHT('SC-New'!$D67,LEN($D67)-7),'Bulb Weighting'!$B$3:$B$17,0)+1,2)</f>
        <v>0</v>
      </c>
      <c r="S67" s="37">
        <f>VLOOKUP($C67,$C$33:$Y$36,S$31,FALSE)*$C$42*$A67/8760/1000*INDEX('Bulb Weighting'!$B$2:$C$17,MATCH(RIGHT('SC-New'!$D67,LEN($D67)-7),'Bulb Weighting'!$B$3:$B$17,0)+1,2)</f>
        <v>0</v>
      </c>
      <c r="T67" s="37">
        <f>VLOOKUP($C67,$C$33:$Y$36,T$31,FALSE)*$C$42*$A67/8760/1000*INDEX('Bulb Weighting'!$B$2:$C$17,MATCH(RIGHT('SC-New'!$D67,LEN($D67)-7),'Bulb Weighting'!$B$3:$B$17,0)+1,2)</f>
        <v>0</v>
      </c>
      <c r="U67" s="37">
        <f>VLOOKUP($C67,$C$33:$Y$36,U$31,FALSE)*$C$42*$A67/8760/1000*INDEX('Bulb Weighting'!$B$2:$C$17,MATCH(RIGHT('SC-New'!$D67,LEN($D67)-7),'Bulb Weighting'!$B$3:$B$17,0)+1,2)</f>
        <v>0</v>
      </c>
      <c r="V67" s="37">
        <f>VLOOKUP($C67,$C$33:$Y$36,V$31,FALSE)*$C$42*$A67/8760/1000*INDEX('Bulb Weighting'!$B$2:$C$17,MATCH(RIGHT('SC-New'!$D67,LEN($D67)-7),'Bulb Weighting'!$B$3:$B$17,0)+1,2)</f>
        <v>0</v>
      </c>
      <c r="W67" s="37">
        <f>VLOOKUP($C67,$C$33:$Y$36,W$31,FALSE)*$C$42*$A67/8760/1000*INDEX('Bulb Weighting'!$B$2:$C$17,MATCH(RIGHT('SC-New'!$D67,LEN($D67)-7),'Bulb Weighting'!$B$3:$B$17,0)+1,2)</f>
        <v>0</v>
      </c>
      <c r="X67" s="37">
        <f>VLOOKUP($C67,$C$33:$Y$36,X$31,FALSE)*$C$42*$A67/8760/1000*INDEX('Bulb Weighting'!$B$2:$C$17,MATCH(RIGHT('SC-New'!$D67,LEN($D67)-7),'Bulb Weighting'!$B$3:$B$17,0)+1,2)</f>
        <v>0</v>
      </c>
      <c r="Y67" s="37">
        <f t="shared" si="18"/>
        <v>2.5109899605786103E-4</v>
      </c>
      <c r="AA67" s="31"/>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c r="A68" s="89">
        <f t="shared" si="15"/>
        <v>20.374790406766845</v>
      </c>
      <c r="B68" s="71">
        <f t="shared" si="16"/>
        <v>-38.377975660533203</v>
      </c>
      <c r="C68" s="1" t="s">
        <v>32</v>
      </c>
      <c r="D68" t="s">
        <v>734</v>
      </c>
      <c r="E68" s="37">
        <f>VLOOKUP($C68,$C$33:$Y$36,E$31,FALSE)*$C$42*$A68/8760/1000*INDEX('Bulb Weighting'!$B$2:$C$17,MATCH(RIGHT('SC-New'!$D68,LEN($D68)-7),'Bulb Weighting'!$B$3:$B$17,0)+1,2)</f>
        <v>3.3158592868931499E-3</v>
      </c>
      <c r="F68" s="37">
        <f>VLOOKUP($C68,$C$33:$Y$36,F$31,FALSE)*$C$42*$A68/8760/1000*INDEX('Bulb Weighting'!$B$2:$C$17,MATCH(RIGHT('SC-New'!$D68,LEN($D68)-7),'Bulb Weighting'!$B$3:$B$17,0)+1,2)</f>
        <v>0</v>
      </c>
      <c r="G68" s="37">
        <f>VLOOKUP($C68,$C$33:$Y$36,G$31,FALSE)*$C$42*$A68/8760/1000*INDEX('Bulb Weighting'!$B$2:$C$17,MATCH(RIGHT('SC-New'!$D68,LEN($D68)-7),'Bulb Weighting'!$B$3:$B$17,0)+1,2)</f>
        <v>0</v>
      </c>
      <c r="H68" s="37">
        <f>VLOOKUP($C68,$C$33:$Y$36,H$31,FALSE)*$C$42*$A68/8760/1000*INDEX('Bulb Weighting'!$B$2:$C$17,MATCH(RIGHT('SC-New'!$D68,LEN($D68)-7),'Bulb Weighting'!$B$3:$B$17,0)+1,2)</f>
        <v>0</v>
      </c>
      <c r="I68" s="37">
        <f>VLOOKUP($C68,$C$33:$Y$36,I$31,FALSE)*$C$42*$A68/8760/1000*INDEX('Bulb Weighting'!$B$2:$C$17,MATCH(RIGHT('SC-New'!$D68,LEN($D68)-7),'Bulb Weighting'!$B$3:$B$17,0)+1,2)</f>
        <v>0</v>
      </c>
      <c r="J68" s="37">
        <f>VLOOKUP($C68,$C$33:$Y$36,J$31,FALSE)*$C$42*$A68/8760/1000*INDEX('Bulb Weighting'!$B$2:$C$17,MATCH(RIGHT('SC-New'!$D68,LEN($D68)-7),'Bulb Weighting'!$B$3:$B$17,0)+1,2)</f>
        <v>0</v>
      </c>
      <c r="K68" s="37">
        <f>VLOOKUP($C68,$C$33:$Y$36,K$31,FALSE)*$C$42*$A68/8760/1000*INDEX('Bulb Weighting'!$B$2:$C$17,MATCH(RIGHT('SC-New'!$D68,LEN($D68)-7),'Bulb Weighting'!$B$3:$B$17,0)+1,2)</f>
        <v>0</v>
      </c>
      <c r="L68" s="37">
        <f>VLOOKUP($C68,$C$33:$Y$36,L$31,FALSE)*$C$42*$A68/8760/1000*INDEX('Bulb Weighting'!$B$2:$C$17,MATCH(RIGHT('SC-New'!$D68,LEN($D68)-7),'Bulb Weighting'!$B$3:$B$17,0)+1,2)</f>
        <v>0</v>
      </c>
      <c r="M68" s="37">
        <f>VLOOKUP($C68,$C$33:$Y$36,M$31,FALSE)*$C$42*$A68/8760/1000*INDEX('Bulb Weighting'!$B$2:$C$17,MATCH(RIGHT('SC-New'!$D68,LEN($D68)-7),'Bulb Weighting'!$B$3:$B$17,0)+1,2)</f>
        <v>0</v>
      </c>
      <c r="N68" s="37">
        <f>VLOOKUP($C68,$C$33:$Y$36,N$31,FALSE)*$C$42*$A68/8760/1000*INDEX('Bulb Weighting'!$B$2:$C$17,MATCH(RIGHT('SC-New'!$D68,LEN($D68)-7),'Bulb Weighting'!$B$3:$B$17,0)+1,2)</f>
        <v>0</v>
      </c>
      <c r="O68" s="37">
        <f>VLOOKUP($C68,$C$33:$Y$36,O$31,FALSE)*$C$42*$A68/8760/1000*INDEX('Bulb Weighting'!$B$2:$C$17,MATCH(RIGHT('SC-New'!$D68,LEN($D68)-7),'Bulb Weighting'!$B$3:$B$17,0)+1,2)</f>
        <v>0</v>
      </c>
      <c r="P68" s="37">
        <f>VLOOKUP($C68,$C$33:$Y$36,P$31,FALSE)*$C$42*$A68/8760/1000*INDEX('Bulb Weighting'!$B$2:$C$17,MATCH(RIGHT('SC-New'!$D68,LEN($D68)-7),'Bulb Weighting'!$B$3:$B$17,0)+1,2)</f>
        <v>0</v>
      </c>
      <c r="Q68" s="37">
        <f>VLOOKUP($C68,$C$33:$Y$36,Q$31,FALSE)*$C$42*$A68/8760/1000*INDEX('Bulb Weighting'!$B$2:$C$17,MATCH(RIGHT('SC-New'!$D68,LEN($D68)-7),'Bulb Weighting'!$B$3:$B$17,0)+1,2)</f>
        <v>0</v>
      </c>
      <c r="R68" s="37">
        <f>VLOOKUP($C68,$C$33:$Y$36,R$31,FALSE)*$C$42*$A68/8760/1000*INDEX('Bulb Weighting'!$B$2:$C$17,MATCH(RIGHT('SC-New'!$D68,LEN($D68)-7),'Bulb Weighting'!$B$3:$B$17,0)+1,2)</f>
        <v>0</v>
      </c>
      <c r="S68" s="37">
        <f>VLOOKUP($C68,$C$33:$Y$36,S$31,FALSE)*$C$42*$A68/8760/1000*INDEX('Bulb Weighting'!$B$2:$C$17,MATCH(RIGHT('SC-New'!$D68,LEN($D68)-7),'Bulb Weighting'!$B$3:$B$17,0)+1,2)</f>
        <v>0</v>
      </c>
      <c r="T68" s="37">
        <f>VLOOKUP($C68,$C$33:$Y$36,T$31,FALSE)*$C$42*$A68/8760/1000*INDEX('Bulb Weighting'!$B$2:$C$17,MATCH(RIGHT('SC-New'!$D68,LEN($D68)-7),'Bulb Weighting'!$B$3:$B$17,0)+1,2)</f>
        <v>0</v>
      </c>
      <c r="U68" s="37">
        <f>VLOOKUP($C68,$C$33:$Y$36,U$31,FALSE)*$C$42*$A68/8760/1000*INDEX('Bulb Weighting'!$B$2:$C$17,MATCH(RIGHT('SC-New'!$D68,LEN($D68)-7),'Bulb Weighting'!$B$3:$B$17,0)+1,2)</f>
        <v>0</v>
      </c>
      <c r="V68" s="37">
        <f>VLOOKUP($C68,$C$33:$Y$36,V$31,FALSE)*$C$42*$A68/8760/1000*INDEX('Bulb Weighting'!$B$2:$C$17,MATCH(RIGHT('SC-New'!$D68,LEN($D68)-7),'Bulb Weighting'!$B$3:$B$17,0)+1,2)</f>
        <v>0</v>
      </c>
      <c r="W68" s="37">
        <f>VLOOKUP($C68,$C$33:$Y$36,W$31,FALSE)*$C$42*$A68/8760/1000*INDEX('Bulb Weighting'!$B$2:$C$17,MATCH(RIGHT('SC-New'!$D68,LEN($D68)-7),'Bulb Weighting'!$B$3:$B$17,0)+1,2)</f>
        <v>0</v>
      </c>
      <c r="X68" s="37">
        <f>VLOOKUP($C68,$C$33:$Y$36,X$31,FALSE)*$C$42*$A68/8760/1000*INDEX('Bulb Weighting'!$B$2:$C$17,MATCH(RIGHT('SC-New'!$D68,LEN($D68)-7),'Bulb Weighting'!$B$3:$B$17,0)+1,2)</f>
        <v>0</v>
      </c>
      <c r="Y68" s="37">
        <f t="shared" si="18"/>
        <v>3.3158592868931499E-3</v>
      </c>
      <c r="AA68" s="31"/>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c r="A69" s="89">
        <f t="shared" si="15"/>
        <v>15.536210538971808</v>
      </c>
      <c r="B69" s="71">
        <f t="shared" si="16"/>
        <v>-47.72588478334999</v>
      </c>
      <c r="C69" s="1" t="s">
        <v>32</v>
      </c>
      <c r="D69" t="s">
        <v>736</v>
      </c>
      <c r="E69" s="37">
        <f>VLOOKUP($C69,$C$33:$Y$36,E$31,FALSE)*$C$42*$A69/8760/1000*INDEX('Bulb Weighting'!$B$2:$C$17,MATCH(RIGHT('SC-New'!$D69,LEN($D69)-7),'Bulb Weighting'!$B$3:$B$17,0)+1,2)</f>
        <v>2.5548854714706134E-2</v>
      </c>
      <c r="F69" s="37">
        <f>VLOOKUP($C69,$C$33:$Y$36,F$31,FALSE)*$C$42*$A69/8760/1000*INDEX('Bulb Weighting'!$B$2:$C$17,MATCH(RIGHT('SC-New'!$D69,LEN($D69)-7),'Bulb Weighting'!$B$3:$B$17,0)+1,2)</f>
        <v>0</v>
      </c>
      <c r="G69" s="37">
        <f>VLOOKUP($C69,$C$33:$Y$36,G$31,FALSE)*$C$42*$A69/8760/1000*INDEX('Bulb Weighting'!$B$2:$C$17,MATCH(RIGHT('SC-New'!$D69,LEN($D69)-7),'Bulb Weighting'!$B$3:$B$17,0)+1,2)</f>
        <v>0</v>
      </c>
      <c r="H69" s="37">
        <f>VLOOKUP($C69,$C$33:$Y$36,H$31,FALSE)*$C$42*$A69/8760/1000*INDEX('Bulb Weighting'!$B$2:$C$17,MATCH(RIGHT('SC-New'!$D69,LEN($D69)-7),'Bulb Weighting'!$B$3:$B$17,0)+1,2)</f>
        <v>0</v>
      </c>
      <c r="I69" s="37">
        <f>VLOOKUP($C69,$C$33:$Y$36,I$31,FALSE)*$C$42*$A69/8760/1000*INDEX('Bulb Weighting'!$B$2:$C$17,MATCH(RIGHT('SC-New'!$D69,LEN($D69)-7),'Bulb Weighting'!$B$3:$B$17,0)+1,2)</f>
        <v>0</v>
      </c>
      <c r="J69" s="37">
        <f>VLOOKUP($C69,$C$33:$Y$36,J$31,FALSE)*$C$42*$A69/8760/1000*INDEX('Bulb Weighting'!$B$2:$C$17,MATCH(RIGHT('SC-New'!$D69,LEN($D69)-7),'Bulb Weighting'!$B$3:$B$17,0)+1,2)</f>
        <v>0</v>
      </c>
      <c r="K69" s="37">
        <f>VLOOKUP($C69,$C$33:$Y$36,K$31,FALSE)*$C$42*$A69/8760/1000*INDEX('Bulb Weighting'!$B$2:$C$17,MATCH(RIGHT('SC-New'!$D69,LEN($D69)-7),'Bulb Weighting'!$B$3:$B$17,0)+1,2)</f>
        <v>0</v>
      </c>
      <c r="L69" s="37">
        <f>VLOOKUP($C69,$C$33:$Y$36,L$31,FALSE)*$C$42*$A69/8760/1000*INDEX('Bulb Weighting'!$B$2:$C$17,MATCH(RIGHT('SC-New'!$D69,LEN($D69)-7),'Bulb Weighting'!$B$3:$B$17,0)+1,2)</f>
        <v>0</v>
      </c>
      <c r="M69" s="37">
        <f>VLOOKUP($C69,$C$33:$Y$36,M$31,FALSE)*$C$42*$A69/8760/1000*INDEX('Bulb Weighting'!$B$2:$C$17,MATCH(RIGHT('SC-New'!$D69,LEN($D69)-7),'Bulb Weighting'!$B$3:$B$17,0)+1,2)</f>
        <v>0</v>
      </c>
      <c r="N69" s="37">
        <f>VLOOKUP($C69,$C$33:$Y$36,N$31,FALSE)*$C$42*$A69/8760/1000*INDEX('Bulb Weighting'!$B$2:$C$17,MATCH(RIGHT('SC-New'!$D69,LEN($D69)-7),'Bulb Weighting'!$B$3:$B$17,0)+1,2)</f>
        <v>0</v>
      </c>
      <c r="O69" s="37">
        <f>VLOOKUP($C69,$C$33:$Y$36,O$31,FALSE)*$C$42*$A69/8760/1000*INDEX('Bulb Weighting'!$B$2:$C$17,MATCH(RIGHT('SC-New'!$D69,LEN($D69)-7),'Bulb Weighting'!$B$3:$B$17,0)+1,2)</f>
        <v>0</v>
      </c>
      <c r="P69" s="37">
        <f>VLOOKUP($C69,$C$33:$Y$36,P$31,FALSE)*$C$42*$A69/8760/1000*INDEX('Bulb Weighting'!$B$2:$C$17,MATCH(RIGHT('SC-New'!$D69,LEN($D69)-7),'Bulb Weighting'!$B$3:$B$17,0)+1,2)</f>
        <v>0</v>
      </c>
      <c r="Q69" s="37">
        <f>VLOOKUP($C69,$C$33:$Y$36,Q$31,FALSE)*$C$42*$A69/8760/1000*INDEX('Bulb Weighting'!$B$2:$C$17,MATCH(RIGHT('SC-New'!$D69,LEN($D69)-7),'Bulb Weighting'!$B$3:$B$17,0)+1,2)</f>
        <v>0</v>
      </c>
      <c r="R69" s="37">
        <f>VLOOKUP($C69,$C$33:$Y$36,R$31,FALSE)*$C$42*$A69/8760/1000*INDEX('Bulb Weighting'!$B$2:$C$17,MATCH(RIGHT('SC-New'!$D69,LEN($D69)-7),'Bulb Weighting'!$B$3:$B$17,0)+1,2)</f>
        <v>0</v>
      </c>
      <c r="S69" s="37">
        <f>VLOOKUP($C69,$C$33:$Y$36,S$31,FALSE)*$C$42*$A69/8760/1000*INDEX('Bulb Weighting'!$B$2:$C$17,MATCH(RIGHT('SC-New'!$D69,LEN($D69)-7),'Bulb Weighting'!$B$3:$B$17,0)+1,2)</f>
        <v>0</v>
      </c>
      <c r="T69" s="37">
        <f>VLOOKUP($C69,$C$33:$Y$36,T$31,FALSE)*$C$42*$A69/8760/1000*INDEX('Bulb Weighting'!$B$2:$C$17,MATCH(RIGHT('SC-New'!$D69,LEN($D69)-7),'Bulb Weighting'!$B$3:$B$17,0)+1,2)</f>
        <v>0</v>
      </c>
      <c r="U69" s="37">
        <f>VLOOKUP($C69,$C$33:$Y$36,U$31,FALSE)*$C$42*$A69/8760/1000*INDEX('Bulb Weighting'!$B$2:$C$17,MATCH(RIGHT('SC-New'!$D69,LEN($D69)-7),'Bulb Weighting'!$B$3:$B$17,0)+1,2)</f>
        <v>0</v>
      </c>
      <c r="V69" s="37">
        <f>VLOOKUP($C69,$C$33:$Y$36,V$31,FALSE)*$C$42*$A69/8760/1000*INDEX('Bulb Weighting'!$B$2:$C$17,MATCH(RIGHT('SC-New'!$D69,LEN($D69)-7),'Bulb Weighting'!$B$3:$B$17,0)+1,2)</f>
        <v>0</v>
      </c>
      <c r="W69" s="37">
        <f>VLOOKUP($C69,$C$33:$Y$36,W$31,FALSE)*$C$42*$A69/8760/1000*INDEX('Bulb Weighting'!$B$2:$C$17,MATCH(RIGHT('SC-New'!$D69,LEN($D69)-7),'Bulb Weighting'!$B$3:$B$17,0)+1,2)</f>
        <v>0</v>
      </c>
      <c r="X69" s="37">
        <f>VLOOKUP($C69,$C$33:$Y$36,X$31,FALSE)*$C$42*$A69/8760/1000*INDEX('Bulb Weighting'!$B$2:$C$17,MATCH(RIGHT('SC-New'!$D69,LEN($D69)-7),'Bulb Weighting'!$B$3:$B$17,0)+1,2)</f>
        <v>0</v>
      </c>
      <c r="Y69" s="37">
        <f t="shared" si="18"/>
        <v>2.5548854714706134E-2</v>
      </c>
      <c r="AA69" s="31"/>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c r="A70" s="89">
        <f t="shared" si="15"/>
        <v>83.173238448682625</v>
      </c>
      <c r="B70" s="71">
        <f t="shared" si="16"/>
        <v>-27.334459272113147</v>
      </c>
      <c r="C70" s="1" t="s">
        <v>32</v>
      </c>
      <c r="D70" t="s">
        <v>738</v>
      </c>
      <c r="E70" s="37">
        <f>VLOOKUP($C70,$C$33:$Y$36,E$31,FALSE)*$C$42*$A70/8760/1000*INDEX('Bulb Weighting'!$B$2:$C$17,MATCH(RIGHT('SC-New'!$D70,LEN($D70)-7),'Bulb Weighting'!$B$3:$B$17,0)+1,2)</f>
        <v>1.1239886866338741E-2</v>
      </c>
      <c r="F70" s="37">
        <f>VLOOKUP($C70,$C$33:$Y$36,F$31,FALSE)*$C$42*$A70/8760/1000*INDEX('Bulb Weighting'!$B$2:$C$17,MATCH(RIGHT('SC-New'!$D70,LEN($D70)-7),'Bulb Weighting'!$B$3:$B$17,0)+1,2)</f>
        <v>0</v>
      </c>
      <c r="G70" s="37">
        <f>VLOOKUP($C70,$C$33:$Y$36,G$31,FALSE)*$C$42*$A70/8760/1000*INDEX('Bulb Weighting'!$B$2:$C$17,MATCH(RIGHT('SC-New'!$D70,LEN($D70)-7),'Bulb Weighting'!$B$3:$B$17,0)+1,2)</f>
        <v>0</v>
      </c>
      <c r="H70" s="37">
        <f>VLOOKUP($C70,$C$33:$Y$36,H$31,FALSE)*$C$42*$A70/8760/1000*INDEX('Bulb Weighting'!$B$2:$C$17,MATCH(RIGHT('SC-New'!$D70,LEN($D70)-7),'Bulb Weighting'!$B$3:$B$17,0)+1,2)</f>
        <v>0</v>
      </c>
      <c r="I70" s="37">
        <f>VLOOKUP($C70,$C$33:$Y$36,I$31,FALSE)*$C$42*$A70/8760/1000*INDEX('Bulb Weighting'!$B$2:$C$17,MATCH(RIGHT('SC-New'!$D70,LEN($D70)-7),'Bulb Weighting'!$B$3:$B$17,0)+1,2)</f>
        <v>0</v>
      </c>
      <c r="J70" s="37">
        <f>VLOOKUP($C70,$C$33:$Y$36,J$31,FALSE)*$C$42*$A70/8760/1000*INDEX('Bulb Weighting'!$B$2:$C$17,MATCH(RIGHT('SC-New'!$D70,LEN($D70)-7),'Bulb Weighting'!$B$3:$B$17,0)+1,2)</f>
        <v>0</v>
      </c>
      <c r="K70" s="37">
        <f>VLOOKUP($C70,$C$33:$Y$36,K$31,FALSE)*$C$42*$A70/8760/1000*INDEX('Bulb Weighting'!$B$2:$C$17,MATCH(RIGHT('SC-New'!$D70,LEN($D70)-7),'Bulb Weighting'!$B$3:$B$17,0)+1,2)</f>
        <v>0</v>
      </c>
      <c r="L70" s="37">
        <f>VLOOKUP($C70,$C$33:$Y$36,L$31,FALSE)*$C$42*$A70/8760/1000*INDEX('Bulb Weighting'!$B$2:$C$17,MATCH(RIGHT('SC-New'!$D70,LEN($D70)-7),'Bulb Weighting'!$B$3:$B$17,0)+1,2)</f>
        <v>0</v>
      </c>
      <c r="M70" s="37">
        <f>VLOOKUP($C70,$C$33:$Y$36,M$31,FALSE)*$C$42*$A70/8760/1000*INDEX('Bulb Weighting'!$B$2:$C$17,MATCH(RIGHT('SC-New'!$D70,LEN($D70)-7),'Bulb Weighting'!$B$3:$B$17,0)+1,2)</f>
        <v>0</v>
      </c>
      <c r="N70" s="37">
        <f>VLOOKUP($C70,$C$33:$Y$36,N$31,FALSE)*$C$42*$A70/8760/1000*INDEX('Bulb Weighting'!$B$2:$C$17,MATCH(RIGHT('SC-New'!$D70,LEN($D70)-7),'Bulb Weighting'!$B$3:$B$17,0)+1,2)</f>
        <v>0</v>
      </c>
      <c r="O70" s="37">
        <f>VLOOKUP($C70,$C$33:$Y$36,O$31,FALSE)*$C$42*$A70/8760/1000*INDEX('Bulb Weighting'!$B$2:$C$17,MATCH(RIGHT('SC-New'!$D70,LEN($D70)-7),'Bulb Weighting'!$B$3:$B$17,0)+1,2)</f>
        <v>0</v>
      </c>
      <c r="P70" s="37">
        <f>VLOOKUP($C70,$C$33:$Y$36,P$31,FALSE)*$C$42*$A70/8760/1000*INDEX('Bulb Weighting'!$B$2:$C$17,MATCH(RIGHT('SC-New'!$D70,LEN($D70)-7),'Bulb Weighting'!$B$3:$B$17,0)+1,2)</f>
        <v>0</v>
      </c>
      <c r="Q70" s="37">
        <f>VLOOKUP($C70,$C$33:$Y$36,Q$31,FALSE)*$C$42*$A70/8760/1000*INDEX('Bulb Weighting'!$B$2:$C$17,MATCH(RIGHT('SC-New'!$D70,LEN($D70)-7),'Bulb Weighting'!$B$3:$B$17,0)+1,2)</f>
        <v>0</v>
      </c>
      <c r="R70" s="37">
        <f>VLOOKUP($C70,$C$33:$Y$36,R$31,FALSE)*$C$42*$A70/8760/1000*INDEX('Bulb Weighting'!$B$2:$C$17,MATCH(RIGHT('SC-New'!$D70,LEN($D70)-7),'Bulb Weighting'!$B$3:$B$17,0)+1,2)</f>
        <v>0</v>
      </c>
      <c r="S70" s="37">
        <f>VLOOKUP($C70,$C$33:$Y$36,S$31,FALSE)*$C$42*$A70/8760/1000*INDEX('Bulb Weighting'!$B$2:$C$17,MATCH(RIGHT('SC-New'!$D70,LEN($D70)-7),'Bulb Weighting'!$B$3:$B$17,0)+1,2)</f>
        <v>0</v>
      </c>
      <c r="T70" s="37">
        <f>VLOOKUP($C70,$C$33:$Y$36,T$31,FALSE)*$C$42*$A70/8760/1000*INDEX('Bulb Weighting'!$B$2:$C$17,MATCH(RIGHT('SC-New'!$D70,LEN($D70)-7),'Bulb Weighting'!$B$3:$B$17,0)+1,2)</f>
        <v>0</v>
      </c>
      <c r="U70" s="37">
        <f>VLOOKUP($C70,$C$33:$Y$36,U$31,FALSE)*$C$42*$A70/8760/1000*INDEX('Bulb Weighting'!$B$2:$C$17,MATCH(RIGHT('SC-New'!$D70,LEN($D70)-7),'Bulb Weighting'!$B$3:$B$17,0)+1,2)</f>
        <v>0</v>
      </c>
      <c r="V70" s="37">
        <f>VLOOKUP($C70,$C$33:$Y$36,V$31,FALSE)*$C$42*$A70/8760/1000*INDEX('Bulb Weighting'!$B$2:$C$17,MATCH(RIGHT('SC-New'!$D70,LEN($D70)-7),'Bulb Weighting'!$B$3:$B$17,0)+1,2)</f>
        <v>0</v>
      </c>
      <c r="W70" s="37">
        <f>VLOOKUP($C70,$C$33:$Y$36,W$31,FALSE)*$C$42*$A70/8760/1000*INDEX('Bulb Weighting'!$B$2:$C$17,MATCH(RIGHT('SC-New'!$D70,LEN($D70)-7),'Bulb Weighting'!$B$3:$B$17,0)+1,2)</f>
        <v>0</v>
      </c>
      <c r="X70" s="37">
        <f>VLOOKUP($C70,$C$33:$Y$36,X$31,FALSE)*$C$42*$A70/8760/1000*INDEX('Bulb Weighting'!$B$2:$C$17,MATCH(RIGHT('SC-New'!$D70,LEN($D70)-7),'Bulb Weighting'!$B$3:$B$17,0)+1,2)</f>
        <v>0</v>
      </c>
      <c r="Y70" s="37">
        <f t="shared" si="18"/>
        <v>1.1239886866338741E-2</v>
      </c>
      <c r="AA70" s="31"/>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c r="A71" s="89">
        <f t="shared" si="15"/>
        <v>48.421429568529426</v>
      </c>
      <c r="B71" s="71">
        <f t="shared" si="16"/>
        <v>-0.28395098554769854</v>
      </c>
      <c r="C71" s="1" t="s">
        <v>32</v>
      </c>
      <c r="D71" t="s">
        <v>740</v>
      </c>
      <c r="E71" s="37">
        <f>VLOOKUP($C71,$C$33:$Y$36,E$31,FALSE)*$C$42*$A71/8760/1000*INDEX('Bulb Weighting'!$B$2:$C$17,MATCH(RIGHT('SC-New'!$D71,LEN($D71)-7),'Bulb Weighting'!$B$3:$B$17,0)+1,2)</f>
        <v>1.0267776914776372E-4</v>
      </c>
      <c r="F71" s="37">
        <f>VLOOKUP($C71,$C$33:$Y$36,F$31,FALSE)*$C$42*$A71/8760/1000*INDEX('Bulb Weighting'!$B$2:$C$17,MATCH(RIGHT('SC-New'!$D71,LEN($D71)-7),'Bulb Weighting'!$B$3:$B$17,0)+1,2)</f>
        <v>0</v>
      </c>
      <c r="G71" s="37">
        <f>VLOOKUP($C71,$C$33:$Y$36,G$31,FALSE)*$C$42*$A71/8760/1000*INDEX('Bulb Weighting'!$B$2:$C$17,MATCH(RIGHT('SC-New'!$D71,LEN($D71)-7),'Bulb Weighting'!$B$3:$B$17,0)+1,2)</f>
        <v>0</v>
      </c>
      <c r="H71" s="37">
        <f>VLOOKUP($C71,$C$33:$Y$36,H$31,FALSE)*$C$42*$A71/8760/1000*INDEX('Bulb Weighting'!$B$2:$C$17,MATCH(RIGHT('SC-New'!$D71,LEN($D71)-7),'Bulb Weighting'!$B$3:$B$17,0)+1,2)</f>
        <v>0</v>
      </c>
      <c r="I71" s="37">
        <f>VLOOKUP($C71,$C$33:$Y$36,I$31,FALSE)*$C$42*$A71/8760/1000*INDEX('Bulb Weighting'!$B$2:$C$17,MATCH(RIGHT('SC-New'!$D71,LEN($D71)-7),'Bulb Weighting'!$B$3:$B$17,0)+1,2)</f>
        <v>0</v>
      </c>
      <c r="J71" s="37">
        <f>VLOOKUP($C71,$C$33:$Y$36,J$31,FALSE)*$C$42*$A71/8760/1000*INDEX('Bulb Weighting'!$B$2:$C$17,MATCH(RIGHT('SC-New'!$D71,LEN($D71)-7),'Bulb Weighting'!$B$3:$B$17,0)+1,2)</f>
        <v>0</v>
      </c>
      <c r="K71" s="37">
        <f>VLOOKUP($C71,$C$33:$Y$36,K$31,FALSE)*$C$42*$A71/8760/1000*INDEX('Bulb Weighting'!$B$2:$C$17,MATCH(RIGHT('SC-New'!$D71,LEN($D71)-7),'Bulb Weighting'!$B$3:$B$17,0)+1,2)</f>
        <v>0</v>
      </c>
      <c r="L71" s="37">
        <f>VLOOKUP($C71,$C$33:$Y$36,L$31,FALSE)*$C$42*$A71/8760/1000*INDEX('Bulb Weighting'!$B$2:$C$17,MATCH(RIGHT('SC-New'!$D71,LEN($D71)-7),'Bulb Weighting'!$B$3:$B$17,0)+1,2)</f>
        <v>0</v>
      </c>
      <c r="M71" s="37">
        <f>VLOOKUP($C71,$C$33:$Y$36,M$31,FALSE)*$C$42*$A71/8760/1000*INDEX('Bulb Weighting'!$B$2:$C$17,MATCH(RIGHT('SC-New'!$D71,LEN($D71)-7),'Bulb Weighting'!$B$3:$B$17,0)+1,2)</f>
        <v>0</v>
      </c>
      <c r="N71" s="37">
        <f>VLOOKUP($C71,$C$33:$Y$36,N$31,FALSE)*$C$42*$A71/8760/1000*INDEX('Bulb Weighting'!$B$2:$C$17,MATCH(RIGHT('SC-New'!$D71,LEN($D71)-7),'Bulb Weighting'!$B$3:$B$17,0)+1,2)</f>
        <v>0</v>
      </c>
      <c r="O71" s="37">
        <f>VLOOKUP($C71,$C$33:$Y$36,O$31,FALSE)*$C$42*$A71/8760/1000*INDEX('Bulb Weighting'!$B$2:$C$17,MATCH(RIGHT('SC-New'!$D71,LEN($D71)-7),'Bulb Weighting'!$B$3:$B$17,0)+1,2)</f>
        <v>0</v>
      </c>
      <c r="P71" s="37">
        <f>VLOOKUP($C71,$C$33:$Y$36,P$31,FALSE)*$C$42*$A71/8760/1000*INDEX('Bulb Weighting'!$B$2:$C$17,MATCH(RIGHT('SC-New'!$D71,LEN($D71)-7),'Bulb Weighting'!$B$3:$B$17,0)+1,2)</f>
        <v>0</v>
      </c>
      <c r="Q71" s="37">
        <f>VLOOKUP($C71,$C$33:$Y$36,Q$31,FALSE)*$C$42*$A71/8760/1000*INDEX('Bulb Weighting'!$B$2:$C$17,MATCH(RIGHT('SC-New'!$D71,LEN($D71)-7),'Bulb Weighting'!$B$3:$B$17,0)+1,2)</f>
        <v>0</v>
      </c>
      <c r="R71" s="37">
        <f>VLOOKUP($C71,$C$33:$Y$36,R$31,FALSE)*$C$42*$A71/8760/1000*INDEX('Bulb Weighting'!$B$2:$C$17,MATCH(RIGHT('SC-New'!$D71,LEN($D71)-7),'Bulb Weighting'!$B$3:$B$17,0)+1,2)</f>
        <v>0</v>
      </c>
      <c r="S71" s="37">
        <f>VLOOKUP($C71,$C$33:$Y$36,S$31,FALSE)*$C$42*$A71/8760/1000*INDEX('Bulb Weighting'!$B$2:$C$17,MATCH(RIGHT('SC-New'!$D71,LEN($D71)-7),'Bulb Weighting'!$B$3:$B$17,0)+1,2)</f>
        <v>0</v>
      </c>
      <c r="T71" s="37">
        <f>VLOOKUP($C71,$C$33:$Y$36,T$31,FALSE)*$C$42*$A71/8760/1000*INDEX('Bulb Weighting'!$B$2:$C$17,MATCH(RIGHT('SC-New'!$D71,LEN($D71)-7),'Bulb Weighting'!$B$3:$B$17,0)+1,2)</f>
        <v>0</v>
      </c>
      <c r="U71" s="37">
        <f>VLOOKUP($C71,$C$33:$Y$36,U$31,FALSE)*$C$42*$A71/8760/1000*INDEX('Bulb Weighting'!$B$2:$C$17,MATCH(RIGHT('SC-New'!$D71,LEN($D71)-7),'Bulb Weighting'!$B$3:$B$17,0)+1,2)</f>
        <v>0</v>
      </c>
      <c r="V71" s="37">
        <f>VLOOKUP($C71,$C$33:$Y$36,V$31,FALSE)*$C$42*$A71/8760/1000*INDEX('Bulb Weighting'!$B$2:$C$17,MATCH(RIGHT('SC-New'!$D71,LEN($D71)-7),'Bulb Weighting'!$B$3:$B$17,0)+1,2)</f>
        <v>0</v>
      </c>
      <c r="W71" s="37">
        <f>VLOOKUP($C71,$C$33:$Y$36,W$31,FALSE)*$C$42*$A71/8760/1000*INDEX('Bulb Weighting'!$B$2:$C$17,MATCH(RIGHT('SC-New'!$D71,LEN($D71)-7),'Bulb Weighting'!$B$3:$B$17,0)+1,2)</f>
        <v>0</v>
      </c>
      <c r="X71" s="37">
        <f>VLOOKUP($C71,$C$33:$Y$36,X$31,FALSE)*$C$42*$A71/8760/1000*INDEX('Bulb Weighting'!$B$2:$C$17,MATCH(RIGHT('SC-New'!$D71,LEN($D71)-7),'Bulb Weighting'!$B$3:$B$17,0)+1,2)</f>
        <v>0</v>
      </c>
      <c r="Y71" s="37">
        <f t="shared" si="18"/>
        <v>1.0267776914776372E-4</v>
      </c>
      <c r="AA71" s="3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c r="A72" s="89">
        <f t="shared" si="15"/>
        <v>52.157694278074032</v>
      </c>
      <c r="B72" s="71">
        <f t="shared" si="16"/>
        <v>-8.9398321624848585</v>
      </c>
      <c r="C72" s="1" t="s">
        <v>32</v>
      </c>
      <c r="D72" t="s">
        <v>742</v>
      </c>
      <c r="E72" s="37">
        <f>VLOOKUP($C72,$C$33:$Y$36,E$31,FALSE)*$C$42*$A72/8760/1000*INDEX('Bulb Weighting'!$B$2:$C$17,MATCH(RIGHT('SC-New'!$D72,LEN($D72)-7),'Bulb Weighting'!$B$3:$B$17,0)+1,2)</f>
        <v>1.3651888590913478E-3</v>
      </c>
      <c r="F72" s="37">
        <f>VLOOKUP($C72,$C$33:$Y$36,F$31,FALSE)*$C$42*$A72/8760/1000*INDEX('Bulb Weighting'!$B$2:$C$17,MATCH(RIGHT('SC-New'!$D72,LEN($D72)-7),'Bulb Weighting'!$B$3:$B$17,0)+1,2)</f>
        <v>0</v>
      </c>
      <c r="G72" s="37">
        <f>VLOOKUP($C72,$C$33:$Y$36,G$31,FALSE)*$C$42*$A72/8760/1000*INDEX('Bulb Weighting'!$B$2:$C$17,MATCH(RIGHT('SC-New'!$D72,LEN($D72)-7),'Bulb Weighting'!$B$3:$B$17,0)+1,2)</f>
        <v>0</v>
      </c>
      <c r="H72" s="37">
        <f>VLOOKUP($C72,$C$33:$Y$36,H$31,FALSE)*$C$42*$A72/8760/1000*INDEX('Bulb Weighting'!$B$2:$C$17,MATCH(RIGHT('SC-New'!$D72,LEN($D72)-7),'Bulb Weighting'!$B$3:$B$17,0)+1,2)</f>
        <v>0</v>
      </c>
      <c r="I72" s="37">
        <f>VLOOKUP($C72,$C$33:$Y$36,I$31,FALSE)*$C$42*$A72/8760/1000*INDEX('Bulb Weighting'!$B$2:$C$17,MATCH(RIGHT('SC-New'!$D72,LEN($D72)-7),'Bulb Weighting'!$B$3:$B$17,0)+1,2)</f>
        <v>0</v>
      </c>
      <c r="J72" s="37">
        <f>VLOOKUP($C72,$C$33:$Y$36,J$31,FALSE)*$C$42*$A72/8760/1000*INDEX('Bulb Weighting'!$B$2:$C$17,MATCH(RIGHT('SC-New'!$D72,LEN($D72)-7),'Bulb Weighting'!$B$3:$B$17,0)+1,2)</f>
        <v>0</v>
      </c>
      <c r="K72" s="37">
        <f>VLOOKUP($C72,$C$33:$Y$36,K$31,FALSE)*$C$42*$A72/8760/1000*INDEX('Bulb Weighting'!$B$2:$C$17,MATCH(RIGHT('SC-New'!$D72,LEN($D72)-7),'Bulb Weighting'!$B$3:$B$17,0)+1,2)</f>
        <v>0</v>
      </c>
      <c r="L72" s="37">
        <f>VLOOKUP($C72,$C$33:$Y$36,L$31,FALSE)*$C$42*$A72/8760/1000*INDEX('Bulb Weighting'!$B$2:$C$17,MATCH(RIGHT('SC-New'!$D72,LEN($D72)-7),'Bulb Weighting'!$B$3:$B$17,0)+1,2)</f>
        <v>0</v>
      </c>
      <c r="M72" s="37">
        <f>VLOOKUP($C72,$C$33:$Y$36,M$31,FALSE)*$C$42*$A72/8760/1000*INDEX('Bulb Weighting'!$B$2:$C$17,MATCH(RIGHT('SC-New'!$D72,LEN($D72)-7),'Bulb Weighting'!$B$3:$B$17,0)+1,2)</f>
        <v>0</v>
      </c>
      <c r="N72" s="37">
        <f>VLOOKUP($C72,$C$33:$Y$36,N$31,FALSE)*$C$42*$A72/8760/1000*INDEX('Bulb Weighting'!$B$2:$C$17,MATCH(RIGHT('SC-New'!$D72,LEN($D72)-7),'Bulb Weighting'!$B$3:$B$17,0)+1,2)</f>
        <v>0</v>
      </c>
      <c r="O72" s="37">
        <f>VLOOKUP($C72,$C$33:$Y$36,O$31,FALSE)*$C$42*$A72/8760/1000*INDEX('Bulb Weighting'!$B$2:$C$17,MATCH(RIGHT('SC-New'!$D72,LEN($D72)-7),'Bulb Weighting'!$B$3:$B$17,0)+1,2)</f>
        <v>0</v>
      </c>
      <c r="P72" s="37">
        <f>VLOOKUP($C72,$C$33:$Y$36,P$31,FALSE)*$C$42*$A72/8760/1000*INDEX('Bulb Weighting'!$B$2:$C$17,MATCH(RIGHT('SC-New'!$D72,LEN($D72)-7),'Bulb Weighting'!$B$3:$B$17,0)+1,2)</f>
        <v>0</v>
      </c>
      <c r="Q72" s="37">
        <f>VLOOKUP($C72,$C$33:$Y$36,Q$31,FALSE)*$C$42*$A72/8760/1000*INDEX('Bulb Weighting'!$B$2:$C$17,MATCH(RIGHT('SC-New'!$D72,LEN($D72)-7),'Bulb Weighting'!$B$3:$B$17,0)+1,2)</f>
        <v>0</v>
      </c>
      <c r="R72" s="37">
        <f>VLOOKUP($C72,$C$33:$Y$36,R$31,FALSE)*$C$42*$A72/8760/1000*INDEX('Bulb Weighting'!$B$2:$C$17,MATCH(RIGHT('SC-New'!$D72,LEN($D72)-7),'Bulb Weighting'!$B$3:$B$17,0)+1,2)</f>
        <v>0</v>
      </c>
      <c r="S72" s="37">
        <f>VLOOKUP($C72,$C$33:$Y$36,S$31,FALSE)*$C$42*$A72/8760/1000*INDEX('Bulb Weighting'!$B$2:$C$17,MATCH(RIGHT('SC-New'!$D72,LEN($D72)-7),'Bulb Weighting'!$B$3:$B$17,0)+1,2)</f>
        <v>0</v>
      </c>
      <c r="T72" s="37">
        <f>VLOOKUP($C72,$C$33:$Y$36,T$31,FALSE)*$C$42*$A72/8760/1000*INDEX('Bulb Weighting'!$B$2:$C$17,MATCH(RIGHT('SC-New'!$D72,LEN($D72)-7),'Bulb Weighting'!$B$3:$B$17,0)+1,2)</f>
        <v>0</v>
      </c>
      <c r="U72" s="37">
        <f>VLOOKUP($C72,$C$33:$Y$36,U$31,FALSE)*$C$42*$A72/8760/1000*INDEX('Bulb Weighting'!$B$2:$C$17,MATCH(RIGHT('SC-New'!$D72,LEN($D72)-7),'Bulb Weighting'!$B$3:$B$17,0)+1,2)</f>
        <v>0</v>
      </c>
      <c r="V72" s="37">
        <f>VLOOKUP($C72,$C$33:$Y$36,V$31,FALSE)*$C$42*$A72/8760/1000*INDEX('Bulb Weighting'!$B$2:$C$17,MATCH(RIGHT('SC-New'!$D72,LEN($D72)-7),'Bulb Weighting'!$B$3:$B$17,0)+1,2)</f>
        <v>0</v>
      </c>
      <c r="W72" s="37">
        <f>VLOOKUP($C72,$C$33:$Y$36,W$31,FALSE)*$C$42*$A72/8760/1000*INDEX('Bulb Weighting'!$B$2:$C$17,MATCH(RIGHT('SC-New'!$D72,LEN($D72)-7),'Bulb Weighting'!$B$3:$B$17,0)+1,2)</f>
        <v>0</v>
      </c>
      <c r="X72" s="37">
        <f>VLOOKUP($C72,$C$33:$Y$36,X$31,FALSE)*$C$42*$A72/8760/1000*INDEX('Bulb Weighting'!$B$2:$C$17,MATCH(RIGHT('SC-New'!$D72,LEN($D72)-7),'Bulb Weighting'!$B$3:$B$17,0)+1,2)</f>
        <v>0</v>
      </c>
      <c r="Y72" s="37">
        <f t="shared" si="18"/>
        <v>1.3651888590913478E-3</v>
      </c>
      <c r="AA72" s="31"/>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c r="A73" s="89">
        <f t="shared" si="15"/>
        <v>46.673278979590322</v>
      </c>
      <c r="B73" s="71">
        <f t="shared" si="16"/>
        <v>-22.011904676498236</v>
      </c>
      <c r="C73" s="1" t="str">
        <f>C15</f>
        <v>Multifamily - High Rise</v>
      </c>
      <c r="D73" t="s">
        <v>744</v>
      </c>
      <c r="E73" s="37">
        <f>VLOOKUP($C73,$C$33:$Y$36,E$31,FALSE)*$C$42*$A73/8760/1000*INDEX('Bulb Weighting'!$B$2:$C$17,MATCH(RIGHT('SC-New'!$D73,LEN($D73)-7),'Bulb Weighting'!$B$3:$B$17,0)+1,2)</f>
        <v>1.0604850791835123E-3</v>
      </c>
      <c r="F73" s="37">
        <f>VLOOKUP($C73,$C$33:$Y$36,F$31,FALSE)*$C$42*$A73/8760/1000*INDEX('Bulb Weighting'!$B$2:$C$17,MATCH(RIGHT('SC-New'!$D73,LEN($D73)-7),'Bulb Weighting'!$B$3:$B$17,0)+1,2)</f>
        <v>0</v>
      </c>
      <c r="G73" s="37">
        <f>VLOOKUP($C73,$C$33:$Y$36,G$31,FALSE)*$C$42*$A73/8760/1000*INDEX('Bulb Weighting'!$B$2:$C$17,MATCH(RIGHT('SC-New'!$D73,LEN($D73)-7),'Bulb Weighting'!$B$3:$B$17,0)+1,2)</f>
        <v>0</v>
      </c>
      <c r="H73" s="37">
        <f>VLOOKUP($C73,$C$33:$Y$36,H$31,FALSE)*$C$42*$A73/8760/1000*INDEX('Bulb Weighting'!$B$2:$C$17,MATCH(RIGHT('SC-New'!$D73,LEN($D73)-7),'Bulb Weighting'!$B$3:$B$17,0)+1,2)</f>
        <v>0</v>
      </c>
      <c r="I73" s="37">
        <f>VLOOKUP($C73,$C$33:$Y$36,I$31,FALSE)*$C$42*$A73/8760/1000*INDEX('Bulb Weighting'!$B$2:$C$17,MATCH(RIGHT('SC-New'!$D73,LEN($D73)-7),'Bulb Weighting'!$B$3:$B$17,0)+1,2)</f>
        <v>0</v>
      </c>
      <c r="J73" s="37">
        <f>VLOOKUP($C73,$C$33:$Y$36,J$31,FALSE)*$C$42*$A73/8760/1000*INDEX('Bulb Weighting'!$B$2:$C$17,MATCH(RIGHT('SC-New'!$D73,LEN($D73)-7),'Bulb Weighting'!$B$3:$B$17,0)+1,2)</f>
        <v>0</v>
      </c>
      <c r="K73" s="37">
        <f>VLOOKUP($C73,$C$33:$Y$36,K$31,FALSE)*$C$42*$A73/8760/1000*INDEX('Bulb Weighting'!$B$2:$C$17,MATCH(RIGHT('SC-New'!$D73,LEN($D73)-7),'Bulb Weighting'!$B$3:$B$17,0)+1,2)</f>
        <v>0</v>
      </c>
      <c r="L73" s="37">
        <f>VLOOKUP($C73,$C$33:$Y$36,L$31,FALSE)*$C$42*$A73/8760/1000*INDEX('Bulb Weighting'!$B$2:$C$17,MATCH(RIGHT('SC-New'!$D73,LEN($D73)-7),'Bulb Weighting'!$B$3:$B$17,0)+1,2)</f>
        <v>0</v>
      </c>
      <c r="M73" s="37">
        <f>VLOOKUP($C73,$C$33:$Y$36,M$31,FALSE)*$C$42*$A73/8760/1000*INDEX('Bulb Weighting'!$B$2:$C$17,MATCH(RIGHT('SC-New'!$D73,LEN($D73)-7),'Bulb Weighting'!$B$3:$B$17,0)+1,2)</f>
        <v>0</v>
      </c>
      <c r="N73" s="37">
        <f>VLOOKUP($C73,$C$33:$Y$36,N$31,FALSE)*$C$42*$A73/8760/1000*INDEX('Bulb Weighting'!$B$2:$C$17,MATCH(RIGHT('SC-New'!$D73,LEN($D73)-7),'Bulb Weighting'!$B$3:$B$17,0)+1,2)</f>
        <v>0</v>
      </c>
      <c r="O73" s="37">
        <f>VLOOKUP($C73,$C$33:$Y$36,O$31,FALSE)*$C$42*$A73/8760/1000*INDEX('Bulb Weighting'!$B$2:$C$17,MATCH(RIGHT('SC-New'!$D73,LEN($D73)-7),'Bulb Weighting'!$B$3:$B$17,0)+1,2)</f>
        <v>0</v>
      </c>
      <c r="P73" s="37">
        <f>VLOOKUP($C73,$C$33:$Y$36,P$31,FALSE)*$C$42*$A73/8760/1000*INDEX('Bulb Weighting'!$B$2:$C$17,MATCH(RIGHT('SC-New'!$D73,LEN($D73)-7),'Bulb Weighting'!$B$3:$B$17,0)+1,2)</f>
        <v>0</v>
      </c>
      <c r="Q73" s="37">
        <f>VLOOKUP($C73,$C$33:$Y$36,Q$31,FALSE)*$C$42*$A73/8760/1000*INDEX('Bulb Weighting'!$B$2:$C$17,MATCH(RIGHT('SC-New'!$D73,LEN($D73)-7),'Bulb Weighting'!$B$3:$B$17,0)+1,2)</f>
        <v>0</v>
      </c>
      <c r="R73" s="37">
        <f>VLOOKUP($C73,$C$33:$Y$36,R$31,FALSE)*$C$42*$A73/8760/1000*INDEX('Bulb Weighting'!$B$2:$C$17,MATCH(RIGHT('SC-New'!$D73,LEN($D73)-7),'Bulb Weighting'!$B$3:$B$17,0)+1,2)</f>
        <v>0</v>
      </c>
      <c r="S73" s="37">
        <f>VLOOKUP($C73,$C$33:$Y$36,S$31,FALSE)*$C$42*$A73/8760/1000*INDEX('Bulb Weighting'!$B$2:$C$17,MATCH(RIGHT('SC-New'!$D73,LEN($D73)-7),'Bulb Weighting'!$B$3:$B$17,0)+1,2)</f>
        <v>0</v>
      </c>
      <c r="T73" s="37">
        <f>VLOOKUP($C73,$C$33:$Y$36,T$31,FALSE)*$C$42*$A73/8760/1000*INDEX('Bulb Weighting'!$B$2:$C$17,MATCH(RIGHT('SC-New'!$D73,LEN($D73)-7),'Bulb Weighting'!$B$3:$B$17,0)+1,2)</f>
        <v>0</v>
      </c>
      <c r="U73" s="37">
        <f>VLOOKUP($C73,$C$33:$Y$36,U$31,FALSE)*$C$42*$A73/8760/1000*INDEX('Bulb Weighting'!$B$2:$C$17,MATCH(RIGHT('SC-New'!$D73,LEN($D73)-7),'Bulb Weighting'!$B$3:$B$17,0)+1,2)</f>
        <v>0</v>
      </c>
      <c r="V73" s="37">
        <f>VLOOKUP($C73,$C$33:$Y$36,V$31,FALSE)*$C$42*$A73/8760/1000*INDEX('Bulb Weighting'!$B$2:$C$17,MATCH(RIGHT('SC-New'!$D73,LEN($D73)-7),'Bulb Weighting'!$B$3:$B$17,0)+1,2)</f>
        <v>0</v>
      </c>
      <c r="W73" s="37">
        <f>VLOOKUP($C73,$C$33:$Y$36,W$31,FALSE)*$C$42*$A73/8760/1000*INDEX('Bulb Weighting'!$B$2:$C$17,MATCH(RIGHT('SC-New'!$D73,LEN($D73)-7),'Bulb Weighting'!$B$3:$B$17,0)+1,2)</f>
        <v>0</v>
      </c>
      <c r="X73" s="37">
        <f>VLOOKUP($C73,$C$33:$Y$36,X$31,FALSE)*$C$42*$A73/8760/1000*INDEX('Bulb Weighting'!$B$2:$C$17,MATCH(RIGHT('SC-New'!$D73,LEN($D73)-7),'Bulb Weighting'!$B$3:$B$17,0)+1,2)</f>
        <v>0</v>
      </c>
      <c r="Y73" s="37">
        <f t="shared" si="18"/>
        <v>1.0604850791835123E-3</v>
      </c>
      <c r="AA73" s="31">
        <f t="shared" ref="AA73" si="19">SUM(E73:Y73)</f>
        <v>2.1209701583670246E-3</v>
      </c>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c r="A74" s="89">
        <f t="shared" si="15"/>
        <v>19.236292058718274</v>
      </c>
      <c r="B74" s="71">
        <f t="shared" si="16"/>
        <v>-15.059976945801358</v>
      </c>
      <c r="C74" s="1" t="s">
        <v>33</v>
      </c>
      <c r="D74" t="s">
        <v>716</v>
      </c>
      <c r="E74" s="37">
        <f>VLOOKUP($C74,$C$33:$Y$36,E$31,FALSE)*$C$42*$A74/8760/1000*INDEX('Bulb Weighting'!$B$2:$C$17,MATCH(RIGHT('SC-New'!$D74,LEN($D74)-7),'Bulb Weighting'!$B$3:$B$17,0)+1,2)</f>
        <v>4.0239859948014755E-3</v>
      </c>
      <c r="F74" s="37">
        <f>VLOOKUP($C74,$C$33:$Y$36,F$31,FALSE)*$C$42*$A74/8760/1000*INDEX('Bulb Weighting'!$B$2:$C$17,MATCH(RIGHT('SC-New'!$D74,LEN($D74)-7),'Bulb Weighting'!$B$3:$B$17,0)+1,2)</f>
        <v>0</v>
      </c>
      <c r="G74" s="37">
        <f>VLOOKUP($C74,$C$33:$Y$36,G$31,FALSE)*$C$42*$A74/8760/1000*INDEX('Bulb Weighting'!$B$2:$C$17,MATCH(RIGHT('SC-New'!$D74,LEN($D74)-7),'Bulb Weighting'!$B$3:$B$17,0)+1,2)</f>
        <v>0</v>
      </c>
      <c r="H74" s="37">
        <f>VLOOKUP($C74,$C$33:$Y$36,H$31,FALSE)*$C$42*$A74/8760/1000*INDEX('Bulb Weighting'!$B$2:$C$17,MATCH(RIGHT('SC-New'!$D74,LEN($D74)-7),'Bulb Weighting'!$B$3:$B$17,0)+1,2)</f>
        <v>0</v>
      </c>
      <c r="I74" s="37">
        <f>VLOOKUP($C74,$C$33:$Y$36,I$31,FALSE)*$C$42*$A74/8760/1000*INDEX('Bulb Weighting'!$B$2:$C$17,MATCH(RIGHT('SC-New'!$D74,LEN($D74)-7),'Bulb Weighting'!$B$3:$B$17,0)+1,2)</f>
        <v>0</v>
      </c>
      <c r="J74" s="37">
        <f>VLOOKUP($C74,$C$33:$Y$36,J$31,FALSE)*$C$42*$A74/8760/1000*INDEX('Bulb Weighting'!$B$2:$C$17,MATCH(RIGHT('SC-New'!$D74,LEN($D74)-7),'Bulb Weighting'!$B$3:$B$17,0)+1,2)</f>
        <v>0</v>
      </c>
      <c r="K74" s="37">
        <f>VLOOKUP($C74,$C$33:$Y$36,K$31,FALSE)*$C$42*$A74/8760/1000*INDEX('Bulb Weighting'!$B$2:$C$17,MATCH(RIGHT('SC-New'!$D74,LEN($D74)-7),'Bulb Weighting'!$B$3:$B$17,0)+1,2)</f>
        <v>0</v>
      </c>
      <c r="L74" s="37">
        <f>VLOOKUP($C74,$C$33:$Y$36,L$31,FALSE)*$C$42*$A74/8760/1000*INDEX('Bulb Weighting'!$B$2:$C$17,MATCH(RIGHT('SC-New'!$D74,LEN($D74)-7),'Bulb Weighting'!$B$3:$B$17,0)+1,2)</f>
        <v>0</v>
      </c>
      <c r="M74" s="37">
        <f>VLOOKUP($C74,$C$33:$Y$36,M$31,FALSE)*$C$42*$A74/8760/1000*INDEX('Bulb Weighting'!$B$2:$C$17,MATCH(RIGHT('SC-New'!$D74,LEN($D74)-7),'Bulb Weighting'!$B$3:$B$17,0)+1,2)</f>
        <v>0</v>
      </c>
      <c r="N74" s="37">
        <f>VLOOKUP($C74,$C$33:$Y$36,N$31,FALSE)*$C$42*$A74/8760/1000*INDEX('Bulb Weighting'!$B$2:$C$17,MATCH(RIGHT('SC-New'!$D74,LEN($D74)-7),'Bulb Weighting'!$B$3:$B$17,0)+1,2)</f>
        <v>0</v>
      </c>
      <c r="O74" s="37">
        <f>VLOOKUP($C74,$C$33:$Y$36,O$31,FALSE)*$C$42*$A74/8760/1000*INDEX('Bulb Weighting'!$B$2:$C$17,MATCH(RIGHT('SC-New'!$D74,LEN($D74)-7),'Bulb Weighting'!$B$3:$B$17,0)+1,2)</f>
        <v>0</v>
      </c>
      <c r="P74" s="37">
        <f>VLOOKUP($C74,$C$33:$Y$36,P$31,FALSE)*$C$42*$A74/8760/1000*INDEX('Bulb Weighting'!$B$2:$C$17,MATCH(RIGHT('SC-New'!$D74,LEN($D74)-7),'Bulb Weighting'!$B$3:$B$17,0)+1,2)</f>
        <v>0</v>
      </c>
      <c r="Q74" s="37">
        <f>VLOOKUP($C74,$C$33:$Y$36,Q$31,FALSE)*$C$42*$A74/8760/1000*INDEX('Bulb Weighting'!$B$2:$C$17,MATCH(RIGHT('SC-New'!$D74,LEN($D74)-7),'Bulb Weighting'!$B$3:$B$17,0)+1,2)</f>
        <v>0</v>
      </c>
      <c r="R74" s="37">
        <f>VLOOKUP($C74,$C$33:$Y$36,R$31,FALSE)*$C$42*$A74/8760/1000*INDEX('Bulb Weighting'!$B$2:$C$17,MATCH(RIGHT('SC-New'!$D74,LEN($D74)-7),'Bulb Weighting'!$B$3:$B$17,0)+1,2)</f>
        <v>0</v>
      </c>
      <c r="S74" s="37">
        <f>VLOOKUP($C74,$C$33:$Y$36,S$31,FALSE)*$C$42*$A74/8760/1000*INDEX('Bulb Weighting'!$B$2:$C$17,MATCH(RIGHT('SC-New'!$D74,LEN($D74)-7),'Bulb Weighting'!$B$3:$B$17,0)+1,2)</f>
        <v>0</v>
      </c>
      <c r="T74" s="37">
        <f>VLOOKUP($C74,$C$33:$Y$36,T$31,FALSE)*$C$42*$A74/8760/1000*INDEX('Bulb Weighting'!$B$2:$C$17,MATCH(RIGHT('SC-New'!$D74,LEN($D74)-7),'Bulb Weighting'!$B$3:$B$17,0)+1,2)</f>
        <v>0</v>
      </c>
      <c r="U74" s="37">
        <f>VLOOKUP($C74,$C$33:$Y$36,U$31,FALSE)*$C$42*$A74/8760/1000*INDEX('Bulb Weighting'!$B$2:$C$17,MATCH(RIGHT('SC-New'!$D74,LEN($D74)-7),'Bulb Weighting'!$B$3:$B$17,0)+1,2)</f>
        <v>0</v>
      </c>
      <c r="V74" s="37">
        <f>VLOOKUP($C74,$C$33:$Y$36,V$31,FALSE)*$C$42*$A74/8760/1000*INDEX('Bulb Weighting'!$B$2:$C$17,MATCH(RIGHT('SC-New'!$D74,LEN($D74)-7),'Bulb Weighting'!$B$3:$B$17,0)+1,2)</f>
        <v>0</v>
      </c>
      <c r="W74" s="37">
        <f>VLOOKUP($C74,$C$33:$Y$36,W$31,FALSE)*$C$42*$A74/8760/1000*INDEX('Bulb Weighting'!$B$2:$C$17,MATCH(RIGHT('SC-New'!$D74,LEN($D74)-7),'Bulb Weighting'!$B$3:$B$17,0)+1,2)</f>
        <v>0</v>
      </c>
      <c r="X74" s="37">
        <f>VLOOKUP($C74,$C$33:$Y$36,X$31,FALSE)*$C$42*$A74/8760/1000*INDEX('Bulb Weighting'!$B$2:$C$17,MATCH(RIGHT('SC-New'!$D74,LEN($D74)-7),'Bulb Weighting'!$B$3:$B$17,0)+1,2)</f>
        <v>0</v>
      </c>
      <c r="Y74" s="37">
        <f t="shared" si="18"/>
        <v>4.0239859948014755E-3</v>
      </c>
      <c r="AA74" s="31"/>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c r="A75" s="89">
        <f t="shared" si="15"/>
        <v>14.492020906444102</v>
      </c>
      <c r="B75" s="71">
        <f t="shared" si="16"/>
        <v>-3.5286913755547569</v>
      </c>
      <c r="C75" s="1" t="s">
        <v>33</v>
      </c>
      <c r="D75" t="s">
        <v>718</v>
      </c>
      <c r="E75" s="37">
        <f>VLOOKUP($C75,$C$33:$Y$36,E$31,FALSE)*$C$42*$A75/8760/1000*INDEX('Bulb Weighting'!$B$2:$C$17,MATCH(RIGHT('SC-New'!$D75,LEN($D75)-7),'Bulb Weighting'!$B$3:$B$17,0)+1,2)</f>
        <v>8.3146901494528171E-4</v>
      </c>
      <c r="F75" s="37">
        <f>VLOOKUP($C75,$C$33:$Y$36,F$31,FALSE)*$C$42*$A75/8760/1000*INDEX('Bulb Weighting'!$B$2:$C$17,MATCH(RIGHT('SC-New'!$D75,LEN($D75)-7),'Bulb Weighting'!$B$3:$B$17,0)+1,2)</f>
        <v>0</v>
      </c>
      <c r="G75" s="37">
        <f>VLOOKUP($C75,$C$33:$Y$36,G$31,FALSE)*$C$42*$A75/8760/1000*INDEX('Bulb Weighting'!$B$2:$C$17,MATCH(RIGHT('SC-New'!$D75,LEN($D75)-7),'Bulb Weighting'!$B$3:$B$17,0)+1,2)</f>
        <v>0</v>
      </c>
      <c r="H75" s="37">
        <f>VLOOKUP($C75,$C$33:$Y$36,H$31,FALSE)*$C$42*$A75/8760/1000*INDEX('Bulb Weighting'!$B$2:$C$17,MATCH(RIGHT('SC-New'!$D75,LEN($D75)-7),'Bulb Weighting'!$B$3:$B$17,0)+1,2)</f>
        <v>0</v>
      </c>
      <c r="I75" s="37">
        <f>VLOOKUP($C75,$C$33:$Y$36,I$31,FALSE)*$C$42*$A75/8760/1000*INDEX('Bulb Weighting'!$B$2:$C$17,MATCH(RIGHT('SC-New'!$D75,LEN($D75)-7),'Bulb Weighting'!$B$3:$B$17,0)+1,2)</f>
        <v>0</v>
      </c>
      <c r="J75" s="37">
        <f>VLOOKUP($C75,$C$33:$Y$36,J$31,FALSE)*$C$42*$A75/8760/1000*INDEX('Bulb Weighting'!$B$2:$C$17,MATCH(RIGHT('SC-New'!$D75,LEN($D75)-7),'Bulb Weighting'!$B$3:$B$17,0)+1,2)</f>
        <v>0</v>
      </c>
      <c r="K75" s="37">
        <f>VLOOKUP($C75,$C$33:$Y$36,K$31,FALSE)*$C$42*$A75/8760/1000*INDEX('Bulb Weighting'!$B$2:$C$17,MATCH(RIGHT('SC-New'!$D75,LEN($D75)-7),'Bulb Weighting'!$B$3:$B$17,0)+1,2)</f>
        <v>0</v>
      </c>
      <c r="L75" s="37">
        <f>VLOOKUP($C75,$C$33:$Y$36,L$31,FALSE)*$C$42*$A75/8760/1000*INDEX('Bulb Weighting'!$B$2:$C$17,MATCH(RIGHT('SC-New'!$D75,LEN($D75)-7),'Bulb Weighting'!$B$3:$B$17,0)+1,2)</f>
        <v>0</v>
      </c>
      <c r="M75" s="37">
        <f>VLOOKUP($C75,$C$33:$Y$36,M$31,FALSE)*$C$42*$A75/8760/1000*INDEX('Bulb Weighting'!$B$2:$C$17,MATCH(RIGHT('SC-New'!$D75,LEN($D75)-7),'Bulb Weighting'!$B$3:$B$17,0)+1,2)</f>
        <v>0</v>
      </c>
      <c r="N75" s="37">
        <f>VLOOKUP($C75,$C$33:$Y$36,N$31,FALSE)*$C$42*$A75/8760/1000*INDEX('Bulb Weighting'!$B$2:$C$17,MATCH(RIGHT('SC-New'!$D75,LEN($D75)-7),'Bulb Weighting'!$B$3:$B$17,0)+1,2)</f>
        <v>0</v>
      </c>
      <c r="O75" s="37">
        <f>VLOOKUP($C75,$C$33:$Y$36,O$31,FALSE)*$C$42*$A75/8760/1000*INDEX('Bulb Weighting'!$B$2:$C$17,MATCH(RIGHT('SC-New'!$D75,LEN($D75)-7),'Bulb Weighting'!$B$3:$B$17,0)+1,2)</f>
        <v>0</v>
      </c>
      <c r="P75" s="37">
        <f>VLOOKUP($C75,$C$33:$Y$36,P$31,FALSE)*$C$42*$A75/8760/1000*INDEX('Bulb Weighting'!$B$2:$C$17,MATCH(RIGHT('SC-New'!$D75,LEN($D75)-7),'Bulb Weighting'!$B$3:$B$17,0)+1,2)</f>
        <v>0</v>
      </c>
      <c r="Q75" s="37">
        <f>VLOOKUP($C75,$C$33:$Y$36,Q$31,FALSE)*$C$42*$A75/8760/1000*INDEX('Bulb Weighting'!$B$2:$C$17,MATCH(RIGHT('SC-New'!$D75,LEN($D75)-7),'Bulb Weighting'!$B$3:$B$17,0)+1,2)</f>
        <v>0</v>
      </c>
      <c r="R75" s="37">
        <f>VLOOKUP($C75,$C$33:$Y$36,R$31,FALSE)*$C$42*$A75/8760/1000*INDEX('Bulb Weighting'!$B$2:$C$17,MATCH(RIGHT('SC-New'!$D75,LEN($D75)-7),'Bulb Weighting'!$B$3:$B$17,0)+1,2)</f>
        <v>0</v>
      </c>
      <c r="S75" s="37">
        <f>VLOOKUP($C75,$C$33:$Y$36,S$31,FALSE)*$C$42*$A75/8760/1000*INDEX('Bulb Weighting'!$B$2:$C$17,MATCH(RIGHT('SC-New'!$D75,LEN($D75)-7),'Bulb Weighting'!$B$3:$B$17,0)+1,2)</f>
        <v>0</v>
      </c>
      <c r="T75" s="37">
        <f>VLOOKUP($C75,$C$33:$Y$36,T$31,FALSE)*$C$42*$A75/8760/1000*INDEX('Bulb Weighting'!$B$2:$C$17,MATCH(RIGHT('SC-New'!$D75,LEN($D75)-7),'Bulb Weighting'!$B$3:$B$17,0)+1,2)</f>
        <v>0</v>
      </c>
      <c r="U75" s="37">
        <f>VLOOKUP($C75,$C$33:$Y$36,U$31,FALSE)*$C$42*$A75/8760/1000*INDEX('Bulb Weighting'!$B$2:$C$17,MATCH(RIGHT('SC-New'!$D75,LEN($D75)-7),'Bulb Weighting'!$B$3:$B$17,0)+1,2)</f>
        <v>0</v>
      </c>
      <c r="V75" s="37">
        <f>VLOOKUP($C75,$C$33:$Y$36,V$31,FALSE)*$C$42*$A75/8760/1000*INDEX('Bulb Weighting'!$B$2:$C$17,MATCH(RIGHT('SC-New'!$D75,LEN($D75)-7),'Bulb Weighting'!$B$3:$B$17,0)+1,2)</f>
        <v>0</v>
      </c>
      <c r="W75" s="37">
        <f>VLOOKUP($C75,$C$33:$Y$36,W$31,FALSE)*$C$42*$A75/8760/1000*INDEX('Bulb Weighting'!$B$2:$C$17,MATCH(RIGHT('SC-New'!$D75,LEN($D75)-7),'Bulb Weighting'!$B$3:$B$17,0)+1,2)</f>
        <v>0</v>
      </c>
      <c r="X75" s="37">
        <f>VLOOKUP($C75,$C$33:$Y$36,X$31,FALSE)*$C$42*$A75/8760/1000*INDEX('Bulb Weighting'!$B$2:$C$17,MATCH(RIGHT('SC-New'!$D75,LEN($D75)-7),'Bulb Weighting'!$B$3:$B$17,0)+1,2)</f>
        <v>0</v>
      </c>
      <c r="Y75" s="37">
        <f t="shared" si="18"/>
        <v>8.3146901494528171E-4</v>
      </c>
      <c r="AA75" s="31"/>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c r="A76" s="89">
        <f t="shared" ref="A76:A103" si="20">VLOOKUP($D76,MeasureOutput,3,FALSE)</f>
        <v>7.1768930642853626</v>
      </c>
      <c r="B76" s="71">
        <f t="shared" ref="B76:B103" si="21">VLOOKUP($D76,MeasureOutput,11,FALSE)</f>
        <v>355.22288385759038</v>
      </c>
      <c r="C76" s="1" t="s">
        <v>33</v>
      </c>
      <c r="D76" t="s">
        <v>720</v>
      </c>
      <c r="E76" s="37">
        <f>VLOOKUP($C76,$C$33:$Y$36,E$31,FALSE)*$C$42*$A76/8760/1000*INDEX('Bulb Weighting'!$B$2:$C$17,MATCH(RIGHT('SC-New'!$D76,LEN($D76)-7),'Bulb Weighting'!$B$3:$B$17,0)+1,2)</f>
        <v>8.0898091208555008E-6</v>
      </c>
      <c r="F76" s="37">
        <f>VLOOKUP($C76,$C$33:$Y$36,F$31,FALSE)*$C$42*$A76/8760/1000*INDEX('Bulb Weighting'!$B$2:$C$17,MATCH(RIGHT('SC-New'!$D76,LEN($D76)-7),'Bulb Weighting'!$B$3:$B$17,0)+1,2)</f>
        <v>0</v>
      </c>
      <c r="G76" s="37">
        <f>VLOOKUP($C76,$C$33:$Y$36,G$31,FALSE)*$C$42*$A76/8760/1000*INDEX('Bulb Weighting'!$B$2:$C$17,MATCH(RIGHT('SC-New'!$D76,LEN($D76)-7),'Bulb Weighting'!$B$3:$B$17,0)+1,2)</f>
        <v>0</v>
      </c>
      <c r="H76" s="37">
        <f>VLOOKUP($C76,$C$33:$Y$36,H$31,FALSE)*$C$42*$A76/8760/1000*INDEX('Bulb Weighting'!$B$2:$C$17,MATCH(RIGHT('SC-New'!$D76,LEN($D76)-7),'Bulb Weighting'!$B$3:$B$17,0)+1,2)</f>
        <v>0</v>
      </c>
      <c r="I76" s="37">
        <f>VLOOKUP($C76,$C$33:$Y$36,I$31,FALSE)*$C$42*$A76/8760/1000*INDEX('Bulb Weighting'!$B$2:$C$17,MATCH(RIGHT('SC-New'!$D76,LEN($D76)-7),'Bulb Weighting'!$B$3:$B$17,0)+1,2)</f>
        <v>0</v>
      </c>
      <c r="J76" s="37">
        <f>VLOOKUP($C76,$C$33:$Y$36,J$31,FALSE)*$C$42*$A76/8760/1000*INDEX('Bulb Weighting'!$B$2:$C$17,MATCH(RIGHT('SC-New'!$D76,LEN($D76)-7),'Bulb Weighting'!$B$3:$B$17,0)+1,2)</f>
        <v>0</v>
      </c>
      <c r="K76" s="37">
        <f>VLOOKUP($C76,$C$33:$Y$36,K$31,FALSE)*$C$42*$A76/8760/1000*INDEX('Bulb Weighting'!$B$2:$C$17,MATCH(RIGHT('SC-New'!$D76,LEN($D76)-7),'Bulb Weighting'!$B$3:$B$17,0)+1,2)</f>
        <v>0</v>
      </c>
      <c r="L76" s="37">
        <f>VLOOKUP($C76,$C$33:$Y$36,L$31,FALSE)*$C$42*$A76/8760/1000*INDEX('Bulb Weighting'!$B$2:$C$17,MATCH(RIGHT('SC-New'!$D76,LEN($D76)-7),'Bulb Weighting'!$B$3:$B$17,0)+1,2)</f>
        <v>0</v>
      </c>
      <c r="M76" s="37">
        <f>VLOOKUP($C76,$C$33:$Y$36,M$31,FALSE)*$C$42*$A76/8760/1000*INDEX('Bulb Weighting'!$B$2:$C$17,MATCH(RIGHT('SC-New'!$D76,LEN($D76)-7),'Bulb Weighting'!$B$3:$B$17,0)+1,2)</f>
        <v>0</v>
      </c>
      <c r="N76" s="37">
        <f>VLOOKUP($C76,$C$33:$Y$36,N$31,FALSE)*$C$42*$A76/8760/1000*INDEX('Bulb Weighting'!$B$2:$C$17,MATCH(RIGHT('SC-New'!$D76,LEN($D76)-7),'Bulb Weighting'!$B$3:$B$17,0)+1,2)</f>
        <v>0</v>
      </c>
      <c r="O76" s="37">
        <f>VLOOKUP($C76,$C$33:$Y$36,O$31,FALSE)*$C$42*$A76/8760/1000*INDEX('Bulb Weighting'!$B$2:$C$17,MATCH(RIGHT('SC-New'!$D76,LEN($D76)-7),'Bulb Weighting'!$B$3:$B$17,0)+1,2)</f>
        <v>0</v>
      </c>
      <c r="P76" s="37">
        <f>VLOOKUP($C76,$C$33:$Y$36,P$31,FALSE)*$C$42*$A76/8760/1000*INDEX('Bulb Weighting'!$B$2:$C$17,MATCH(RIGHT('SC-New'!$D76,LEN($D76)-7),'Bulb Weighting'!$B$3:$B$17,0)+1,2)</f>
        <v>0</v>
      </c>
      <c r="Q76" s="37">
        <f>VLOOKUP($C76,$C$33:$Y$36,Q$31,FALSE)*$C$42*$A76/8760/1000*INDEX('Bulb Weighting'!$B$2:$C$17,MATCH(RIGHT('SC-New'!$D76,LEN($D76)-7),'Bulb Weighting'!$B$3:$B$17,0)+1,2)</f>
        <v>0</v>
      </c>
      <c r="R76" s="37">
        <f>VLOOKUP($C76,$C$33:$Y$36,R$31,FALSE)*$C$42*$A76/8760/1000*INDEX('Bulb Weighting'!$B$2:$C$17,MATCH(RIGHT('SC-New'!$D76,LEN($D76)-7),'Bulb Weighting'!$B$3:$B$17,0)+1,2)</f>
        <v>0</v>
      </c>
      <c r="S76" s="37">
        <f>VLOOKUP($C76,$C$33:$Y$36,S$31,FALSE)*$C$42*$A76/8760/1000*INDEX('Bulb Weighting'!$B$2:$C$17,MATCH(RIGHT('SC-New'!$D76,LEN($D76)-7),'Bulb Weighting'!$B$3:$B$17,0)+1,2)</f>
        <v>0</v>
      </c>
      <c r="T76" s="37">
        <f>VLOOKUP($C76,$C$33:$Y$36,T$31,FALSE)*$C$42*$A76/8760/1000*INDEX('Bulb Weighting'!$B$2:$C$17,MATCH(RIGHT('SC-New'!$D76,LEN($D76)-7),'Bulb Weighting'!$B$3:$B$17,0)+1,2)</f>
        <v>0</v>
      </c>
      <c r="U76" s="37">
        <f>VLOOKUP($C76,$C$33:$Y$36,U$31,FALSE)*$C$42*$A76/8760/1000*INDEX('Bulb Weighting'!$B$2:$C$17,MATCH(RIGHT('SC-New'!$D76,LEN($D76)-7),'Bulb Weighting'!$B$3:$B$17,0)+1,2)</f>
        <v>0</v>
      </c>
      <c r="V76" s="37">
        <f>VLOOKUP($C76,$C$33:$Y$36,V$31,FALSE)*$C$42*$A76/8760/1000*INDEX('Bulb Weighting'!$B$2:$C$17,MATCH(RIGHT('SC-New'!$D76,LEN($D76)-7),'Bulb Weighting'!$B$3:$B$17,0)+1,2)</f>
        <v>0</v>
      </c>
      <c r="W76" s="37">
        <f>VLOOKUP($C76,$C$33:$Y$36,W$31,FALSE)*$C$42*$A76/8760/1000*INDEX('Bulb Weighting'!$B$2:$C$17,MATCH(RIGHT('SC-New'!$D76,LEN($D76)-7),'Bulb Weighting'!$B$3:$B$17,0)+1,2)</f>
        <v>0</v>
      </c>
      <c r="X76" s="37">
        <f>VLOOKUP($C76,$C$33:$Y$36,X$31,FALSE)*$C$42*$A76/8760/1000*INDEX('Bulb Weighting'!$B$2:$C$17,MATCH(RIGHT('SC-New'!$D76,LEN($D76)-7),'Bulb Weighting'!$B$3:$B$17,0)+1,2)</f>
        <v>0</v>
      </c>
      <c r="Y76" s="37">
        <f t="shared" si="18"/>
        <v>8.0898091208555008E-6</v>
      </c>
      <c r="AA76" s="31"/>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c r="A77" s="89">
        <f t="shared" si="20"/>
        <v>1.835623194306955</v>
      </c>
      <c r="B77" s="71">
        <f t="shared" si="21"/>
        <v>45.354656455601045</v>
      </c>
      <c r="C77" s="1" t="s">
        <v>33</v>
      </c>
      <c r="D77" t="s">
        <v>722</v>
      </c>
      <c r="E77" s="37">
        <f>VLOOKUP($C77,$C$33:$Y$36,E$31,FALSE)*$C$42*$A77/8760/1000*INDEX('Bulb Weighting'!$B$2:$C$17,MATCH(RIGHT('SC-New'!$D77,LEN($D77)-7),'Bulb Weighting'!$B$3:$B$17,0)+1,2)</f>
        <v>3.2064961177794368E-4</v>
      </c>
      <c r="F77" s="37">
        <f>VLOOKUP($C77,$C$33:$Y$36,F$31,FALSE)*$C$42*$A77/8760/1000*INDEX('Bulb Weighting'!$B$2:$C$17,MATCH(RIGHT('SC-New'!$D77,LEN($D77)-7),'Bulb Weighting'!$B$3:$B$17,0)+1,2)</f>
        <v>0</v>
      </c>
      <c r="G77" s="37">
        <f>VLOOKUP($C77,$C$33:$Y$36,G$31,FALSE)*$C$42*$A77/8760/1000*INDEX('Bulb Weighting'!$B$2:$C$17,MATCH(RIGHT('SC-New'!$D77,LEN($D77)-7),'Bulb Weighting'!$B$3:$B$17,0)+1,2)</f>
        <v>0</v>
      </c>
      <c r="H77" s="37">
        <f>VLOOKUP($C77,$C$33:$Y$36,H$31,FALSE)*$C$42*$A77/8760/1000*INDEX('Bulb Weighting'!$B$2:$C$17,MATCH(RIGHT('SC-New'!$D77,LEN($D77)-7),'Bulb Weighting'!$B$3:$B$17,0)+1,2)</f>
        <v>0</v>
      </c>
      <c r="I77" s="37">
        <f>VLOOKUP($C77,$C$33:$Y$36,I$31,FALSE)*$C$42*$A77/8760/1000*INDEX('Bulb Weighting'!$B$2:$C$17,MATCH(RIGHT('SC-New'!$D77,LEN($D77)-7),'Bulb Weighting'!$B$3:$B$17,0)+1,2)</f>
        <v>0</v>
      </c>
      <c r="J77" s="37">
        <f>VLOOKUP($C77,$C$33:$Y$36,J$31,FALSE)*$C$42*$A77/8760/1000*INDEX('Bulb Weighting'!$B$2:$C$17,MATCH(RIGHT('SC-New'!$D77,LEN($D77)-7),'Bulb Weighting'!$B$3:$B$17,0)+1,2)</f>
        <v>0</v>
      </c>
      <c r="K77" s="37">
        <f>VLOOKUP($C77,$C$33:$Y$36,K$31,FALSE)*$C$42*$A77/8760/1000*INDEX('Bulb Weighting'!$B$2:$C$17,MATCH(RIGHT('SC-New'!$D77,LEN($D77)-7),'Bulb Weighting'!$B$3:$B$17,0)+1,2)</f>
        <v>0</v>
      </c>
      <c r="L77" s="37">
        <f>VLOOKUP($C77,$C$33:$Y$36,L$31,FALSE)*$C$42*$A77/8760/1000*INDEX('Bulb Weighting'!$B$2:$C$17,MATCH(RIGHT('SC-New'!$D77,LEN($D77)-7),'Bulb Weighting'!$B$3:$B$17,0)+1,2)</f>
        <v>0</v>
      </c>
      <c r="M77" s="37">
        <f>VLOOKUP($C77,$C$33:$Y$36,M$31,FALSE)*$C$42*$A77/8760/1000*INDEX('Bulb Weighting'!$B$2:$C$17,MATCH(RIGHT('SC-New'!$D77,LEN($D77)-7),'Bulb Weighting'!$B$3:$B$17,0)+1,2)</f>
        <v>0</v>
      </c>
      <c r="N77" s="37">
        <f>VLOOKUP($C77,$C$33:$Y$36,N$31,FALSE)*$C$42*$A77/8760/1000*INDEX('Bulb Weighting'!$B$2:$C$17,MATCH(RIGHT('SC-New'!$D77,LEN($D77)-7),'Bulb Weighting'!$B$3:$B$17,0)+1,2)</f>
        <v>0</v>
      </c>
      <c r="O77" s="37">
        <f>VLOOKUP($C77,$C$33:$Y$36,O$31,FALSE)*$C$42*$A77/8760/1000*INDEX('Bulb Weighting'!$B$2:$C$17,MATCH(RIGHT('SC-New'!$D77,LEN($D77)-7),'Bulb Weighting'!$B$3:$B$17,0)+1,2)</f>
        <v>0</v>
      </c>
      <c r="P77" s="37">
        <f>VLOOKUP($C77,$C$33:$Y$36,P$31,FALSE)*$C$42*$A77/8760/1000*INDEX('Bulb Weighting'!$B$2:$C$17,MATCH(RIGHT('SC-New'!$D77,LEN($D77)-7),'Bulb Weighting'!$B$3:$B$17,0)+1,2)</f>
        <v>0</v>
      </c>
      <c r="Q77" s="37">
        <f>VLOOKUP($C77,$C$33:$Y$36,Q$31,FALSE)*$C$42*$A77/8760/1000*INDEX('Bulb Weighting'!$B$2:$C$17,MATCH(RIGHT('SC-New'!$D77,LEN($D77)-7),'Bulb Weighting'!$B$3:$B$17,0)+1,2)</f>
        <v>0</v>
      </c>
      <c r="R77" s="37">
        <f>VLOOKUP($C77,$C$33:$Y$36,R$31,FALSE)*$C$42*$A77/8760/1000*INDEX('Bulb Weighting'!$B$2:$C$17,MATCH(RIGHT('SC-New'!$D77,LEN($D77)-7),'Bulb Weighting'!$B$3:$B$17,0)+1,2)</f>
        <v>0</v>
      </c>
      <c r="S77" s="37">
        <f>VLOOKUP($C77,$C$33:$Y$36,S$31,FALSE)*$C$42*$A77/8760/1000*INDEX('Bulb Weighting'!$B$2:$C$17,MATCH(RIGHT('SC-New'!$D77,LEN($D77)-7),'Bulb Weighting'!$B$3:$B$17,0)+1,2)</f>
        <v>0</v>
      </c>
      <c r="T77" s="37">
        <f>VLOOKUP($C77,$C$33:$Y$36,T$31,FALSE)*$C$42*$A77/8760/1000*INDEX('Bulb Weighting'!$B$2:$C$17,MATCH(RIGHT('SC-New'!$D77,LEN($D77)-7),'Bulb Weighting'!$B$3:$B$17,0)+1,2)</f>
        <v>0</v>
      </c>
      <c r="U77" s="37">
        <f>VLOOKUP($C77,$C$33:$Y$36,U$31,FALSE)*$C$42*$A77/8760/1000*INDEX('Bulb Weighting'!$B$2:$C$17,MATCH(RIGHT('SC-New'!$D77,LEN($D77)-7),'Bulb Weighting'!$B$3:$B$17,0)+1,2)</f>
        <v>0</v>
      </c>
      <c r="V77" s="37">
        <f>VLOOKUP($C77,$C$33:$Y$36,V$31,FALSE)*$C$42*$A77/8760/1000*INDEX('Bulb Weighting'!$B$2:$C$17,MATCH(RIGHT('SC-New'!$D77,LEN($D77)-7),'Bulb Weighting'!$B$3:$B$17,0)+1,2)</f>
        <v>0</v>
      </c>
      <c r="W77" s="37">
        <f>VLOOKUP($C77,$C$33:$Y$36,W$31,FALSE)*$C$42*$A77/8760/1000*INDEX('Bulb Weighting'!$B$2:$C$17,MATCH(RIGHT('SC-New'!$D77,LEN($D77)-7),'Bulb Weighting'!$B$3:$B$17,0)+1,2)</f>
        <v>0</v>
      </c>
      <c r="X77" s="37">
        <f>VLOOKUP($C77,$C$33:$Y$36,X$31,FALSE)*$C$42*$A77/8760/1000*INDEX('Bulb Weighting'!$B$2:$C$17,MATCH(RIGHT('SC-New'!$D77,LEN($D77)-7),'Bulb Weighting'!$B$3:$B$17,0)+1,2)</f>
        <v>0</v>
      </c>
      <c r="Y77" s="37">
        <f t="shared" si="18"/>
        <v>3.2064961177794368E-4</v>
      </c>
      <c r="AA77" s="31"/>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c r="A78" s="89">
        <f t="shared" si="20"/>
        <v>7.1645689261628798</v>
      </c>
      <c r="B78" s="71">
        <f t="shared" si="21"/>
        <v>56.611757463143533</v>
      </c>
      <c r="C78" s="1" t="s">
        <v>33</v>
      </c>
      <c r="D78" t="s">
        <v>724</v>
      </c>
      <c r="E78" s="37">
        <f>VLOOKUP($C78,$C$33:$Y$36,E$31,FALSE)*$C$42*$A78/8760/1000*INDEX('Bulb Weighting'!$B$2:$C$17,MATCH(RIGHT('SC-New'!$D78,LEN($D78)-7),'Bulb Weighting'!$B$3:$B$17,0)+1,2)</f>
        <v>9.6572958192675182E-3</v>
      </c>
      <c r="F78" s="37">
        <f>VLOOKUP($C78,$C$33:$Y$36,F$31,FALSE)*$C$42*$A78/8760/1000*INDEX('Bulb Weighting'!$B$2:$C$17,MATCH(RIGHT('SC-New'!$D78,LEN($D78)-7),'Bulb Weighting'!$B$3:$B$17,0)+1,2)</f>
        <v>0</v>
      </c>
      <c r="G78" s="37">
        <f>VLOOKUP($C78,$C$33:$Y$36,G$31,FALSE)*$C$42*$A78/8760/1000*INDEX('Bulb Weighting'!$B$2:$C$17,MATCH(RIGHT('SC-New'!$D78,LEN($D78)-7),'Bulb Weighting'!$B$3:$B$17,0)+1,2)</f>
        <v>0</v>
      </c>
      <c r="H78" s="37">
        <f>VLOOKUP($C78,$C$33:$Y$36,H$31,FALSE)*$C$42*$A78/8760/1000*INDEX('Bulb Weighting'!$B$2:$C$17,MATCH(RIGHT('SC-New'!$D78,LEN($D78)-7),'Bulb Weighting'!$B$3:$B$17,0)+1,2)</f>
        <v>0</v>
      </c>
      <c r="I78" s="37">
        <f>VLOOKUP($C78,$C$33:$Y$36,I$31,FALSE)*$C$42*$A78/8760/1000*INDEX('Bulb Weighting'!$B$2:$C$17,MATCH(RIGHT('SC-New'!$D78,LEN($D78)-7),'Bulb Weighting'!$B$3:$B$17,0)+1,2)</f>
        <v>0</v>
      </c>
      <c r="J78" s="37">
        <f>VLOOKUP($C78,$C$33:$Y$36,J$31,FALSE)*$C$42*$A78/8760/1000*INDEX('Bulb Weighting'!$B$2:$C$17,MATCH(RIGHT('SC-New'!$D78,LEN($D78)-7),'Bulb Weighting'!$B$3:$B$17,0)+1,2)</f>
        <v>0</v>
      </c>
      <c r="K78" s="37">
        <f>VLOOKUP($C78,$C$33:$Y$36,K$31,FALSE)*$C$42*$A78/8760/1000*INDEX('Bulb Weighting'!$B$2:$C$17,MATCH(RIGHT('SC-New'!$D78,LEN($D78)-7),'Bulb Weighting'!$B$3:$B$17,0)+1,2)</f>
        <v>0</v>
      </c>
      <c r="L78" s="37">
        <f>VLOOKUP($C78,$C$33:$Y$36,L$31,FALSE)*$C$42*$A78/8760/1000*INDEX('Bulb Weighting'!$B$2:$C$17,MATCH(RIGHT('SC-New'!$D78,LEN($D78)-7),'Bulb Weighting'!$B$3:$B$17,0)+1,2)</f>
        <v>0</v>
      </c>
      <c r="M78" s="37">
        <f>VLOOKUP($C78,$C$33:$Y$36,M$31,FALSE)*$C$42*$A78/8760/1000*INDEX('Bulb Weighting'!$B$2:$C$17,MATCH(RIGHT('SC-New'!$D78,LEN($D78)-7),'Bulb Weighting'!$B$3:$B$17,0)+1,2)</f>
        <v>0</v>
      </c>
      <c r="N78" s="37">
        <f>VLOOKUP($C78,$C$33:$Y$36,N$31,FALSE)*$C$42*$A78/8760/1000*INDEX('Bulb Weighting'!$B$2:$C$17,MATCH(RIGHT('SC-New'!$D78,LEN($D78)-7),'Bulb Weighting'!$B$3:$B$17,0)+1,2)</f>
        <v>0</v>
      </c>
      <c r="O78" s="37">
        <f>VLOOKUP($C78,$C$33:$Y$36,O$31,FALSE)*$C$42*$A78/8760/1000*INDEX('Bulb Weighting'!$B$2:$C$17,MATCH(RIGHT('SC-New'!$D78,LEN($D78)-7),'Bulb Weighting'!$B$3:$B$17,0)+1,2)</f>
        <v>0</v>
      </c>
      <c r="P78" s="37">
        <f>VLOOKUP($C78,$C$33:$Y$36,P$31,FALSE)*$C$42*$A78/8760/1000*INDEX('Bulb Weighting'!$B$2:$C$17,MATCH(RIGHT('SC-New'!$D78,LEN($D78)-7),'Bulb Weighting'!$B$3:$B$17,0)+1,2)</f>
        <v>0</v>
      </c>
      <c r="Q78" s="37">
        <f>VLOOKUP($C78,$C$33:$Y$36,Q$31,FALSE)*$C$42*$A78/8760/1000*INDEX('Bulb Weighting'!$B$2:$C$17,MATCH(RIGHT('SC-New'!$D78,LEN($D78)-7),'Bulb Weighting'!$B$3:$B$17,0)+1,2)</f>
        <v>0</v>
      </c>
      <c r="R78" s="37">
        <f>VLOOKUP($C78,$C$33:$Y$36,R$31,FALSE)*$C$42*$A78/8760/1000*INDEX('Bulb Weighting'!$B$2:$C$17,MATCH(RIGHT('SC-New'!$D78,LEN($D78)-7),'Bulb Weighting'!$B$3:$B$17,0)+1,2)</f>
        <v>0</v>
      </c>
      <c r="S78" s="37">
        <f>VLOOKUP($C78,$C$33:$Y$36,S$31,FALSE)*$C$42*$A78/8760/1000*INDEX('Bulb Weighting'!$B$2:$C$17,MATCH(RIGHT('SC-New'!$D78,LEN($D78)-7),'Bulb Weighting'!$B$3:$B$17,0)+1,2)</f>
        <v>0</v>
      </c>
      <c r="T78" s="37">
        <f>VLOOKUP($C78,$C$33:$Y$36,T$31,FALSE)*$C$42*$A78/8760/1000*INDEX('Bulb Weighting'!$B$2:$C$17,MATCH(RIGHT('SC-New'!$D78,LEN($D78)-7),'Bulb Weighting'!$B$3:$B$17,0)+1,2)</f>
        <v>0</v>
      </c>
      <c r="U78" s="37">
        <f>VLOOKUP($C78,$C$33:$Y$36,U$31,FALSE)*$C$42*$A78/8760/1000*INDEX('Bulb Weighting'!$B$2:$C$17,MATCH(RIGHT('SC-New'!$D78,LEN($D78)-7),'Bulb Weighting'!$B$3:$B$17,0)+1,2)</f>
        <v>0</v>
      </c>
      <c r="V78" s="37">
        <f>VLOOKUP($C78,$C$33:$Y$36,V$31,FALSE)*$C$42*$A78/8760/1000*INDEX('Bulb Weighting'!$B$2:$C$17,MATCH(RIGHT('SC-New'!$D78,LEN($D78)-7),'Bulb Weighting'!$B$3:$B$17,0)+1,2)</f>
        <v>0</v>
      </c>
      <c r="W78" s="37">
        <f>VLOOKUP($C78,$C$33:$Y$36,W$31,FALSE)*$C$42*$A78/8760/1000*INDEX('Bulb Weighting'!$B$2:$C$17,MATCH(RIGHT('SC-New'!$D78,LEN($D78)-7),'Bulb Weighting'!$B$3:$B$17,0)+1,2)</f>
        <v>0</v>
      </c>
      <c r="X78" s="37">
        <f>VLOOKUP($C78,$C$33:$Y$36,X$31,FALSE)*$C$42*$A78/8760/1000*INDEX('Bulb Weighting'!$B$2:$C$17,MATCH(RIGHT('SC-New'!$D78,LEN($D78)-7),'Bulb Weighting'!$B$3:$B$17,0)+1,2)</f>
        <v>0</v>
      </c>
      <c r="Y78" s="37">
        <f t="shared" si="18"/>
        <v>9.6572958192675182E-3</v>
      </c>
      <c r="AA78" s="31"/>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c r="A79" s="89">
        <f t="shared" si="20"/>
        <v>13.386672313322151</v>
      </c>
      <c r="B79" s="71">
        <f t="shared" si="21"/>
        <v>91.063681093838966</v>
      </c>
      <c r="C79" s="1" t="s">
        <v>33</v>
      </c>
      <c r="D79" t="s">
        <v>726</v>
      </c>
      <c r="E79" s="37">
        <f>VLOOKUP($C79,$C$33:$Y$36,E$31,FALSE)*$C$42*$A79/8760/1000*INDEX('Bulb Weighting'!$B$2:$C$17,MATCH(RIGHT('SC-New'!$D79,LEN($D79)-7),'Bulb Weighting'!$B$3:$B$17,0)+1,2)</f>
        <v>1.799031822456538E-3</v>
      </c>
      <c r="F79" s="37">
        <f>VLOOKUP($C79,$C$33:$Y$36,F$31,FALSE)*$C$42*$A79/8760/1000*INDEX('Bulb Weighting'!$B$2:$C$17,MATCH(RIGHT('SC-New'!$D79,LEN($D79)-7),'Bulb Weighting'!$B$3:$B$17,0)+1,2)</f>
        <v>0</v>
      </c>
      <c r="G79" s="37">
        <f>VLOOKUP($C79,$C$33:$Y$36,G$31,FALSE)*$C$42*$A79/8760/1000*INDEX('Bulb Weighting'!$B$2:$C$17,MATCH(RIGHT('SC-New'!$D79,LEN($D79)-7),'Bulb Weighting'!$B$3:$B$17,0)+1,2)</f>
        <v>0</v>
      </c>
      <c r="H79" s="37">
        <f>VLOOKUP($C79,$C$33:$Y$36,H$31,FALSE)*$C$42*$A79/8760/1000*INDEX('Bulb Weighting'!$B$2:$C$17,MATCH(RIGHT('SC-New'!$D79,LEN($D79)-7),'Bulb Weighting'!$B$3:$B$17,0)+1,2)</f>
        <v>0</v>
      </c>
      <c r="I79" s="37">
        <f>VLOOKUP($C79,$C$33:$Y$36,I$31,FALSE)*$C$42*$A79/8760/1000*INDEX('Bulb Weighting'!$B$2:$C$17,MATCH(RIGHT('SC-New'!$D79,LEN($D79)-7),'Bulb Weighting'!$B$3:$B$17,0)+1,2)</f>
        <v>0</v>
      </c>
      <c r="J79" s="37">
        <f>VLOOKUP($C79,$C$33:$Y$36,J$31,FALSE)*$C$42*$A79/8760/1000*INDEX('Bulb Weighting'!$B$2:$C$17,MATCH(RIGHT('SC-New'!$D79,LEN($D79)-7),'Bulb Weighting'!$B$3:$B$17,0)+1,2)</f>
        <v>0</v>
      </c>
      <c r="K79" s="37">
        <f>VLOOKUP($C79,$C$33:$Y$36,K$31,FALSE)*$C$42*$A79/8760/1000*INDEX('Bulb Weighting'!$B$2:$C$17,MATCH(RIGHT('SC-New'!$D79,LEN($D79)-7),'Bulb Weighting'!$B$3:$B$17,0)+1,2)</f>
        <v>0</v>
      </c>
      <c r="L79" s="37">
        <f>VLOOKUP($C79,$C$33:$Y$36,L$31,FALSE)*$C$42*$A79/8760/1000*INDEX('Bulb Weighting'!$B$2:$C$17,MATCH(RIGHT('SC-New'!$D79,LEN($D79)-7),'Bulb Weighting'!$B$3:$B$17,0)+1,2)</f>
        <v>0</v>
      </c>
      <c r="M79" s="37">
        <f>VLOOKUP($C79,$C$33:$Y$36,M$31,FALSE)*$C$42*$A79/8760/1000*INDEX('Bulb Weighting'!$B$2:$C$17,MATCH(RIGHT('SC-New'!$D79,LEN($D79)-7),'Bulb Weighting'!$B$3:$B$17,0)+1,2)</f>
        <v>0</v>
      </c>
      <c r="N79" s="37">
        <f>VLOOKUP($C79,$C$33:$Y$36,N$31,FALSE)*$C$42*$A79/8760/1000*INDEX('Bulb Weighting'!$B$2:$C$17,MATCH(RIGHT('SC-New'!$D79,LEN($D79)-7),'Bulb Weighting'!$B$3:$B$17,0)+1,2)</f>
        <v>0</v>
      </c>
      <c r="O79" s="37">
        <f>VLOOKUP($C79,$C$33:$Y$36,O$31,FALSE)*$C$42*$A79/8760/1000*INDEX('Bulb Weighting'!$B$2:$C$17,MATCH(RIGHT('SC-New'!$D79,LEN($D79)-7),'Bulb Weighting'!$B$3:$B$17,0)+1,2)</f>
        <v>0</v>
      </c>
      <c r="P79" s="37">
        <f>VLOOKUP($C79,$C$33:$Y$36,P$31,FALSE)*$C$42*$A79/8760/1000*INDEX('Bulb Weighting'!$B$2:$C$17,MATCH(RIGHT('SC-New'!$D79,LEN($D79)-7),'Bulb Weighting'!$B$3:$B$17,0)+1,2)</f>
        <v>0</v>
      </c>
      <c r="Q79" s="37">
        <f>VLOOKUP($C79,$C$33:$Y$36,Q$31,FALSE)*$C$42*$A79/8760/1000*INDEX('Bulb Weighting'!$B$2:$C$17,MATCH(RIGHT('SC-New'!$D79,LEN($D79)-7),'Bulb Weighting'!$B$3:$B$17,0)+1,2)</f>
        <v>0</v>
      </c>
      <c r="R79" s="37">
        <f>VLOOKUP($C79,$C$33:$Y$36,R$31,FALSE)*$C$42*$A79/8760/1000*INDEX('Bulb Weighting'!$B$2:$C$17,MATCH(RIGHT('SC-New'!$D79,LEN($D79)-7),'Bulb Weighting'!$B$3:$B$17,0)+1,2)</f>
        <v>0</v>
      </c>
      <c r="S79" s="37">
        <f>VLOOKUP($C79,$C$33:$Y$36,S$31,FALSE)*$C$42*$A79/8760/1000*INDEX('Bulb Weighting'!$B$2:$C$17,MATCH(RIGHT('SC-New'!$D79,LEN($D79)-7),'Bulb Weighting'!$B$3:$B$17,0)+1,2)</f>
        <v>0</v>
      </c>
      <c r="T79" s="37">
        <f>VLOOKUP($C79,$C$33:$Y$36,T$31,FALSE)*$C$42*$A79/8760/1000*INDEX('Bulb Weighting'!$B$2:$C$17,MATCH(RIGHT('SC-New'!$D79,LEN($D79)-7),'Bulb Weighting'!$B$3:$B$17,0)+1,2)</f>
        <v>0</v>
      </c>
      <c r="U79" s="37">
        <f>VLOOKUP($C79,$C$33:$Y$36,U$31,FALSE)*$C$42*$A79/8760/1000*INDEX('Bulb Weighting'!$B$2:$C$17,MATCH(RIGHT('SC-New'!$D79,LEN($D79)-7),'Bulb Weighting'!$B$3:$B$17,0)+1,2)</f>
        <v>0</v>
      </c>
      <c r="V79" s="37">
        <f>VLOOKUP($C79,$C$33:$Y$36,V$31,FALSE)*$C$42*$A79/8760/1000*INDEX('Bulb Weighting'!$B$2:$C$17,MATCH(RIGHT('SC-New'!$D79,LEN($D79)-7),'Bulb Weighting'!$B$3:$B$17,0)+1,2)</f>
        <v>0</v>
      </c>
      <c r="W79" s="37">
        <f>VLOOKUP($C79,$C$33:$Y$36,W$31,FALSE)*$C$42*$A79/8760/1000*INDEX('Bulb Weighting'!$B$2:$C$17,MATCH(RIGHT('SC-New'!$D79,LEN($D79)-7),'Bulb Weighting'!$B$3:$B$17,0)+1,2)</f>
        <v>0</v>
      </c>
      <c r="X79" s="37">
        <f>VLOOKUP($C79,$C$33:$Y$36,X$31,FALSE)*$C$42*$A79/8760/1000*INDEX('Bulb Weighting'!$B$2:$C$17,MATCH(RIGHT('SC-New'!$D79,LEN($D79)-7),'Bulb Weighting'!$B$3:$B$17,0)+1,2)</f>
        <v>0</v>
      </c>
      <c r="Y79" s="37">
        <f t="shared" si="18"/>
        <v>1.799031822456538E-3</v>
      </c>
      <c r="AA79" s="31"/>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c r="A80" s="89">
        <f t="shared" si="20"/>
        <v>14.33449498481688</v>
      </c>
      <c r="B80" s="71">
        <f t="shared" si="21"/>
        <v>-37.397069706053522</v>
      </c>
      <c r="C80" s="1" t="s">
        <v>33</v>
      </c>
      <c r="D80" t="s">
        <v>728</v>
      </c>
      <c r="E80" s="37">
        <f>VLOOKUP($C80,$C$33:$Y$36,E$31,FALSE)*$C$42*$A80/8760/1000*INDEX('Bulb Weighting'!$B$2:$C$17,MATCH(RIGHT('SC-New'!$D80,LEN($D80)-7),'Bulb Weighting'!$B$3:$B$17,0)+1,2)</f>
        <v>1.6464559052757678E-3</v>
      </c>
      <c r="F80" s="37">
        <f>VLOOKUP($C80,$C$33:$Y$36,F$31,FALSE)*$C$42*$A80/8760/1000*INDEX('Bulb Weighting'!$B$2:$C$17,MATCH(RIGHT('SC-New'!$D80,LEN($D80)-7),'Bulb Weighting'!$B$3:$B$17,0)+1,2)</f>
        <v>0</v>
      </c>
      <c r="G80" s="37">
        <f>VLOOKUP($C80,$C$33:$Y$36,G$31,FALSE)*$C$42*$A80/8760/1000*INDEX('Bulb Weighting'!$B$2:$C$17,MATCH(RIGHT('SC-New'!$D80,LEN($D80)-7),'Bulb Weighting'!$B$3:$B$17,0)+1,2)</f>
        <v>0</v>
      </c>
      <c r="H80" s="37">
        <f>VLOOKUP($C80,$C$33:$Y$36,H$31,FALSE)*$C$42*$A80/8760/1000*INDEX('Bulb Weighting'!$B$2:$C$17,MATCH(RIGHT('SC-New'!$D80,LEN($D80)-7),'Bulb Weighting'!$B$3:$B$17,0)+1,2)</f>
        <v>0</v>
      </c>
      <c r="I80" s="37">
        <f>VLOOKUP($C80,$C$33:$Y$36,I$31,FALSE)*$C$42*$A80/8760/1000*INDEX('Bulb Weighting'!$B$2:$C$17,MATCH(RIGHT('SC-New'!$D80,LEN($D80)-7),'Bulb Weighting'!$B$3:$B$17,0)+1,2)</f>
        <v>0</v>
      </c>
      <c r="J80" s="37">
        <f>VLOOKUP($C80,$C$33:$Y$36,J$31,FALSE)*$C$42*$A80/8760/1000*INDEX('Bulb Weighting'!$B$2:$C$17,MATCH(RIGHT('SC-New'!$D80,LEN($D80)-7),'Bulb Weighting'!$B$3:$B$17,0)+1,2)</f>
        <v>0</v>
      </c>
      <c r="K80" s="37">
        <f>VLOOKUP($C80,$C$33:$Y$36,K$31,FALSE)*$C$42*$A80/8760/1000*INDEX('Bulb Weighting'!$B$2:$C$17,MATCH(RIGHT('SC-New'!$D80,LEN($D80)-7),'Bulb Weighting'!$B$3:$B$17,0)+1,2)</f>
        <v>0</v>
      </c>
      <c r="L80" s="37">
        <f>VLOOKUP($C80,$C$33:$Y$36,L$31,FALSE)*$C$42*$A80/8760/1000*INDEX('Bulb Weighting'!$B$2:$C$17,MATCH(RIGHT('SC-New'!$D80,LEN($D80)-7),'Bulb Weighting'!$B$3:$B$17,0)+1,2)</f>
        <v>0</v>
      </c>
      <c r="M80" s="37">
        <f>VLOOKUP($C80,$C$33:$Y$36,M$31,FALSE)*$C$42*$A80/8760/1000*INDEX('Bulb Weighting'!$B$2:$C$17,MATCH(RIGHT('SC-New'!$D80,LEN($D80)-7),'Bulb Weighting'!$B$3:$B$17,0)+1,2)</f>
        <v>0</v>
      </c>
      <c r="N80" s="37">
        <f>VLOOKUP($C80,$C$33:$Y$36,N$31,FALSE)*$C$42*$A80/8760/1000*INDEX('Bulb Weighting'!$B$2:$C$17,MATCH(RIGHT('SC-New'!$D80,LEN($D80)-7),'Bulb Weighting'!$B$3:$B$17,0)+1,2)</f>
        <v>0</v>
      </c>
      <c r="O80" s="37">
        <f>VLOOKUP($C80,$C$33:$Y$36,O$31,FALSE)*$C$42*$A80/8760/1000*INDEX('Bulb Weighting'!$B$2:$C$17,MATCH(RIGHT('SC-New'!$D80,LEN($D80)-7),'Bulb Weighting'!$B$3:$B$17,0)+1,2)</f>
        <v>0</v>
      </c>
      <c r="P80" s="37">
        <f>VLOOKUP($C80,$C$33:$Y$36,P$31,FALSE)*$C$42*$A80/8760/1000*INDEX('Bulb Weighting'!$B$2:$C$17,MATCH(RIGHT('SC-New'!$D80,LEN($D80)-7),'Bulb Weighting'!$B$3:$B$17,0)+1,2)</f>
        <v>0</v>
      </c>
      <c r="Q80" s="37">
        <f>VLOOKUP($C80,$C$33:$Y$36,Q$31,FALSE)*$C$42*$A80/8760/1000*INDEX('Bulb Weighting'!$B$2:$C$17,MATCH(RIGHT('SC-New'!$D80,LEN($D80)-7),'Bulb Weighting'!$B$3:$B$17,0)+1,2)</f>
        <v>0</v>
      </c>
      <c r="R80" s="37">
        <f>VLOOKUP($C80,$C$33:$Y$36,R$31,FALSE)*$C$42*$A80/8760/1000*INDEX('Bulb Weighting'!$B$2:$C$17,MATCH(RIGHT('SC-New'!$D80,LEN($D80)-7),'Bulb Weighting'!$B$3:$B$17,0)+1,2)</f>
        <v>0</v>
      </c>
      <c r="S80" s="37">
        <f>VLOOKUP($C80,$C$33:$Y$36,S$31,FALSE)*$C$42*$A80/8760/1000*INDEX('Bulb Weighting'!$B$2:$C$17,MATCH(RIGHT('SC-New'!$D80,LEN($D80)-7),'Bulb Weighting'!$B$3:$B$17,0)+1,2)</f>
        <v>0</v>
      </c>
      <c r="T80" s="37">
        <f>VLOOKUP($C80,$C$33:$Y$36,T$31,FALSE)*$C$42*$A80/8760/1000*INDEX('Bulb Weighting'!$B$2:$C$17,MATCH(RIGHT('SC-New'!$D80,LEN($D80)-7),'Bulb Weighting'!$B$3:$B$17,0)+1,2)</f>
        <v>0</v>
      </c>
      <c r="U80" s="37">
        <f>VLOOKUP($C80,$C$33:$Y$36,U$31,FALSE)*$C$42*$A80/8760/1000*INDEX('Bulb Weighting'!$B$2:$C$17,MATCH(RIGHT('SC-New'!$D80,LEN($D80)-7),'Bulb Weighting'!$B$3:$B$17,0)+1,2)</f>
        <v>0</v>
      </c>
      <c r="V80" s="37">
        <f>VLOOKUP($C80,$C$33:$Y$36,V$31,FALSE)*$C$42*$A80/8760/1000*INDEX('Bulb Weighting'!$B$2:$C$17,MATCH(RIGHT('SC-New'!$D80,LEN($D80)-7),'Bulb Weighting'!$B$3:$B$17,0)+1,2)</f>
        <v>0</v>
      </c>
      <c r="W80" s="37">
        <f>VLOOKUP($C80,$C$33:$Y$36,W$31,FALSE)*$C$42*$A80/8760/1000*INDEX('Bulb Weighting'!$B$2:$C$17,MATCH(RIGHT('SC-New'!$D80,LEN($D80)-7),'Bulb Weighting'!$B$3:$B$17,0)+1,2)</f>
        <v>0</v>
      </c>
      <c r="X80" s="37">
        <f>VLOOKUP($C80,$C$33:$Y$36,X$31,FALSE)*$C$42*$A80/8760/1000*INDEX('Bulb Weighting'!$B$2:$C$17,MATCH(RIGHT('SC-New'!$D80,LEN($D80)-7),'Bulb Weighting'!$B$3:$B$17,0)+1,2)</f>
        <v>0</v>
      </c>
      <c r="Y80" s="37">
        <f t="shared" si="18"/>
        <v>1.6464559052757678E-3</v>
      </c>
      <c r="AA80" s="31"/>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c r="A81" s="89">
        <f t="shared" si="20"/>
        <v>9.8723739493112301</v>
      </c>
      <c r="B81" s="71">
        <f t="shared" si="21"/>
        <v>-94.996719014918995</v>
      </c>
      <c r="C81" s="1" t="s">
        <v>33</v>
      </c>
      <c r="D81" t="s">
        <v>730</v>
      </c>
      <c r="E81" s="37">
        <f>VLOOKUP($C81,$C$33:$Y$36,E$31,FALSE)*$C$42*$A81/8760/1000*INDEX('Bulb Weighting'!$B$2:$C$17,MATCH(RIGHT('SC-New'!$D81,LEN($D81)-7),'Bulb Weighting'!$B$3:$B$17,0)+1,2)</f>
        <v>6.9144640444736348E-4</v>
      </c>
      <c r="F81" s="37">
        <f>VLOOKUP($C81,$C$33:$Y$36,F$31,FALSE)*$C$42*$A81/8760/1000*INDEX('Bulb Weighting'!$B$2:$C$17,MATCH(RIGHT('SC-New'!$D81,LEN($D81)-7),'Bulb Weighting'!$B$3:$B$17,0)+1,2)</f>
        <v>0</v>
      </c>
      <c r="G81" s="37">
        <f>VLOOKUP($C81,$C$33:$Y$36,G$31,FALSE)*$C$42*$A81/8760/1000*INDEX('Bulb Weighting'!$B$2:$C$17,MATCH(RIGHT('SC-New'!$D81,LEN($D81)-7),'Bulb Weighting'!$B$3:$B$17,0)+1,2)</f>
        <v>0</v>
      </c>
      <c r="H81" s="37">
        <f>VLOOKUP($C81,$C$33:$Y$36,H$31,FALSE)*$C$42*$A81/8760/1000*INDEX('Bulb Weighting'!$B$2:$C$17,MATCH(RIGHT('SC-New'!$D81,LEN($D81)-7),'Bulb Weighting'!$B$3:$B$17,0)+1,2)</f>
        <v>0</v>
      </c>
      <c r="I81" s="37">
        <f>VLOOKUP($C81,$C$33:$Y$36,I$31,FALSE)*$C$42*$A81/8760/1000*INDEX('Bulb Weighting'!$B$2:$C$17,MATCH(RIGHT('SC-New'!$D81,LEN($D81)-7),'Bulb Weighting'!$B$3:$B$17,0)+1,2)</f>
        <v>0</v>
      </c>
      <c r="J81" s="37">
        <f>VLOOKUP($C81,$C$33:$Y$36,J$31,FALSE)*$C$42*$A81/8760/1000*INDEX('Bulb Weighting'!$B$2:$C$17,MATCH(RIGHT('SC-New'!$D81,LEN($D81)-7),'Bulb Weighting'!$B$3:$B$17,0)+1,2)</f>
        <v>0</v>
      </c>
      <c r="K81" s="37">
        <f>VLOOKUP($C81,$C$33:$Y$36,K$31,FALSE)*$C$42*$A81/8760/1000*INDEX('Bulb Weighting'!$B$2:$C$17,MATCH(RIGHT('SC-New'!$D81,LEN($D81)-7),'Bulb Weighting'!$B$3:$B$17,0)+1,2)</f>
        <v>0</v>
      </c>
      <c r="L81" s="37">
        <f>VLOOKUP($C81,$C$33:$Y$36,L$31,FALSE)*$C$42*$A81/8760/1000*INDEX('Bulb Weighting'!$B$2:$C$17,MATCH(RIGHT('SC-New'!$D81,LEN($D81)-7),'Bulb Weighting'!$B$3:$B$17,0)+1,2)</f>
        <v>0</v>
      </c>
      <c r="M81" s="37">
        <f>VLOOKUP($C81,$C$33:$Y$36,M$31,FALSE)*$C$42*$A81/8760/1000*INDEX('Bulb Weighting'!$B$2:$C$17,MATCH(RIGHT('SC-New'!$D81,LEN($D81)-7),'Bulb Weighting'!$B$3:$B$17,0)+1,2)</f>
        <v>0</v>
      </c>
      <c r="N81" s="37">
        <f>VLOOKUP($C81,$C$33:$Y$36,N$31,FALSE)*$C$42*$A81/8760/1000*INDEX('Bulb Weighting'!$B$2:$C$17,MATCH(RIGHT('SC-New'!$D81,LEN($D81)-7),'Bulb Weighting'!$B$3:$B$17,0)+1,2)</f>
        <v>0</v>
      </c>
      <c r="O81" s="37">
        <f>VLOOKUP($C81,$C$33:$Y$36,O$31,FALSE)*$C$42*$A81/8760/1000*INDEX('Bulb Weighting'!$B$2:$C$17,MATCH(RIGHT('SC-New'!$D81,LEN($D81)-7),'Bulb Weighting'!$B$3:$B$17,0)+1,2)</f>
        <v>0</v>
      </c>
      <c r="P81" s="37">
        <f>VLOOKUP($C81,$C$33:$Y$36,P$31,FALSE)*$C$42*$A81/8760/1000*INDEX('Bulb Weighting'!$B$2:$C$17,MATCH(RIGHT('SC-New'!$D81,LEN($D81)-7),'Bulb Weighting'!$B$3:$B$17,0)+1,2)</f>
        <v>0</v>
      </c>
      <c r="Q81" s="37">
        <f>VLOOKUP($C81,$C$33:$Y$36,Q$31,FALSE)*$C$42*$A81/8760/1000*INDEX('Bulb Weighting'!$B$2:$C$17,MATCH(RIGHT('SC-New'!$D81,LEN($D81)-7),'Bulb Weighting'!$B$3:$B$17,0)+1,2)</f>
        <v>0</v>
      </c>
      <c r="R81" s="37">
        <f>VLOOKUP($C81,$C$33:$Y$36,R$31,FALSE)*$C$42*$A81/8760/1000*INDEX('Bulb Weighting'!$B$2:$C$17,MATCH(RIGHT('SC-New'!$D81,LEN($D81)-7),'Bulb Weighting'!$B$3:$B$17,0)+1,2)</f>
        <v>0</v>
      </c>
      <c r="S81" s="37">
        <f>VLOOKUP($C81,$C$33:$Y$36,S$31,FALSE)*$C$42*$A81/8760/1000*INDEX('Bulb Weighting'!$B$2:$C$17,MATCH(RIGHT('SC-New'!$D81,LEN($D81)-7),'Bulb Weighting'!$B$3:$B$17,0)+1,2)</f>
        <v>0</v>
      </c>
      <c r="T81" s="37">
        <f>VLOOKUP($C81,$C$33:$Y$36,T$31,FALSE)*$C$42*$A81/8760/1000*INDEX('Bulb Weighting'!$B$2:$C$17,MATCH(RIGHT('SC-New'!$D81,LEN($D81)-7),'Bulb Weighting'!$B$3:$B$17,0)+1,2)</f>
        <v>0</v>
      </c>
      <c r="U81" s="37">
        <f>VLOOKUP($C81,$C$33:$Y$36,U$31,FALSE)*$C$42*$A81/8760/1000*INDEX('Bulb Weighting'!$B$2:$C$17,MATCH(RIGHT('SC-New'!$D81,LEN($D81)-7),'Bulb Weighting'!$B$3:$B$17,0)+1,2)</f>
        <v>0</v>
      </c>
      <c r="V81" s="37">
        <f>VLOOKUP($C81,$C$33:$Y$36,V$31,FALSE)*$C$42*$A81/8760/1000*INDEX('Bulb Weighting'!$B$2:$C$17,MATCH(RIGHT('SC-New'!$D81,LEN($D81)-7),'Bulb Weighting'!$B$3:$B$17,0)+1,2)</f>
        <v>0</v>
      </c>
      <c r="W81" s="37">
        <f>VLOOKUP($C81,$C$33:$Y$36,W$31,FALSE)*$C$42*$A81/8760/1000*INDEX('Bulb Weighting'!$B$2:$C$17,MATCH(RIGHT('SC-New'!$D81,LEN($D81)-7),'Bulb Weighting'!$B$3:$B$17,0)+1,2)</f>
        <v>0</v>
      </c>
      <c r="X81" s="37">
        <f>VLOOKUP($C81,$C$33:$Y$36,X$31,FALSE)*$C$42*$A81/8760/1000*INDEX('Bulb Weighting'!$B$2:$C$17,MATCH(RIGHT('SC-New'!$D81,LEN($D81)-7),'Bulb Weighting'!$B$3:$B$17,0)+1,2)</f>
        <v>0</v>
      </c>
      <c r="Y81" s="37">
        <f t="shared" si="18"/>
        <v>6.9144640444736348E-4</v>
      </c>
      <c r="AA81" s="3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c r="A82" s="89">
        <f t="shared" si="20"/>
        <v>10.681196090262945</v>
      </c>
      <c r="B82" s="71">
        <f t="shared" si="21"/>
        <v>-99.87829920820603</v>
      </c>
      <c r="C82" s="1" t="s">
        <v>33</v>
      </c>
      <c r="D82" t="s">
        <v>732</v>
      </c>
      <c r="E82" s="37">
        <f>VLOOKUP($C82,$C$33:$Y$36,E$31,FALSE)*$C$42*$A82/8760/1000*INDEX('Bulb Weighting'!$B$2:$C$17,MATCH(RIGHT('SC-New'!$D82,LEN($D82)-7),'Bulb Weighting'!$B$3:$B$17,0)+1,2)</f>
        <v>5.6369576251378797E-5</v>
      </c>
      <c r="F82" s="37">
        <f>VLOOKUP($C82,$C$33:$Y$36,F$31,FALSE)*$C$42*$A82/8760/1000*INDEX('Bulb Weighting'!$B$2:$C$17,MATCH(RIGHT('SC-New'!$D82,LEN($D82)-7),'Bulb Weighting'!$B$3:$B$17,0)+1,2)</f>
        <v>0</v>
      </c>
      <c r="G82" s="37">
        <f>VLOOKUP($C82,$C$33:$Y$36,G$31,FALSE)*$C$42*$A82/8760/1000*INDEX('Bulb Weighting'!$B$2:$C$17,MATCH(RIGHT('SC-New'!$D82,LEN($D82)-7),'Bulb Weighting'!$B$3:$B$17,0)+1,2)</f>
        <v>0</v>
      </c>
      <c r="H82" s="37">
        <f>VLOOKUP($C82,$C$33:$Y$36,H$31,FALSE)*$C$42*$A82/8760/1000*INDEX('Bulb Weighting'!$B$2:$C$17,MATCH(RIGHT('SC-New'!$D82,LEN($D82)-7),'Bulb Weighting'!$B$3:$B$17,0)+1,2)</f>
        <v>0</v>
      </c>
      <c r="I82" s="37">
        <f>VLOOKUP($C82,$C$33:$Y$36,I$31,FALSE)*$C$42*$A82/8760/1000*INDEX('Bulb Weighting'!$B$2:$C$17,MATCH(RIGHT('SC-New'!$D82,LEN($D82)-7),'Bulb Weighting'!$B$3:$B$17,0)+1,2)</f>
        <v>0</v>
      </c>
      <c r="J82" s="37">
        <f>VLOOKUP($C82,$C$33:$Y$36,J$31,FALSE)*$C$42*$A82/8760/1000*INDEX('Bulb Weighting'!$B$2:$C$17,MATCH(RIGHT('SC-New'!$D82,LEN($D82)-7),'Bulb Weighting'!$B$3:$B$17,0)+1,2)</f>
        <v>0</v>
      </c>
      <c r="K82" s="37">
        <f>VLOOKUP($C82,$C$33:$Y$36,K$31,FALSE)*$C$42*$A82/8760/1000*INDEX('Bulb Weighting'!$B$2:$C$17,MATCH(RIGHT('SC-New'!$D82,LEN($D82)-7),'Bulb Weighting'!$B$3:$B$17,0)+1,2)</f>
        <v>0</v>
      </c>
      <c r="L82" s="37">
        <f>VLOOKUP($C82,$C$33:$Y$36,L$31,FALSE)*$C$42*$A82/8760/1000*INDEX('Bulb Weighting'!$B$2:$C$17,MATCH(RIGHT('SC-New'!$D82,LEN($D82)-7),'Bulb Weighting'!$B$3:$B$17,0)+1,2)</f>
        <v>0</v>
      </c>
      <c r="M82" s="37">
        <f>VLOOKUP($C82,$C$33:$Y$36,M$31,FALSE)*$C$42*$A82/8760/1000*INDEX('Bulb Weighting'!$B$2:$C$17,MATCH(RIGHT('SC-New'!$D82,LEN($D82)-7),'Bulb Weighting'!$B$3:$B$17,0)+1,2)</f>
        <v>0</v>
      </c>
      <c r="N82" s="37">
        <f>VLOOKUP($C82,$C$33:$Y$36,N$31,FALSE)*$C$42*$A82/8760/1000*INDEX('Bulb Weighting'!$B$2:$C$17,MATCH(RIGHT('SC-New'!$D82,LEN($D82)-7),'Bulb Weighting'!$B$3:$B$17,0)+1,2)</f>
        <v>0</v>
      </c>
      <c r="O82" s="37">
        <f>VLOOKUP($C82,$C$33:$Y$36,O$31,FALSE)*$C$42*$A82/8760/1000*INDEX('Bulb Weighting'!$B$2:$C$17,MATCH(RIGHT('SC-New'!$D82,LEN($D82)-7),'Bulb Weighting'!$B$3:$B$17,0)+1,2)</f>
        <v>0</v>
      </c>
      <c r="P82" s="37">
        <f>VLOOKUP($C82,$C$33:$Y$36,P$31,FALSE)*$C$42*$A82/8760/1000*INDEX('Bulb Weighting'!$B$2:$C$17,MATCH(RIGHT('SC-New'!$D82,LEN($D82)-7),'Bulb Weighting'!$B$3:$B$17,0)+1,2)</f>
        <v>0</v>
      </c>
      <c r="Q82" s="37">
        <f>VLOOKUP($C82,$C$33:$Y$36,Q$31,FALSE)*$C$42*$A82/8760/1000*INDEX('Bulb Weighting'!$B$2:$C$17,MATCH(RIGHT('SC-New'!$D82,LEN($D82)-7),'Bulb Weighting'!$B$3:$B$17,0)+1,2)</f>
        <v>0</v>
      </c>
      <c r="R82" s="37">
        <f>VLOOKUP($C82,$C$33:$Y$36,R$31,FALSE)*$C$42*$A82/8760/1000*INDEX('Bulb Weighting'!$B$2:$C$17,MATCH(RIGHT('SC-New'!$D82,LEN($D82)-7),'Bulb Weighting'!$B$3:$B$17,0)+1,2)</f>
        <v>0</v>
      </c>
      <c r="S82" s="37">
        <f>VLOOKUP($C82,$C$33:$Y$36,S$31,FALSE)*$C$42*$A82/8760/1000*INDEX('Bulb Weighting'!$B$2:$C$17,MATCH(RIGHT('SC-New'!$D82,LEN($D82)-7),'Bulb Weighting'!$B$3:$B$17,0)+1,2)</f>
        <v>0</v>
      </c>
      <c r="T82" s="37">
        <f>VLOOKUP($C82,$C$33:$Y$36,T$31,FALSE)*$C$42*$A82/8760/1000*INDEX('Bulb Weighting'!$B$2:$C$17,MATCH(RIGHT('SC-New'!$D82,LEN($D82)-7),'Bulb Weighting'!$B$3:$B$17,0)+1,2)</f>
        <v>0</v>
      </c>
      <c r="U82" s="37">
        <f>VLOOKUP($C82,$C$33:$Y$36,U$31,FALSE)*$C$42*$A82/8760/1000*INDEX('Bulb Weighting'!$B$2:$C$17,MATCH(RIGHT('SC-New'!$D82,LEN($D82)-7),'Bulb Weighting'!$B$3:$B$17,0)+1,2)</f>
        <v>0</v>
      </c>
      <c r="V82" s="37">
        <f>VLOOKUP($C82,$C$33:$Y$36,V$31,FALSE)*$C$42*$A82/8760/1000*INDEX('Bulb Weighting'!$B$2:$C$17,MATCH(RIGHT('SC-New'!$D82,LEN($D82)-7),'Bulb Weighting'!$B$3:$B$17,0)+1,2)</f>
        <v>0</v>
      </c>
      <c r="W82" s="37">
        <f>VLOOKUP($C82,$C$33:$Y$36,W$31,FALSE)*$C$42*$A82/8760/1000*INDEX('Bulb Weighting'!$B$2:$C$17,MATCH(RIGHT('SC-New'!$D82,LEN($D82)-7),'Bulb Weighting'!$B$3:$B$17,0)+1,2)</f>
        <v>0</v>
      </c>
      <c r="X82" s="37">
        <f>VLOOKUP($C82,$C$33:$Y$36,X$31,FALSE)*$C$42*$A82/8760/1000*INDEX('Bulb Weighting'!$B$2:$C$17,MATCH(RIGHT('SC-New'!$D82,LEN($D82)-7),'Bulb Weighting'!$B$3:$B$17,0)+1,2)</f>
        <v>0</v>
      </c>
      <c r="Y82" s="37">
        <f t="shared" si="18"/>
        <v>5.6369576251378797E-5</v>
      </c>
      <c r="AA82" s="31"/>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c r="A83" s="89">
        <f t="shared" si="20"/>
        <v>20.374790406766845</v>
      </c>
      <c r="B83" s="71">
        <f t="shared" si="21"/>
        <v>-38.377975660533203</v>
      </c>
      <c r="C83" s="1" t="s">
        <v>33</v>
      </c>
      <c r="D83" t="s">
        <v>734</v>
      </c>
      <c r="E83" s="37">
        <f>VLOOKUP($C83,$C$33:$Y$36,E$31,FALSE)*$C$42*$A83/8760/1000*INDEX('Bulb Weighting'!$B$2:$C$17,MATCH(RIGHT('SC-New'!$D83,LEN($D83)-7),'Bulb Weighting'!$B$3:$B$17,0)+1,2)</f>
        <v>7.4438203993573617E-4</v>
      </c>
      <c r="F83" s="37">
        <f>VLOOKUP($C83,$C$33:$Y$36,F$31,FALSE)*$C$42*$A83/8760/1000*INDEX('Bulb Weighting'!$B$2:$C$17,MATCH(RIGHT('SC-New'!$D83,LEN($D83)-7),'Bulb Weighting'!$B$3:$B$17,0)+1,2)</f>
        <v>0</v>
      </c>
      <c r="G83" s="37">
        <f>VLOOKUP($C83,$C$33:$Y$36,G$31,FALSE)*$C$42*$A83/8760/1000*INDEX('Bulb Weighting'!$B$2:$C$17,MATCH(RIGHT('SC-New'!$D83,LEN($D83)-7),'Bulb Weighting'!$B$3:$B$17,0)+1,2)</f>
        <v>0</v>
      </c>
      <c r="H83" s="37">
        <f>VLOOKUP($C83,$C$33:$Y$36,H$31,FALSE)*$C$42*$A83/8760/1000*INDEX('Bulb Weighting'!$B$2:$C$17,MATCH(RIGHT('SC-New'!$D83,LEN($D83)-7),'Bulb Weighting'!$B$3:$B$17,0)+1,2)</f>
        <v>0</v>
      </c>
      <c r="I83" s="37">
        <f>VLOOKUP($C83,$C$33:$Y$36,I$31,FALSE)*$C$42*$A83/8760/1000*INDEX('Bulb Weighting'!$B$2:$C$17,MATCH(RIGHT('SC-New'!$D83,LEN($D83)-7),'Bulb Weighting'!$B$3:$B$17,0)+1,2)</f>
        <v>0</v>
      </c>
      <c r="J83" s="37">
        <f>VLOOKUP($C83,$C$33:$Y$36,J$31,FALSE)*$C$42*$A83/8760/1000*INDEX('Bulb Weighting'!$B$2:$C$17,MATCH(RIGHT('SC-New'!$D83,LEN($D83)-7),'Bulb Weighting'!$B$3:$B$17,0)+1,2)</f>
        <v>0</v>
      </c>
      <c r="K83" s="37">
        <f>VLOOKUP($C83,$C$33:$Y$36,K$31,FALSE)*$C$42*$A83/8760/1000*INDEX('Bulb Weighting'!$B$2:$C$17,MATCH(RIGHT('SC-New'!$D83,LEN($D83)-7),'Bulb Weighting'!$B$3:$B$17,0)+1,2)</f>
        <v>0</v>
      </c>
      <c r="L83" s="37">
        <f>VLOOKUP($C83,$C$33:$Y$36,L$31,FALSE)*$C$42*$A83/8760/1000*INDEX('Bulb Weighting'!$B$2:$C$17,MATCH(RIGHT('SC-New'!$D83,LEN($D83)-7),'Bulb Weighting'!$B$3:$B$17,0)+1,2)</f>
        <v>0</v>
      </c>
      <c r="M83" s="37">
        <f>VLOOKUP($C83,$C$33:$Y$36,M$31,FALSE)*$C$42*$A83/8760/1000*INDEX('Bulb Weighting'!$B$2:$C$17,MATCH(RIGHT('SC-New'!$D83,LEN($D83)-7),'Bulb Weighting'!$B$3:$B$17,0)+1,2)</f>
        <v>0</v>
      </c>
      <c r="N83" s="37">
        <f>VLOOKUP($C83,$C$33:$Y$36,N$31,FALSE)*$C$42*$A83/8760/1000*INDEX('Bulb Weighting'!$B$2:$C$17,MATCH(RIGHT('SC-New'!$D83,LEN($D83)-7),'Bulb Weighting'!$B$3:$B$17,0)+1,2)</f>
        <v>0</v>
      </c>
      <c r="O83" s="37">
        <f>VLOOKUP($C83,$C$33:$Y$36,O$31,FALSE)*$C$42*$A83/8760/1000*INDEX('Bulb Weighting'!$B$2:$C$17,MATCH(RIGHT('SC-New'!$D83,LEN($D83)-7),'Bulb Weighting'!$B$3:$B$17,0)+1,2)</f>
        <v>0</v>
      </c>
      <c r="P83" s="37">
        <f>VLOOKUP($C83,$C$33:$Y$36,P$31,FALSE)*$C$42*$A83/8760/1000*INDEX('Bulb Weighting'!$B$2:$C$17,MATCH(RIGHT('SC-New'!$D83,LEN($D83)-7),'Bulb Weighting'!$B$3:$B$17,0)+1,2)</f>
        <v>0</v>
      </c>
      <c r="Q83" s="37">
        <f>VLOOKUP($C83,$C$33:$Y$36,Q$31,FALSE)*$C$42*$A83/8760/1000*INDEX('Bulb Weighting'!$B$2:$C$17,MATCH(RIGHT('SC-New'!$D83,LEN($D83)-7),'Bulb Weighting'!$B$3:$B$17,0)+1,2)</f>
        <v>0</v>
      </c>
      <c r="R83" s="37">
        <f>VLOOKUP($C83,$C$33:$Y$36,R$31,FALSE)*$C$42*$A83/8760/1000*INDEX('Bulb Weighting'!$B$2:$C$17,MATCH(RIGHT('SC-New'!$D83,LEN($D83)-7),'Bulb Weighting'!$B$3:$B$17,0)+1,2)</f>
        <v>0</v>
      </c>
      <c r="S83" s="37">
        <f>VLOOKUP($C83,$C$33:$Y$36,S$31,FALSE)*$C$42*$A83/8760/1000*INDEX('Bulb Weighting'!$B$2:$C$17,MATCH(RIGHT('SC-New'!$D83,LEN($D83)-7),'Bulb Weighting'!$B$3:$B$17,0)+1,2)</f>
        <v>0</v>
      </c>
      <c r="T83" s="37">
        <f>VLOOKUP($C83,$C$33:$Y$36,T$31,FALSE)*$C$42*$A83/8760/1000*INDEX('Bulb Weighting'!$B$2:$C$17,MATCH(RIGHT('SC-New'!$D83,LEN($D83)-7),'Bulb Weighting'!$B$3:$B$17,0)+1,2)</f>
        <v>0</v>
      </c>
      <c r="U83" s="37">
        <f>VLOOKUP($C83,$C$33:$Y$36,U$31,FALSE)*$C$42*$A83/8760/1000*INDEX('Bulb Weighting'!$B$2:$C$17,MATCH(RIGHT('SC-New'!$D83,LEN($D83)-7),'Bulb Weighting'!$B$3:$B$17,0)+1,2)</f>
        <v>0</v>
      </c>
      <c r="V83" s="37">
        <f>VLOOKUP($C83,$C$33:$Y$36,V$31,FALSE)*$C$42*$A83/8760/1000*INDEX('Bulb Weighting'!$B$2:$C$17,MATCH(RIGHT('SC-New'!$D83,LEN($D83)-7),'Bulb Weighting'!$B$3:$B$17,0)+1,2)</f>
        <v>0</v>
      </c>
      <c r="W83" s="37">
        <f>VLOOKUP($C83,$C$33:$Y$36,W$31,FALSE)*$C$42*$A83/8760/1000*INDEX('Bulb Weighting'!$B$2:$C$17,MATCH(RIGHT('SC-New'!$D83,LEN($D83)-7),'Bulb Weighting'!$B$3:$B$17,0)+1,2)</f>
        <v>0</v>
      </c>
      <c r="X83" s="37">
        <f>VLOOKUP($C83,$C$33:$Y$36,X$31,FALSE)*$C$42*$A83/8760/1000*INDEX('Bulb Weighting'!$B$2:$C$17,MATCH(RIGHT('SC-New'!$D83,LEN($D83)-7),'Bulb Weighting'!$B$3:$B$17,0)+1,2)</f>
        <v>0</v>
      </c>
      <c r="Y83" s="37">
        <f t="shared" si="18"/>
        <v>7.4438203993573617E-4</v>
      </c>
      <c r="AA83" s="31"/>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c r="A84" s="89">
        <f t="shared" si="20"/>
        <v>15.536210538971808</v>
      </c>
      <c r="B84" s="71">
        <f t="shared" si="21"/>
        <v>-47.72588478334999</v>
      </c>
      <c r="C84" s="1" t="s">
        <v>33</v>
      </c>
      <c r="D84" t="s">
        <v>736</v>
      </c>
      <c r="E84" s="37">
        <f>VLOOKUP($C84,$C$33:$Y$36,E$31,FALSE)*$C$42*$A84/8760/1000*INDEX('Bulb Weighting'!$B$2:$C$17,MATCH(RIGHT('SC-New'!$D84,LEN($D84)-7),'Bulb Weighting'!$B$3:$B$17,0)+1,2)</f>
        <v>5.7354992914593903E-3</v>
      </c>
      <c r="F84" s="37">
        <f>VLOOKUP($C84,$C$33:$Y$36,F$31,FALSE)*$C$42*$A84/8760/1000*INDEX('Bulb Weighting'!$B$2:$C$17,MATCH(RIGHT('SC-New'!$D84,LEN($D84)-7),'Bulb Weighting'!$B$3:$B$17,0)+1,2)</f>
        <v>0</v>
      </c>
      <c r="G84" s="37">
        <f>VLOOKUP($C84,$C$33:$Y$36,G$31,FALSE)*$C$42*$A84/8760/1000*INDEX('Bulb Weighting'!$B$2:$C$17,MATCH(RIGHT('SC-New'!$D84,LEN($D84)-7),'Bulb Weighting'!$B$3:$B$17,0)+1,2)</f>
        <v>0</v>
      </c>
      <c r="H84" s="37">
        <f>VLOOKUP($C84,$C$33:$Y$36,H$31,FALSE)*$C$42*$A84/8760/1000*INDEX('Bulb Weighting'!$B$2:$C$17,MATCH(RIGHT('SC-New'!$D84,LEN($D84)-7),'Bulb Weighting'!$B$3:$B$17,0)+1,2)</f>
        <v>0</v>
      </c>
      <c r="I84" s="37">
        <f>VLOOKUP($C84,$C$33:$Y$36,I$31,FALSE)*$C$42*$A84/8760/1000*INDEX('Bulb Weighting'!$B$2:$C$17,MATCH(RIGHT('SC-New'!$D84,LEN($D84)-7),'Bulb Weighting'!$B$3:$B$17,0)+1,2)</f>
        <v>0</v>
      </c>
      <c r="J84" s="37">
        <f>VLOOKUP($C84,$C$33:$Y$36,J$31,FALSE)*$C$42*$A84/8760/1000*INDEX('Bulb Weighting'!$B$2:$C$17,MATCH(RIGHT('SC-New'!$D84,LEN($D84)-7),'Bulb Weighting'!$B$3:$B$17,0)+1,2)</f>
        <v>0</v>
      </c>
      <c r="K84" s="37">
        <f>VLOOKUP($C84,$C$33:$Y$36,K$31,FALSE)*$C$42*$A84/8760/1000*INDEX('Bulb Weighting'!$B$2:$C$17,MATCH(RIGHT('SC-New'!$D84,LEN($D84)-7),'Bulb Weighting'!$B$3:$B$17,0)+1,2)</f>
        <v>0</v>
      </c>
      <c r="L84" s="37">
        <f>VLOOKUP($C84,$C$33:$Y$36,L$31,FALSE)*$C$42*$A84/8760/1000*INDEX('Bulb Weighting'!$B$2:$C$17,MATCH(RIGHT('SC-New'!$D84,LEN($D84)-7),'Bulb Weighting'!$B$3:$B$17,0)+1,2)</f>
        <v>0</v>
      </c>
      <c r="M84" s="37">
        <f>VLOOKUP($C84,$C$33:$Y$36,M$31,FALSE)*$C$42*$A84/8760/1000*INDEX('Bulb Weighting'!$B$2:$C$17,MATCH(RIGHT('SC-New'!$D84,LEN($D84)-7),'Bulb Weighting'!$B$3:$B$17,0)+1,2)</f>
        <v>0</v>
      </c>
      <c r="N84" s="37">
        <f>VLOOKUP($C84,$C$33:$Y$36,N$31,FALSE)*$C$42*$A84/8760/1000*INDEX('Bulb Weighting'!$B$2:$C$17,MATCH(RIGHT('SC-New'!$D84,LEN($D84)-7),'Bulb Weighting'!$B$3:$B$17,0)+1,2)</f>
        <v>0</v>
      </c>
      <c r="O84" s="37">
        <f>VLOOKUP($C84,$C$33:$Y$36,O$31,FALSE)*$C$42*$A84/8760/1000*INDEX('Bulb Weighting'!$B$2:$C$17,MATCH(RIGHT('SC-New'!$D84,LEN($D84)-7),'Bulb Weighting'!$B$3:$B$17,0)+1,2)</f>
        <v>0</v>
      </c>
      <c r="P84" s="37">
        <f>VLOOKUP($C84,$C$33:$Y$36,P$31,FALSE)*$C$42*$A84/8760/1000*INDEX('Bulb Weighting'!$B$2:$C$17,MATCH(RIGHT('SC-New'!$D84,LEN($D84)-7),'Bulb Weighting'!$B$3:$B$17,0)+1,2)</f>
        <v>0</v>
      </c>
      <c r="Q84" s="37">
        <f>VLOOKUP($C84,$C$33:$Y$36,Q$31,FALSE)*$C$42*$A84/8760/1000*INDEX('Bulb Weighting'!$B$2:$C$17,MATCH(RIGHT('SC-New'!$D84,LEN($D84)-7),'Bulb Weighting'!$B$3:$B$17,0)+1,2)</f>
        <v>0</v>
      </c>
      <c r="R84" s="37">
        <f>VLOOKUP($C84,$C$33:$Y$36,R$31,FALSE)*$C$42*$A84/8760/1000*INDEX('Bulb Weighting'!$B$2:$C$17,MATCH(RIGHT('SC-New'!$D84,LEN($D84)-7),'Bulb Weighting'!$B$3:$B$17,0)+1,2)</f>
        <v>0</v>
      </c>
      <c r="S84" s="37">
        <f>VLOOKUP($C84,$C$33:$Y$36,S$31,FALSE)*$C$42*$A84/8760/1000*INDEX('Bulb Weighting'!$B$2:$C$17,MATCH(RIGHT('SC-New'!$D84,LEN($D84)-7),'Bulb Weighting'!$B$3:$B$17,0)+1,2)</f>
        <v>0</v>
      </c>
      <c r="T84" s="37">
        <f>VLOOKUP($C84,$C$33:$Y$36,T$31,FALSE)*$C$42*$A84/8760/1000*INDEX('Bulb Weighting'!$B$2:$C$17,MATCH(RIGHT('SC-New'!$D84,LEN($D84)-7),'Bulb Weighting'!$B$3:$B$17,0)+1,2)</f>
        <v>0</v>
      </c>
      <c r="U84" s="37">
        <f>VLOOKUP($C84,$C$33:$Y$36,U$31,FALSE)*$C$42*$A84/8760/1000*INDEX('Bulb Weighting'!$B$2:$C$17,MATCH(RIGHT('SC-New'!$D84,LEN($D84)-7),'Bulb Weighting'!$B$3:$B$17,0)+1,2)</f>
        <v>0</v>
      </c>
      <c r="V84" s="37">
        <f>VLOOKUP($C84,$C$33:$Y$36,V$31,FALSE)*$C$42*$A84/8760/1000*INDEX('Bulb Weighting'!$B$2:$C$17,MATCH(RIGHT('SC-New'!$D84,LEN($D84)-7),'Bulb Weighting'!$B$3:$B$17,0)+1,2)</f>
        <v>0</v>
      </c>
      <c r="W84" s="37">
        <f>VLOOKUP($C84,$C$33:$Y$36,W$31,FALSE)*$C$42*$A84/8760/1000*INDEX('Bulb Weighting'!$B$2:$C$17,MATCH(RIGHT('SC-New'!$D84,LEN($D84)-7),'Bulb Weighting'!$B$3:$B$17,0)+1,2)</f>
        <v>0</v>
      </c>
      <c r="X84" s="37">
        <f>VLOOKUP($C84,$C$33:$Y$36,X$31,FALSE)*$C$42*$A84/8760/1000*INDEX('Bulb Weighting'!$B$2:$C$17,MATCH(RIGHT('SC-New'!$D84,LEN($D84)-7),'Bulb Weighting'!$B$3:$B$17,0)+1,2)</f>
        <v>0</v>
      </c>
      <c r="Y84" s="37">
        <f t="shared" si="18"/>
        <v>5.7354992914593903E-3</v>
      </c>
      <c r="AA84" s="31"/>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c r="A85" s="89">
        <f t="shared" si="20"/>
        <v>83.173238448682625</v>
      </c>
      <c r="B85" s="71">
        <f t="shared" si="21"/>
        <v>-27.334459272113147</v>
      </c>
      <c r="C85" s="1" t="s">
        <v>33</v>
      </c>
      <c r="D85" t="s">
        <v>738</v>
      </c>
      <c r="E85" s="37">
        <f>VLOOKUP($C85,$C$33:$Y$36,E$31,FALSE)*$C$42*$A85/8760/1000*INDEX('Bulb Weighting'!$B$2:$C$17,MATCH(RIGHT('SC-New'!$D85,LEN($D85)-7),'Bulb Weighting'!$B$3:$B$17,0)+1,2)</f>
        <v>2.5232584347846397E-3</v>
      </c>
      <c r="F85" s="37">
        <f>VLOOKUP($C85,$C$33:$Y$36,F$31,FALSE)*$C$42*$A85/8760/1000*INDEX('Bulb Weighting'!$B$2:$C$17,MATCH(RIGHT('SC-New'!$D85,LEN($D85)-7),'Bulb Weighting'!$B$3:$B$17,0)+1,2)</f>
        <v>0</v>
      </c>
      <c r="G85" s="37">
        <f>VLOOKUP($C85,$C$33:$Y$36,G$31,FALSE)*$C$42*$A85/8760/1000*INDEX('Bulb Weighting'!$B$2:$C$17,MATCH(RIGHT('SC-New'!$D85,LEN($D85)-7),'Bulb Weighting'!$B$3:$B$17,0)+1,2)</f>
        <v>0</v>
      </c>
      <c r="H85" s="37">
        <f>VLOOKUP($C85,$C$33:$Y$36,H$31,FALSE)*$C$42*$A85/8760/1000*INDEX('Bulb Weighting'!$B$2:$C$17,MATCH(RIGHT('SC-New'!$D85,LEN($D85)-7),'Bulb Weighting'!$B$3:$B$17,0)+1,2)</f>
        <v>0</v>
      </c>
      <c r="I85" s="37">
        <f>VLOOKUP($C85,$C$33:$Y$36,I$31,FALSE)*$C$42*$A85/8760/1000*INDEX('Bulb Weighting'!$B$2:$C$17,MATCH(RIGHT('SC-New'!$D85,LEN($D85)-7),'Bulb Weighting'!$B$3:$B$17,0)+1,2)</f>
        <v>0</v>
      </c>
      <c r="J85" s="37">
        <f>VLOOKUP($C85,$C$33:$Y$36,J$31,FALSE)*$C$42*$A85/8760/1000*INDEX('Bulb Weighting'!$B$2:$C$17,MATCH(RIGHT('SC-New'!$D85,LEN($D85)-7),'Bulb Weighting'!$B$3:$B$17,0)+1,2)</f>
        <v>0</v>
      </c>
      <c r="K85" s="37">
        <f>VLOOKUP($C85,$C$33:$Y$36,K$31,FALSE)*$C$42*$A85/8760/1000*INDEX('Bulb Weighting'!$B$2:$C$17,MATCH(RIGHT('SC-New'!$D85,LEN($D85)-7),'Bulb Weighting'!$B$3:$B$17,0)+1,2)</f>
        <v>0</v>
      </c>
      <c r="L85" s="37">
        <f>VLOOKUP($C85,$C$33:$Y$36,L$31,FALSE)*$C$42*$A85/8760/1000*INDEX('Bulb Weighting'!$B$2:$C$17,MATCH(RIGHT('SC-New'!$D85,LEN($D85)-7),'Bulb Weighting'!$B$3:$B$17,0)+1,2)</f>
        <v>0</v>
      </c>
      <c r="M85" s="37">
        <f>VLOOKUP($C85,$C$33:$Y$36,M$31,FALSE)*$C$42*$A85/8760/1000*INDEX('Bulb Weighting'!$B$2:$C$17,MATCH(RIGHT('SC-New'!$D85,LEN($D85)-7),'Bulb Weighting'!$B$3:$B$17,0)+1,2)</f>
        <v>0</v>
      </c>
      <c r="N85" s="37">
        <f>VLOOKUP($C85,$C$33:$Y$36,N$31,FALSE)*$C$42*$A85/8760/1000*INDEX('Bulb Weighting'!$B$2:$C$17,MATCH(RIGHT('SC-New'!$D85,LEN($D85)-7),'Bulb Weighting'!$B$3:$B$17,0)+1,2)</f>
        <v>0</v>
      </c>
      <c r="O85" s="37">
        <f>VLOOKUP($C85,$C$33:$Y$36,O$31,FALSE)*$C$42*$A85/8760/1000*INDEX('Bulb Weighting'!$B$2:$C$17,MATCH(RIGHT('SC-New'!$D85,LEN($D85)-7),'Bulb Weighting'!$B$3:$B$17,0)+1,2)</f>
        <v>0</v>
      </c>
      <c r="P85" s="37">
        <f>VLOOKUP($C85,$C$33:$Y$36,P$31,FALSE)*$C$42*$A85/8760/1000*INDEX('Bulb Weighting'!$B$2:$C$17,MATCH(RIGHT('SC-New'!$D85,LEN($D85)-7),'Bulb Weighting'!$B$3:$B$17,0)+1,2)</f>
        <v>0</v>
      </c>
      <c r="Q85" s="37">
        <f>VLOOKUP($C85,$C$33:$Y$36,Q$31,FALSE)*$C$42*$A85/8760/1000*INDEX('Bulb Weighting'!$B$2:$C$17,MATCH(RIGHT('SC-New'!$D85,LEN($D85)-7),'Bulb Weighting'!$B$3:$B$17,0)+1,2)</f>
        <v>0</v>
      </c>
      <c r="R85" s="37">
        <f>VLOOKUP($C85,$C$33:$Y$36,R$31,FALSE)*$C$42*$A85/8760/1000*INDEX('Bulb Weighting'!$B$2:$C$17,MATCH(RIGHT('SC-New'!$D85,LEN($D85)-7),'Bulb Weighting'!$B$3:$B$17,0)+1,2)</f>
        <v>0</v>
      </c>
      <c r="S85" s="37">
        <f>VLOOKUP($C85,$C$33:$Y$36,S$31,FALSE)*$C$42*$A85/8760/1000*INDEX('Bulb Weighting'!$B$2:$C$17,MATCH(RIGHT('SC-New'!$D85,LEN($D85)-7),'Bulb Weighting'!$B$3:$B$17,0)+1,2)</f>
        <v>0</v>
      </c>
      <c r="T85" s="37">
        <f>VLOOKUP($C85,$C$33:$Y$36,T$31,FALSE)*$C$42*$A85/8760/1000*INDEX('Bulb Weighting'!$B$2:$C$17,MATCH(RIGHT('SC-New'!$D85,LEN($D85)-7),'Bulb Weighting'!$B$3:$B$17,0)+1,2)</f>
        <v>0</v>
      </c>
      <c r="U85" s="37">
        <f>VLOOKUP($C85,$C$33:$Y$36,U$31,FALSE)*$C$42*$A85/8760/1000*INDEX('Bulb Weighting'!$B$2:$C$17,MATCH(RIGHT('SC-New'!$D85,LEN($D85)-7),'Bulb Weighting'!$B$3:$B$17,0)+1,2)</f>
        <v>0</v>
      </c>
      <c r="V85" s="37">
        <f>VLOOKUP($C85,$C$33:$Y$36,V$31,FALSE)*$C$42*$A85/8760/1000*INDEX('Bulb Weighting'!$B$2:$C$17,MATCH(RIGHT('SC-New'!$D85,LEN($D85)-7),'Bulb Weighting'!$B$3:$B$17,0)+1,2)</f>
        <v>0</v>
      </c>
      <c r="W85" s="37">
        <f>VLOOKUP($C85,$C$33:$Y$36,W$31,FALSE)*$C$42*$A85/8760/1000*INDEX('Bulb Weighting'!$B$2:$C$17,MATCH(RIGHT('SC-New'!$D85,LEN($D85)-7),'Bulb Weighting'!$B$3:$B$17,0)+1,2)</f>
        <v>0</v>
      </c>
      <c r="X85" s="37">
        <f>VLOOKUP($C85,$C$33:$Y$36,X$31,FALSE)*$C$42*$A85/8760/1000*INDEX('Bulb Weighting'!$B$2:$C$17,MATCH(RIGHT('SC-New'!$D85,LEN($D85)-7),'Bulb Weighting'!$B$3:$B$17,0)+1,2)</f>
        <v>0</v>
      </c>
      <c r="Y85" s="37">
        <f t="shared" si="18"/>
        <v>2.5232584347846397E-3</v>
      </c>
      <c r="AA85" s="31"/>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c r="A86" s="89">
        <f t="shared" si="20"/>
        <v>48.421429568529426</v>
      </c>
      <c r="B86" s="71">
        <f t="shared" si="21"/>
        <v>-0.28395098554769854</v>
      </c>
      <c r="C86" s="1" t="s">
        <v>33</v>
      </c>
      <c r="D86" t="s">
        <v>740</v>
      </c>
      <c r="E86" s="37">
        <f>VLOOKUP($C86,$C$33:$Y$36,E$31,FALSE)*$C$42*$A86/8760/1000*INDEX('Bulb Weighting'!$B$2:$C$17,MATCH(RIGHT('SC-New'!$D86,LEN($D86)-7),'Bulb Weighting'!$B$3:$B$17,0)+1,2)</f>
        <v>2.3050280678791022E-5</v>
      </c>
      <c r="F86" s="37">
        <f>VLOOKUP($C86,$C$33:$Y$36,F$31,FALSE)*$C$42*$A86/8760/1000*INDEX('Bulb Weighting'!$B$2:$C$17,MATCH(RIGHT('SC-New'!$D86,LEN($D86)-7),'Bulb Weighting'!$B$3:$B$17,0)+1,2)</f>
        <v>0</v>
      </c>
      <c r="G86" s="37">
        <f>VLOOKUP($C86,$C$33:$Y$36,G$31,FALSE)*$C$42*$A86/8760/1000*INDEX('Bulb Weighting'!$B$2:$C$17,MATCH(RIGHT('SC-New'!$D86,LEN($D86)-7),'Bulb Weighting'!$B$3:$B$17,0)+1,2)</f>
        <v>0</v>
      </c>
      <c r="H86" s="37">
        <f>VLOOKUP($C86,$C$33:$Y$36,H$31,FALSE)*$C$42*$A86/8760/1000*INDEX('Bulb Weighting'!$B$2:$C$17,MATCH(RIGHT('SC-New'!$D86,LEN($D86)-7),'Bulb Weighting'!$B$3:$B$17,0)+1,2)</f>
        <v>0</v>
      </c>
      <c r="I86" s="37">
        <f>VLOOKUP($C86,$C$33:$Y$36,I$31,FALSE)*$C$42*$A86/8760/1000*INDEX('Bulb Weighting'!$B$2:$C$17,MATCH(RIGHT('SC-New'!$D86,LEN($D86)-7),'Bulb Weighting'!$B$3:$B$17,0)+1,2)</f>
        <v>0</v>
      </c>
      <c r="J86" s="37">
        <f>VLOOKUP($C86,$C$33:$Y$36,J$31,FALSE)*$C$42*$A86/8760/1000*INDEX('Bulb Weighting'!$B$2:$C$17,MATCH(RIGHT('SC-New'!$D86,LEN($D86)-7),'Bulb Weighting'!$B$3:$B$17,0)+1,2)</f>
        <v>0</v>
      </c>
      <c r="K86" s="37">
        <f>VLOOKUP($C86,$C$33:$Y$36,K$31,FALSE)*$C$42*$A86/8760/1000*INDEX('Bulb Weighting'!$B$2:$C$17,MATCH(RIGHT('SC-New'!$D86,LEN($D86)-7),'Bulb Weighting'!$B$3:$B$17,0)+1,2)</f>
        <v>0</v>
      </c>
      <c r="L86" s="37">
        <f>VLOOKUP($C86,$C$33:$Y$36,L$31,FALSE)*$C$42*$A86/8760/1000*INDEX('Bulb Weighting'!$B$2:$C$17,MATCH(RIGHT('SC-New'!$D86,LEN($D86)-7),'Bulb Weighting'!$B$3:$B$17,0)+1,2)</f>
        <v>0</v>
      </c>
      <c r="M86" s="37">
        <f>VLOOKUP($C86,$C$33:$Y$36,M$31,FALSE)*$C$42*$A86/8760/1000*INDEX('Bulb Weighting'!$B$2:$C$17,MATCH(RIGHT('SC-New'!$D86,LEN($D86)-7),'Bulb Weighting'!$B$3:$B$17,0)+1,2)</f>
        <v>0</v>
      </c>
      <c r="N86" s="37">
        <f>VLOOKUP($C86,$C$33:$Y$36,N$31,FALSE)*$C$42*$A86/8760/1000*INDEX('Bulb Weighting'!$B$2:$C$17,MATCH(RIGHT('SC-New'!$D86,LEN($D86)-7),'Bulb Weighting'!$B$3:$B$17,0)+1,2)</f>
        <v>0</v>
      </c>
      <c r="O86" s="37">
        <f>VLOOKUP($C86,$C$33:$Y$36,O$31,FALSE)*$C$42*$A86/8760/1000*INDEX('Bulb Weighting'!$B$2:$C$17,MATCH(RIGHT('SC-New'!$D86,LEN($D86)-7),'Bulb Weighting'!$B$3:$B$17,0)+1,2)</f>
        <v>0</v>
      </c>
      <c r="P86" s="37">
        <f>VLOOKUP($C86,$C$33:$Y$36,P$31,FALSE)*$C$42*$A86/8760/1000*INDEX('Bulb Weighting'!$B$2:$C$17,MATCH(RIGHT('SC-New'!$D86,LEN($D86)-7),'Bulb Weighting'!$B$3:$B$17,0)+1,2)</f>
        <v>0</v>
      </c>
      <c r="Q86" s="37">
        <f>VLOOKUP($C86,$C$33:$Y$36,Q$31,FALSE)*$C$42*$A86/8760/1000*INDEX('Bulb Weighting'!$B$2:$C$17,MATCH(RIGHT('SC-New'!$D86,LEN($D86)-7),'Bulb Weighting'!$B$3:$B$17,0)+1,2)</f>
        <v>0</v>
      </c>
      <c r="R86" s="37">
        <f>VLOOKUP($C86,$C$33:$Y$36,R$31,FALSE)*$C$42*$A86/8760/1000*INDEX('Bulb Weighting'!$B$2:$C$17,MATCH(RIGHT('SC-New'!$D86,LEN($D86)-7),'Bulb Weighting'!$B$3:$B$17,0)+1,2)</f>
        <v>0</v>
      </c>
      <c r="S86" s="37">
        <f>VLOOKUP($C86,$C$33:$Y$36,S$31,FALSE)*$C$42*$A86/8760/1000*INDEX('Bulb Weighting'!$B$2:$C$17,MATCH(RIGHT('SC-New'!$D86,LEN($D86)-7),'Bulb Weighting'!$B$3:$B$17,0)+1,2)</f>
        <v>0</v>
      </c>
      <c r="T86" s="37">
        <f>VLOOKUP($C86,$C$33:$Y$36,T$31,FALSE)*$C$42*$A86/8760/1000*INDEX('Bulb Weighting'!$B$2:$C$17,MATCH(RIGHT('SC-New'!$D86,LEN($D86)-7),'Bulb Weighting'!$B$3:$B$17,0)+1,2)</f>
        <v>0</v>
      </c>
      <c r="U86" s="37">
        <f>VLOOKUP($C86,$C$33:$Y$36,U$31,FALSE)*$C$42*$A86/8760/1000*INDEX('Bulb Weighting'!$B$2:$C$17,MATCH(RIGHT('SC-New'!$D86,LEN($D86)-7),'Bulb Weighting'!$B$3:$B$17,0)+1,2)</f>
        <v>0</v>
      </c>
      <c r="V86" s="37">
        <f>VLOOKUP($C86,$C$33:$Y$36,V$31,FALSE)*$C$42*$A86/8760/1000*INDEX('Bulb Weighting'!$B$2:$C$17,MATCH(RIGHT('SC-New'!$D86,LEN($D86)-7),'Bulb Weighting'!$B$3:$B$17,0)+1,2)</f>
        <v>0</v>
      </c>
      <c r="W86" s="37">
        <f>VLOOKUP($C86,$C$33:$Y$36,W$31,FALSE)*$C$42*$A86/8760/1000*INDEX('Bulb Weighting'!$B$2:$C$17,MATCH(RIGHT('SC-New'!$D86,LEN($D86)-7),'Bulb Weighting'!$B$3:$B$17,0)+1,2)</f>
        <v>0</v>
      </c>
      <c r="X86" s="37">
        <f>VLOOKUP($C86,$C$33:$Y$36,X$31,FALSE)*$C$42*$A86/8760/1000*INDEX('Bulb Weighting'!$B$2:$C$17,MATCH(RIGHT('SC-New'!$D86,LEN($D86)-7),'Bulb Weighting'!$B$3:$B$17,0)+1,2)</f>
        <v>0</v>
      </c>
      <c r="Y86" s="37">
        <f t="shared" si="18"/>
        <v>2.3050280678791022E-5</v>
      </c>
      <c r="AA86" s="31"/>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c r="A87" s="89">
        <f t="shared" si="20"/>
        <v>52.157694278074032</v>
      </c>
      <c r="B87" s="71">
        <f t="shared" si="21"/>
        <v>-8.9398321624848585</v>
      </c>
      <c r="C87" s="1" t="s">
        <v>33</v>
      </c>
      <c r="D87" t="s">
        <v>742</v>
      </c>
      <c r="E87" s="37">
        <f>VLOOKUP($C87,$C$33:$Y$36,E$31,FALSE)*$C$42*$A87/8760/1000*INDEX('Bulb Weighting'!$B$2:$C$17,MATCH(RIGHT('SC-New'!$D87,LEN($D87)-7),'Bulb Weighting'!$B$3:$B$17,0)+1,2)</f>
        <v>3.0647321852433727E-4</v>
      </c>
      <c r="F87" s="37">
        <f>VLOOKUP($C87,$C$33:$Y$36,F$31,FALSE)*$C$42*$A87/8760/1000*INDEX('Bulb Weighting'!$B$2:$C$17,MATCH(RIGHT('SC-New'!$D87,LEN($D87)-7),'Bulb Weighting'!$B$3:$B$17,0)+1,2)</f>
        <v>0</v>
      </c>
      <c r="G87" s="37">
        <f>VLOOKUP($C87,$C$33:$Y$36,G$31,FALSE)*$C$42*$A87/8760/1000*INDEX('Bulb Weighting'!$B$2:$C$17,MATCH(RIGHT('SC-New'!$D87,LEN($D87)-7),'Bulb Weighting'!$B$3:$B$17,0)+1,2)</f>
        <v>0</v>
      </c>
      <c r="H87" s="37">
        <f>VLOOKUP($C87,$C$33:$Y$36,H$31,FALSE)*$C$42*$A87/8760/1000*INDEX('Bulb Weighting'!$B$2:$C$17,MATCH(RIGHT('SC-New'!$D87,LEN($D87)-7),'Bulb Weighting'!$B$3:$B$17,0)+1,2)</f>
        <v>0</v>
      </c>
      <c r="I87" s="37">
        <f>VLOOKUP($C87,$C$33:$Y$36,I$31,FALSE)*$C$42*$A87/8760/1000*INDEX('Bulb Weighting'!$B$2:$C$17,MATCH(RIGHT('SC-New'!$D87,LEN($D87)-7),'Bulb Weighting'!$B$3:$B$17,0)+1,2)</f>
        <v>0</v>
      </c>
      <c r="J87" s="37">
        <f>VLOOKUP($C87,$C$33:$Y$36,J$31,FALSE)*$C$42*$A87/8760/1000*INDEX('Bulb Weighting'!$B$2:$C$17,MATCH(RIGHT('SC-New'!$D87,LEN($D87)-7),'Bulb Weighting'!$B$3:$B$17,0)+1,2)</f>
        <v>0</v>
      </c>
      <c r="K87" s="37">
        <f>VLOOKUP($C87,$C$33:$Y$36,K$31,FALSE)*$C$42*$A87/8760/1000*INDEX('Bulb Weighting'!$B$2:$C$17,MATCH(RIGHT('SC-New'!$D87,LEN($D87)-7),'Bulb Weighting'!$B$3:$B$17,0)+1,2)</f>
        <v>0</v>
      </c>
      <c r="L87" s="37">
        <f>VLOOKUP($C87,$C$33:$Y$36,L$31,FALSE)*$C$42*$A87/8760/1000*INDEX('Bulb Weighting'!$B$2:$C$17,MATCH(RIGHT('SC-New'!$D87,LEN($D87)-7),'Bulb Weighting'!$B$3:$B$17,0)+1,2)</f>
        <v>0</v>
      </c>
      <c r="M87" s="37">
        <f>VLOOKUP($C87,$C$33:$Y$36,M$31,FALSE)*$C$42*$A87/8760/1000*INDEX('Bulb Weighting'!$B$2:$C$17,MATCH(RIGHT('SC-New'!$D87,LEN($D87)-7),'Bulb Weighting'!$B$3:$B$17,0)+1,2)</f>
        <v>0</v>
      </c>
      <c r="N87" s="37">
        <f>VLOOKUP($C87,$C$33:$Y$36,N$31,FALSE)*$C$42*$A87/8760/1000*INDEX('Bulb Weighting'!$B$2:$C$17,MATCH(RIGHT('SC-New'!$D87,LEN($D87)-7),'Bulb Weighting'!$B$3:$B$17,0)+1,2)</f>
        <v>0</v>
      </c>
      <c r="O87" s="37">
        <f>VLOOKUP($C87,$C$33:$Y$36,O$31,FALSE)*$C$42*$A87/8760/1000*INDEX('Bulb Weighting'!$B$2:$C$17,MATCH(RIGHT('SC-New'!$D87,LEN($D87)-7),'Bulb Weighting'!$B$3:$B$17,0)+1,2)</f>
        <v>0</v>
      </c>
      <c r="P87" s="37">
        <f>VLOOKUP($C87,$C$33:$Y$36,P$31,FALSE)*$C$42*$A87/8760/1000*INDEX('Bulb Weighting'!$B$2:$C$17,MATCH(RIGHT('SC-New'!$D87,LEN($D87)-7),'Bulb Weighting'!$B$3:$B$17,0)+1,2)</f>
        <v>0</v>
      </c>
      <c r="Q87" s="37">
        <f>VLOOKUP($C87,$C$33:$Y$36,Q$31,FALSE)*$C$42*$A87/8760/1000*INDEX('Bulb Weighting'!$B$2:$C$17,MATCH(RIGHT('SC-New'!$D87,LEN($D87)-7),'Bulb Weighting'!$B$3:$B$17,0)+1,2)</f>
        <v>0</v>
      </c>
      <c r="R87" s="37">
        <f>VLOOKUP($C87,$C$33:$Y$36,R$31,FALSE)*$C$42*$A87/8760/1000*INDEX('Bulb Weighting'!$B$2:$C$17,MATCH(RIGHT('SC-New'!$D87,LEN($D87)-7),'Bulb Weighting'!$B$3:$B$17,0)+1,2)</f>
        <v>0</v>
      </c>
      <c r="S87" s="37">
        <f>VLOOKUP($C87,$C$33:$Y$36,S$31,FALSE)*$C$42*$A87/8760/1000*INDEX('Bulb Weighting'!$B$2:$C$17,MATCH(RIGHT('SC-New'!$D87,LEN($D87)-7),'Bulb Weighting'!$B$3:$B$17,0)+1,2)</f>
        <v>0</v>
      </c>
      <c r="T87" s="37">
        <f>VLOOKUP($C87,$C$33:$Y$36,T$31,FALSE)*$C$42*$A87/8760/1000*INDEX('Bulb Weighting'!$B$2:$C$17,MATCH(RIGHT('SC-New'!$D87,LEN($D87)-7),'Bulb Weighting'!$B$3:$B$17,0)+1,2)</f>
        <v>0</v>
      </c>
      <c r="U87" s="37">
        <f>VLOOKUP($C87,$C$33:$Y$36,U$31,FALSE)*$C$42*$A87/8760/1000*INDEX('Bulb Weighting'!$B$2:$C$17,MATCH(RIGHT('SC-New'!$D87,LEN($D87)-7),'Bulb Weighting'!$B$3:$B$17,0)+1,2)</f>
        <v>0</v>
      </c>
      <c r="V87" s="37">
        <f>VLOOKUP($C87,$C$33:$Y$36,V$31,FALSE)*$C$42*$A87/8760/1000*INDEX('Bulb Weighting'!$B$2:$C$17,MATCH(RIGHT('SC-New'!$D87,LEN($D87)-7),'Bulb Weighting'!$B$3:$B$17,0)+1,2)</f>
        <v>0</v>
      </c>
      <c r="W87" s="37">
        <f>VLOOKUP($C87,$C$33:$Y$36,W$31,FALSE)*$C$42*$A87/8760/1000*INDEX('Bulb Weighting'!$B$2:$C$17,MATCH(RIGHT('SC-New'!$D87,LEN($D87)-7),'Bulb Weighting'!$B$3:$B$17,0)+1,2)</f>
        <v>0</v>
      </c>
      <c r="X87" s="37">
        <f>VLOOKUP($C87,$C$33:$Y$36,X$31,FALSE)*$C$42*$A87/8760/1000*INDEX('Bulb Weighting'!$B$2:$C$17,MATCH(RIGHT('SC-New'!$D87,LEN($D87)-7),'Bulb Weighting'!$B$3:$B$17,0)+1,2)</f>
        <v>0</v>
      </c>
      <c r="Y87" s="37">
        <f t="shared" si="18"/>
        <v>3.0647321852433727E-4</v>
      </c>
      <c r="AA87" s="31"/>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c r="A88" s="89">
        <f t="shared" si="20"/>
        <v>46.673278979590322</v>
      </c>
      <c r="B88" s="71">
        <f t="shared" si="21"/>
        <v>-22.011904676498236</v>
      </c>
      <c r="C88" s="1" t="s">
        <v>33</v>
      </c>
      <c r="D88" t="s">
        <v>744</v>
      </c>
      <c r="E88" s="37">
        <f>VLOOKUP($C88,$C$33:$Y$36,E$31,FALSE)*$C$42*$A88/8760/1000*INDEX('Bulb Weighting'!$B$2:$C$17,MATCH(RIGHT('SC-New'!$D88,LEN($D88)-7),'Bulb Weighting'!$B$3:$B$17,0)+1,2)</f>
        <v>1.0604850791835123E-3</v>
      </c>
      <c r="F88" s="37">
        <f>VLOOKUP($C88,$C$33:$Y$36,F$31,FALSE)*$C$42*$A88/8760/1000*INDEX('Bulb Weighting'!$B$2:$C$17,MATCH(RIGHT('SC-New'!$D88,LEN($D88)-7),'Bulb Weighting'!$B$3:$B$17,0)+1,2)</f>
        <v>0</v>
      </c>
      <c r="G88" s="37">
        <f>VLOOKUP($C88,$C$33:$Y$36,G$31,FALSE)*$C$42*$A88/8760/1000*INDEX('Bulb Weighting'!$B$2:$C$17,MATCH(RIGHT('SC-New'!$D88,LEN($D88)-7),'Bulb Weighting'!$B$3:$B$17,0)+1,2)</f>
        <v>0</v>
      </c>
      <c r="H88" s="37">
        <f>VLOOKUP($C88,$C$33:$Y$36,H$31,FALSE)*$C$42*$A88/8760/1000*INDEX('Bulb Weighting'!$B$2:$C$17,MATCH(RIGHT('SC-New'!$D88,LEN($D88)-7),'Bulb Weighting'!$B$3:$B$17,0)+1,2)</f>
        <v>0</v>
      </c>
      <c r="I88" s="37">
        <f>VLOOKUP($C88,$C$33:$Y$36,I$31,FALSE)*$C$42*$A88/8760/1000*INDEX('Bulb Weighting'!$B$2:$C$17,MATCH(RIGHT('SC-New'!$D88,LEN($D88)-7),'Bulb Weighting'!$B$3:$B$17,0)+1,2)</f>
        <v>0</v>
      </c>
      <c r="J88" s="37">
        <f>VLOOKUP($C88,$C$33:$Y$36,J$31,FALSE)*$C$42*$A88/8760/1000*INDEX('Bulb Weighting'!$B$2:$C$17,MATCH(RIGHT('SC-New'!$D88,LEN($D88)-7),'Bulb Weighting'!$B$3:$B$17,0)+1,2)</f>
        <v>0</v>
      </c>
      <c r="K88" s="37">
        <f>VLOOKUP($C88,$C$33:$Y$36,K$31,FALSE)*$C$42*$A88/8760/1000*INDEX('Bulb Weighting'!$B$2:$C$17,MATCH(RIGHT('SC-New'!$D88,LEN($D88)-7),'Bulb Weighting'!$B$3:$B$17,0)+1,2)</f>
        <v>0</v>
      </c>
      <c r="L88" s="37">
        <f>VLOOKUP($C88,$C$33:$Y$36,L$31,FALSE)*$C$42*$A88/8760/1000*INDEX('Bulb Weighting'!$B$2:$C$17,MATCH(RIGHT('SC-New'!$D88,LEN($D88)-7),'Bulb Weighting'!$B$3:$B$17,0)+1,2)</f>
        <v>0</v>
      </c>
      <c r="M88" s="37">
        <f>VLOOKUP($C88,$C$33:$Y$36,M$31,FALSE)*$C$42*$A88/8760/1000*INDEX('Bulb Weighting'!$B$2:$C$17,MATCH(RIGHT('SC-New'!$D88,LEN($D88)-7),'Bulb Weighting'!$B$3:$B$17,0)+1,2)</f>
        <v>0</v>
      </c>
      <c r="N88" s="37">
        <f>VLOOKUP($C88,$C$33:$Y$36,N$31,FALSE)*$C$42*$A88/8760/1000*INDEX('Bulb Weighting'!$B$2:$C$17,MATCH(RIGHT('SC-New'!$D88,LEN($D88)-7),'Bulb Weighting'!$B$3:$B$17,0)+1,2)</f>
        <v>0</v>
      </c>
      <c r="O88" s="37">
        <f>VLOOKUP($C88,$C$33:$Y$36,O$31,FALSE)*$C$42*$A88/8760/1000*INDEX('Bulb Weighting'!$B$2:$C$17,MATCH(RIGHT('SC-New'!$D88,LEN($D88)-7),'Bulb Weighting'!$B$3:$B$17,0)+1,2)</f>
        <v>0</v>
      </c>
      <c r="P88" s="37">
        <f>VLOOKUP($C88,$C$33:$Y$36,P$31,FALSE)*$C$42*$A88/8760/1000*INDEX('Bulb Weighting'!$B$2:$C$17,MATCH(RIGHT('SC-New'!$D88,LEN($D88)-7),'Bulb Weighting'!$B$3:$B$17,0)+1,2)</f>
        <v>0</v>
      </c>
      <c r="Q88" s="37">
        <f>VLOOKUP($C88,$C$33:$Y$36,Q$31,FALSE)*$C$42*$A88/8760/1000*INDEX('Bulb Weighting'!$B$2:$C$17,MATCH(RIGHT('SC-New'!$D88,LEN($D88)-7),'Bulb Weighting'!$B$3:$B$17,0)+1,2)</f>
        <v>0</v>
      </c>
      <c r="R88" s="37">
        <f>VLOOKUP($C88,$C$33:$Y$36,R$31,FALSE)*$C$42*$A88/8760/1000*INDEX('Bulb Weighting'!$B$2:$C$17,MATCH(RIGHT('SC-New'!$D88,LEN($D88)-7),'Bulb Weighting'!$B$3:$B$17,0)+1,2)</f>
        <v>0</v>
      </c>
      <c r="S88" s="37">
        <f>VLOOKUP($C88,$C$33:$Y$36,S$31,FALSE)*$C$42*$A88/8760/1000*INDEX('Bulb Weighting'!$B$2:$C$17,MATCH(RIGHT('SC-New'!$D88,LEN($D88)-7),'Bulb Weighting'!$B$3:$B$17,0)+1,2)</f>
        <v>0</v>
      </c>
      <c r="T88" s="37">
        <f>VLOOKUP($C88,$C$33:$Y$36,T$31,FALSE)*$C$42*$A88/8760/1000*INDEX('Bulb Weighting'!$B$2:$C$17,MATCH(RIGHT('SC-New'!$D88,LEN($D88)-7),'Bulb Weighting'!$B$3:$B$17,0)+1,2)</f>
        <v>0</v>
      </c>
      <c r="U88" s="37">
        <f>VLOOKUP($C88,$C$33:$Y$36,U$31,FALSE)*$C$42*$A88/8760/1000*INDEX('Bulb Weighting'!$B$2:$C$17,MATCH(RIGHT('SC-New'!$D88,LEN($D88)-7),'Bulb Weighting'!$B$3:$B$17,0)+1,2)</f>
        <v>0</v>
      </c>
      <c r="V88" s="37">
        <f>VLOOKUP($C88,$C$33:$Y$36,V$31,FALSE)*$C$42*$A88/8760/1000*INDEX('Bulb Weighting'!$B$2:$C$17,MATCH(RIGHT('SC-New'!$D88,LEN($D88)-7),'Bulb Weighting'!$B$3:$B$17,0)+1,2)</f>
        <v>0</v>
      </c>
      <c r="W88" s="37">
        <f>VLOOKUP($C88,$C$33:$Y$36,W$31,FALSE)*$C$42*$A88/8760/1000*INDEX('Bulb Weighting'!$B$2:$C$17,MATCH(RIGHT('SC-New'!$D88,LEN($D88)-7),'Bulb Weighting'!$B$3:$B$17,0)+1,2)</f>
        <v>0</v>
      </c>
      <c r="X88" s="37">
        <f>VLOOKUP($C88,$C$33:$Y$36,X$31,FALSE)*$C$42*$A88/8760/1000*INDEX('Bulb Weighting'!$B$2:$C$17,MATCH(RIGHT('SC-New'!$D88,LEN($D88)-7),'Bulb Weighting'!$B$3:$B$17,0)+1,2)</f>
        <v>0</v>
      </c>
      <c r="Y88" s="37">
        <f t="shared" si="18"/>
        <v>1.0604850791835123E-3</v>
      </c>
      <c r="AA88" s="31">
        <f t="shared" ref="AA88" si="22">SUM(E88:Y88)</f>
        <v>2.1209701583670246E-3</v>
      </c>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c r="A89" s="89">
        <f t="shared" si="20"/>
        <v>19.236292058718274</v>
      </c>
      <c r="B89" s="71">
        <f t="shared" si="21"/>
        <v>-15.059976945801358</v>
      </c>
      <c r="C89" s="1" t="str">
        <f>C16</f>
        <v>Manufactured</v>
      </c>
      <c r="D89" t="s">
        <v>716</v>
      </c>
      <c r="E89" s="37">
        <f>VLOOKUP($C89,$C$33:$Y$36,E$31,FALSE)*$C$42*$A89/8760/1000*INDEX('Bulb Weighting'!$B$2:$C$17,MATCH(RIGHT('SC-New'!$D89,LEN($D89)-7),'Bulb Weighting'!$B$3:$B$17,0)+1,2)</f>
        <v>2.1592427036696096E-3</v>
      </c>
      <c r="F89" s="37">
        <f>VLOOKUP($C89,$C$33:$Y$36,F$31,FALSE)*$C$42*$A89/8760/1000*INDEX('Bulb Weighting'!$B$2:$C$17,MATCH(RIGHT('SC-New'!$D89,LEN($D89)-7),'Bulb Weighting'!$B$3:$B$17,0)+1,2)</f>
        <v>0</v>
      </c>
      <c r="G89" s="37">
        <f>VLOOKUP($C89,$C$33:$Y$36,G$31,FALSE)*$C$42*$A89/8760/1000*INDEX('Bulb Weighting'!$B$2:$C$17,MATCH(RIGHT('SC-New'!$D89,LEN($D89)-7),'Bulb Weighting'!$B$3:$B$17,0)+1,2)</f>
        <v>0</v>
      </c>
      <c r="H89" s="37">
        <f>VLOOKUP($C89,$C$33:$Y$36,H$31,FALSE)*$C$42*$A89/8760/1000*INDEX('Bulb Weighting'!$B$2:$C$17,MATCH(RIGHT('SC-New'!$D89,LEN($D89)-7),'Bulb Weighting'!$B$3:$B$17,0)+1,2)</f>
        <v>0</v>
      </c>
      <c r="I89" s="37">
        <f>VLOOKUP($C89,$C$33:$Y$36,I$31,FALSE)*$C$42*$A89/8760/1000*INDEX('Bulb Weighting'!$B$2:$C$17,MATCH(RIGHT('SC-New'!$D89,LEN($D89)-7),'Bulb Weighting'!$B$3:$B$17,0)+1,2)</f>
        <v>0</v>
      </c>
      <c r="J89" s="37">
        <f>VLOOKUP($C89,$C$33:$Y$36,J$31,FALSE)*$C$42*$A89/8760/1000*INDEX('Bulb Weighting'!$B$2:$C$17,MATCH(RIGHT('SC-New'!$D89,LEN($D89)-7),'Bulb Weighting'!$B$3:$B$17,0)+1,2)</f>
        <v>0</v>
      </c>
      <c r="K89" s="37">
        <f>VLOOKUP($C89,$C$33:$Y$36,K$31,FALSE)*$C$42*$A89/8760/1000*INDEX('Bulb Weighting'!$B$2:$C$17,MATCH(RIGHT('SC-New'!$D89,LEN($D89)-7),'Bulb Weighting'!$B$3:$B$17,0)+1,2)</f>
        <v>0</v>
      </c>
      <c r="L89" s="37">
        <f>VLOOKUP($C89,$C$33:$Y$36,L$31,FALSE)*$C$42*$A89/8760/1000*INDEX('Bulb Weighting'!$B$2:$C$17,MATCH(RIGHT('SC-New'!$D89,LEN($D89)-7),'Bulb Weighting'!$B$3:$B$17,0)+1,2)</f>
        <v>0</v>
      </c>
      <c r="M89" s="37">
        <f>VLOOKUP($C89,$C$33:$Y$36,M$31,FALSE)*$C$42*$A89/8760/1000*INDEX('Bulb Weighting'!$B$2:$C$17,MATCH(RIGHT('SC-New'!$D89,LEN($D89)-7),'Bulb Weighting'!$B$3:$B$17,0)+1,2)</f>
        <v>0</v>
      </c>
      <c r="N89" s="37">
        <f>VLOOKUP($C89,$C$33:$Y$36,N$31,FALSE)*$C$42*$A89/8760/1000*INDEX('Bulb Weighting'!$B$2:$C$17,MATCH(RIGHT('SC-New'!$D89,LEN($D89)-7),'Bulb Weighting'!$B$3:$B$17,0)+1,2)</f>
        <v>0</v>
      </c>
      <c r="O89" s="37">
        <f>VLOOKUP($C89,$C$33:$Y$36,O$31,FALSE)*$C$42*$A89/8760/1000*INDEX('Bulb Weighting'!$B$2:$C$17,MATCH(RIGHT('SC-New'!$D89,LEN($D89)-7),'Bulb Weighting'!$B$3:$B$17,0)+1,2)</f>
        <v>0</v>
      </c>
      <c r="P89" s="37">
        <f>VLOOKUP($C89,$C$33:$Y$36,P$31,FALSE)*$C$42*$A89/8760/1000*INDEX('Bulb Weighting'!$B$2:$C$17,MATCH(RIGHT('SC-New'!$D89,LEN($D89)-7),'Bulb Weighting'!$B$3:$B$17,0)+1,2)</f>
        <v>0</v>
      </c>
      <c r="Q89" s="37">
        <f>VLOOKUP($C89,$C$33:$Y$36,Q$31,FALSE)*$C$42*$A89/8760/1000*INDEX('Bulb Weighting'!$B$2:$C$17,MATCH(RIGHT('SC-New'!$D89,LEN($D89)-7),'Bulb Weighting'!$B$3:$B$17,0)+1,2)</f>
        <v>0</v>
      </c>
      <c r="R89" s="37">
        <f>VLOOKUP($C89,$C$33:$Y$36,R$31,FALSE)*$C$42*$A89/8760/1000*INDEX('Bulb Weighting'!$B$2:$C$17,MATCH(RIGHT('SC-New'!$D89,LEN($D89)-7),'Bulb Weighting'!$B$3:$B$17,0)+1,2)</f>
        <v>0</v>
      </c>
      <c r="S89" s="37">
        <f>VLOOKUP($C89,$C$33:$Y$36,S$31,FALSE)*$C$42*$A89/8760/1000*INDEX('Bulb Weighting'!$B$2:$C$17,MATCH(RIGHT('SC-New'!$D89,LEN($D89)-7),'Bulb Weighting'!$B$3:$B$17,0)+1,2)</f>
        <v>0</v>
      </c>
      <c r="T89" s="37">
        <f>VLOOKUP($C89,$C$33:$Y$36,T$31,FALSE)*$C$42*$A89/8760/1000*INDEX('Bulb Weighting'!$B$2:$C$17,MATCH(RIGHT('SC-New'!$D89,LEN($D89)-7),'Bulb Weighting'!$B$3:$B$17,0)+1,2)</f>
        <v>0</v>
      </c>
      <c r="U89" s="37">
        <f>VLOOKUP($C89,$C$33:$Y$36,U$31,FALSE)*$C$42*$A89/8760/1000*INDEX('Bulb Weighting'!$B$2:$C$17,MATCH(RIGHT('SC-New'!$D89,LEN($D89)-7),'Bulb Weighting'!$B$3:$B$17,0)+1,2)</f>
        <v>0</v>
      </c>
      <c r="V89" s="37">
        <f>VLOOKUP($C89,$C$33:$Y$36,V$31,FALSE)*$C$42*$A89/8760/1000*INDEX('Bulb Weighting'!$B$2:$C$17,MATCH(RIGHT('SC-New'!$D89,LEN($D89)-7),'Bulb Weighting'!$B$3:$B$17,0)+1,2)</f>
        <v>0</v>
      </c>
      <c r="W89" s="37">
        <f>VLOOKUP($C89,$C$33:$Y$36,W$31,FALSE)*$C$42*$A89/8760/1000*INDEX('Bulb Weighting'!$B$2:$C$17,MATCH(RIGHT('SC-New'!$D89,LEN($D89)-7),'Bulb Weighting'!$B$3:$B$17,0)+1,2)</f>
        <v>0</v>
      </c>
      <c r="X89" s="37">
        <f>VLOOKUP($C89,$C$33:$Y$36,X$31,FALSE)*$C$42*$A89/8760/1000*INDEX('Bulb Weighting'!$B$2:$C$17,MATCH(RIGHT('SC-New'!$D89,LEN($D89)-7),'Bulb Weighting'!$B$3:$B$17,0)+1,2)</f>
        <v>0</v>
      </c>
      <c r="Y89" s="37">
        <f t="shared" si="18"/>
        <v>2.1592427036696096E-3</v>
      </c>
      <c r="AA89" s="31"/>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c r="A90" s="89">
        <f t="shared" si="20"/>
        <v>14.492020906444102</v>
      </c>
      <c r="B90" s="71">
        <f t="shared" si="21"/>
        <v>-3.5286913755547569</v>
      </c>
      <c r="C90" s="1" t="s">
        <v>30</v>
      </c>
      <c r="D90" t="s">
        <v>718</v>
      </c>
      <c r="E90" s="37">
        <f>VLOOKUP($C90,$C$33:$Y$36,E$31,FALSE)*$C$42*$A90/8760/1000*INDEX('Bulb Weighting'!$B$2:$C$17,MATCH(RIGHT('SC-New'!$D90,LEN($D90)-7),'Bulb Weighting'!$B$3:$B$17,0)+1,2)</f>
        <v>4.4616045040100363E-4</v>
      </c>
      <c r="F90" s="37">
        <f>VLOOKUP($C90,$C$33:$Y$36,F$31,FALSE)*$C$42*$A90/8760/1000*INDEX('Bulb Weighting'!$B$2:$C$17,MATCH(RIGHT('SC-New'!$D90,LEN($D90)-7),'Bulb Weighting'!$B$3:$B$17,0)+1,2)</f>
        <v>0</v>
      </c>
      <c r="G90" s="37">
        <f>VLOOKUP($C90,$C$33:$Y$36,G$31,FALSE)*$C$42*$A90/8760/1000*INDEX('Bulb Weighting'!$B$2:$C$17,MATCH(RIGHT('SC-New'!$D90,LEN($D90)-7),'Bulb Weighting'!$B$3:$B$17,0)+1,2)</f>
        <v>0</v>
      </c>
      <c r="H90" s="37">
        <f>VLOOKUP($C90,$C$33:$Y$36,H$31,FALSE)*$C$42*$A90/8760/1000*INDEX('Bulb Weighting'!$B$2:$C$17,MATCH(RIGHT('SC-New'!$D90,LEN($D90)-7),'Bulb Weighting'!$B$3:$B$17,0)+1,2)</f>
        <v>0</v>
      </c>
      <c r="I90" s="37">
        <f>VLOOKUP($C90,$C$33:$Y$36,I$31,FALSE)*$C$42*$A90/8760/1000*INDEX('Bulb Weighting'!$B$2:$C$17,MATCH(RIGHT('SC-New'!$D90,LEN($D90)-7),'Bulb Weighting'!$B$3:$B$17,0)+1,2)</f>
        <v>0</v>
      </c>
      <c r="J90" s="37">
        <f>VLOOKUP($C90,$C$33:$Y$36,J$31,FALSE)*$C$42*$A90/8760/1000*INDEX('Bulb Weighting'!$B$2:$C$17,MATCH(RIGHT('SC-New'!$D90,LEN($D90)-7),'Bulb Weighting'!$B$3:$B$17,0)+1,2)</f>
        <v>0</v>
      </c>
      <c r="K90" s="37">
        <f>VLOOKUP($C90,$C$33:$Y$36,K$31,FALSE)*$C$42*$A90/8760/1000*INDEX('Bulb Weighting'!$B$2:$C$17,MATCH(RIGHT('SC-New'!$D90,LEN($D90)-7),'Bulb Weighting'!$B$3:$B$17,0)+1,2)</f>
        <v>0</v>
      </c>
      <c r="L90" s="37">
        <f>VLOOKUP($C90,$C$33:$Y$36,L$31,FALSE)*$C$42*$A90/8760/1000*INDEX('Bulb Weighting'!$B$2:$C$17,MATCH(RIGHT('SC-New'!$D90,LEN($D90)-7),'Bulb Weighting'!$B$3:$B$17,0)+1,2)</f>
        <v>0</v>
      </c>
      <c r="M90" s="37">
        <f>VLOOKUP($C90,$C$33:$Y$36,M$31,FALSE)*$C$42*$A90/8760/1000*INDEX('Bulb Weighting'!$B$2:$C$17,MATCH(RIGHT('SC-New'!$D90,LEN($D90)-7),'Bulb Weighting'!$B$3:$B$17,0)+1,2)</f>
        <v>0</v>
      </c>
      <c r="N90" s="37">
        <f>VLOOKUP($C90,$C$33:$Y$36,N$31,FALSE)*$C$42*$A90/8760/1000*INDEX('Bulb Weighting'!$B$2:$C$17,MATCH(RIGHT('SC-New'!$D90,LEN($D90)-7),'Bulb Weighting'!$B$3:$B$17,0)+1,2)</f>
        <v>0</v>
      </c>
      <c r="O90" s="37">
        <f>VLOOKUP($C90,$C$33:$Y$36,O$31,FALSE)*$C$42*$A90/8760/1000*INDEX('Bulb Weighting'!$B$2:$C$17,MATCH(RIGHT('SC-New'!$D90,LEN($D90)-7),'Bulb Weighting'!$B$3:$B$17,0)+1,2)</f>
        <v>0</v>
      </c>
      <c r="P90" s="37">
        <f>VLOOKUP($C90,$C$33:$Y$36,P$31,FALSE)*$C$42*$A90/8760/1000*INDEX('Bulb Weighting'!$B$2:$C$17,MATCH(RIGHT('SC-New'!$D90,LEN($D90)-7),'Bulb Weighting'!$B$3:$B$17,0)+1,2)</f>
        <v>0</v>
      </c>
      <c r="Q90" s="37">
        <f>VLOOKUP($C90,$C$33:$Y$36,Q$31,FALSE)*$C$42*$A90/8760/1000*INDEX('Bulb Weighting'!$B$2:$C$17,MATCH(RIGHT('SC-New'!$D90,LEN($D90)-7),'Bulb Weighting'!$B$3:$B$17,0)+1,2)</f>
        <v>0</v>
      </c>
      <c r="R90" s="37">
        <f>VLOOKUP($C90,$C$33:$Y$36,R$31,FALSE)*$C$42*$A90/8760/1000*INDEX('Bulb Weighting'!$B$2:$C$17,MATCH(RIGHT('SC-New'!$D90,LEN($D90)-7),'Bulb Weighting'!$B$3:$B$17,0)+1,2)</f>
        <v>0</v>
      </c>
      <c r="S90" s="37">
        <f>VLOOKUP($C90,$C$33:$Y$36,S$31,FALSE)*$C$42*$A90/8760/1000*INDEX('Bulb Weighting'!$B$2:$C$17,MATCH(RIGHT('SC-New'!$D90,LEN($D90)-7),'Bulb Weighting'!$B$3:$B$17,0)+1,2)</f>
        <v>0</v>
      </c>
      <c r="T90" s="37">
        <f>VLOOKUP($C90,$C$33:$Y$36,T$31,FALSE)*$C$42*$A90/8760/1000*INDEX('Bulb Weighting'!$B$2:$C$17,MATCH(RIGHT('SC-New'!$D90,LEN($D90)-7),'Bulb Weighting'!$B$3:$B$17,0)+1,2)</f>
        <v>0</v>
      </c>
      <c r="U90" s="37">
        <f>VLOOKUP($C90,$C$33:$Y$36,U$31,FALSE)*$C$42*$A90/8760/1000*INDEX('Bulb Weighting'!$B$2:$C$17,MATCH(RIGHT('SC-New'!$D90,LEN($D90)-7),'Bulb Weighting'!$B$3:$B$17,0)+1,2)</f>
        <v>0</v>
      </c>
      <c r="V90" s="37">
        <f>VLOOKUP($C90,$C$33:$Y$36,V$31,FALSE)*$C$42*$A90/8760/1000*INDEX('Bulb Weighting'!$B$2:$C$17,MATCH(RIGHT('SC-New'!$D90,LEN($D90)-7),'Bulb Weighting'!$B$3:$B$17,0)+1,2)</f>
        <v>0</v>
      </c>
      <c r="W90" s="37">
        <f>VLOOKUP($C90,$C$33:$Y$36,W$31,FALSE)*$C$42*$A90/8760/1000*INDEX('Bulb Weighting'!$B$2:$C$17,MATCH(RIGHT('SC-New'!$D90,LEN($D90)-7),'Bulb Weighting'!$B$3:$B$17,0)+1,2)</f>
        <v>0</v>
      </c>
      <c r="X90" s="37">
        <f>VLOOKUP($C90,$C$33:$Y$36,X$31,FALSE)*$C$42*$A90/8760/1000*INDEX('Bulb Weighting'!$B$2:$C$17,MATCH(RIGHT('SC-New'!$D90,LEN($D90)-7),'Bulb Weighting'!$B$3:$B$17,0)+1,2)</f>
        <v>0</v>
      </c>
      <c r="Y90" s="37">
        <f t="shared" si="18"/>
        <v>4.4616045040100363E-4</v>
      </c>
      <c r="AA90" s="31"/>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c r="A91" s="89">
        <f t="shared" si="20"/>
        <v>7.1768930642853626</v>
      </c>
      <c r="B91" s="71">
        <f t="shared" si="21"/>
        <v>355.22288385759038</v>
      </c>
      <c r="C91" s="1" t="s">
        <v>30</v>
      </c>
      <c r="D91" t="s">
        <v>720</v>
      </c>
      <c r="E91" s="37">
        <f>VLOOKUP($C91,$C$33:$Y$36,E$31,FALSE)*$C$42*$A91/8760/1000*INDEX('Bulb Weighting'!$B$2:$C$17,MATCH(RIGHT('SC-New'!$D91,LEN($D91)-7),'Bulb Weighting'!$B$3:$B$17,0)+1,2)</f>
        <v>4.3409349189717722E-6</v>
      </c>
      <c r="F91" s="37">
        <f>VLOOKUP($C91,$C$33:$Y$36,F$31,FALSE)*$C$42*$A91/8760/1000*INDEX('Bulb Weighting'!$B$2:$C$17,MATCH(RIGHT('SC-New'!$D91,LEN($D91)-7),'Bulb Weighting'!$B$3:$B$17,0)+1,2)</f>
        <v>0</v>
      </c>
      <c r="G91" s="37">
        <f>VLOOKUP($C91,$C$33:$Y$36,G$31,FALSE)*$C$42*$A91/8760/1000*INDEX('Bulb Weighting'!$B$2:$C$17,MATCH(RIGHT('SC-New'!$D91,LEN($D91)-7),'Bulb Weighting'!$B$3:$B$17,0)+1,2)</f>
        <v>0</v>
      </c>
      <c r="H91" s="37">
        <f>VLOOKUP($C91,$C$33:$Y$36,H$31,FALSE)*$C$42*$A91/8760/1000*INDEX('Bulb Weighting'!$B$2:$C$17,MATCH(RIGHT('SC-New'!$D91,LEN($D91)-7),'Bulb Weighting'!$B$3:$B$17,0)+1,2)</f>
        <v>0</v>
      </c>
      <c r="I91" s="37">
        <f>VLOOKUP($C91,$C$33:$Y$36,I$31,FALSE)*$C$42*$A91/8760/1000*INDEX('Bulb Weighting'!$B$2:$C$17,MATCH(RIGHT('SC-New'!$D91,LEN($D91)-7),'Bulb Weighting'!$B$3:$B$17,0)+1,2)</f>
        <v>0</v>
      </c>
      <c r="J91" s="37">
        <f>VLOOKUP($C91,$C$33:$Y$36,J$31,FALSE)*$C$42*$A91/8760/1000*INDEX('Bulb Weighting'!$B$2:$C$17,MATCH(RIGHT('SC-New'!$D91,LEN($D91)-7),'Bulb Weighting'!$B$3:$B$17,0)+1,2)</f>
        <v>0</v>
      </c>
      <c r="K91" s="37">
        <f>VLOOKUP($C91,$C$33:$Y$36,K$31,FALSE)*$C$42*$A91/8760/1000*INDEX('Bulb Weighting'!$B$2:$C$17,MATCH(RIGHT('SC-New'!$D91,LEN($D91)-7),'Bulb Weighting'!$B$3:$B$17,0)+1,2)</f>
        <v>0</v>
      </c>
      <c r="L91" s="37">
        <f>VLOOKUP($C91,$C$33:$Y$36,L$31,FALSE)*$C$42*$A91/8760/1000*INDEX('Bulb Weighting'!$B$2:$C$17,MATCH(RIGHT('SC-New'!$D91,LEN($D91)-7),'Bulb Weighting'!$B$3:$B$17,0)+1,2)</f>
        <v>0</v>
      </c>
      <c r="M91" s="37">
        <f>VLOOKUP($C91,$C$33:$Y$36,M$31,FALSE)*$C$42*$A91/8760/1000*INDEX('Bulb Weighting'!$B$2:$C$17,MATCH(RIGHT('SC-New'!$D91,LEN($D91)-7),'Bulb Weighting'!$B$3:$B$17,0)+1,2)</f>
        <v>0</v>
      </c>
      <c r="N91" s="37">
        <f>VLOOKUP($C91,$C$33:$Y$36,N$31,FALSE)*$C$42*$A91/8760/1000*INDEX('Bulb Weighting'!$B$2:$C$17,MATCH(RIGHT('SC-New'!$D91,LEN($D91)-7),'Bulb Weighting'!$B$3:$B$17,0)+1,2)</f>
        <v>0</v>
      </c>
      <c r="O91" s="37">
        <f>VLOOKUP($C91,$C$33:$Y$36,O$31,FALSE)*$C$42*$A91/8760/1000*INDEX('Bulb Weighting'!$B$2:$C$17,MATCH(RIGHT('SC-New'!$D91,LEN($D91)-7),'Bulb Weighting'!$B$3:$B$17,0)+1,2)</f>
        <v>0</v>
      </c>
      <c r="P91" s="37">
        <f>VLOOKUP($C91,$C$33:$Y$36,P$31,FALSE)*$C$42*$A91/8760/1000*INDEX('Bulb Weighting'!$B$2:$C$17,MATCH(RIGHT('SC-New'!$D91,LEN($D91)-7),'Bulb Weighting'!$B$3:$B$17,0)+1,2)</f>
        <v>0</v>
      </c>
      <c r="Q91" s="37">
        <f>VLOOKUP($C91,$C$33:$Y$36,Q$31,FALSE)*$C$42*$A91/8760/1000*INDEX('Bulb Weighting'!$B$2:$C$17,MATCH(RIGHT('SC-New'!$D91,LEN($D91)-7),'Bulb Weighting'!$B$3:$B$17,0)+1,2)</f>
        <v>0</v>
      </c>
      <c r="R91" s="37">
        <f>VLOOKUP($C91,$C$33:$Y$36,R$31,FALSE)*$C$42*$A91/8760/1000*INDEX('Bulb Weighting'!$B$2:$C$17,MATCH(RIGHT('SC-New'!$D91,LEN($D91)-7),'Bulb Weighting'!$B$3:$B$17,0)+1,2)</f>
        <v>0</v>
      </c>
      <c r="S91" s="37">
        <f>VLOOKUP($C91,$C$33:$Y$36,S$31,FALSE)*$C$42*$A91/8760/1000*INDEX('Bulb Weighting'!$B$2:$C$17,MATCH(RIGHT('SC-New'!$D91,LEN($D91)-7),'Bulb Weighting'!$B$3:$B$17,0)+1,2)</f>
        <v>0</v>
      </c>
      <c r="T91" s="37">
        <f>VLOOKUP($C91,$C$33:$Y$36,T$31,FALSE)*$C$42*$A91/8760/1000*INDEX('Bulb Weighting'!$B$2:$C$17,MATCH(RIGHT('SC-New'!$D91,LEN($D91)-7),'Bulb Weighting'!$B$3:$B$17,0)+1,2)</f>
        <v>0</v>
      </c>
      <c r="U91" s="37">
        <f>VLOOKUP($C91,$C$33:$Y$36,U$31,FALSE)*$C$42*$A91/8760/1000*INDEX('Bulb Weighting'!$B$2:$C$17,MATCH(RIGHT('SC-New'!$D91,LEN($D91)-7),'Bulb Weighting'!$B$3:$B$17,0)+1,2)</f>
        <v>0</v>
      </c>
      <c r="V91" s="37">
        <f>VLOOKUP($C91,$C$33:$Y$36,V$31,FALSE)*$C$42*$A91/8760/1000*INDEX('Bulb Weighting'!$B$2:$C$17,MATCH(RIGHT('SC-New'!$D91,LEN($D91)-7),'Bulb Weighting'!$B$3:$B$17,0)+1,2)</f>
        <v>0</v>
      </c>
      <c r="W91" s="37">
        <f>VLOOKUP($C91,$C$33:$Y$36,W$31,FALSE)*$C$42*$A91/8760/1000*INDEX('Bulb Weighting'!$B$2:$C$17,MATCH(RIGHT('SC-New'!$D91,LEN($D91)-7),'Bulb Weighting'!$B$3:$B$17,0)+1,2)</f>
        <v>0</v>
      </c>
      <c r="X91" s="37">
        <f>VLOOKUP($C91,$C$33:$Y$36,X$31,FALSE)*$C$42*$A91/8760/1000*INDEX('Bulb Weighting'!$B$2:$C$17,MATCH(RIGHT('SC-New'!$D91,LEN($D91)-7),'Bulb Weighting'!$B$3:$B$17,0)+1,2)</f>
        <v>0</v>
      </c>
      <c r="Y91" s="37">
        <f t="shared" si="18"/>
        <v>4.3409349189717722E-6</v>
      </c>
      <c r="AA91" s="3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c r="A92" s="89">
        <f t="shared" si="20"/>
        <v>1.835623194306955</v>
      </c>
      <c r="B92" s="71">
        <f t="shared" si="21"/>
        <v>45.354656455601045</v>
      </c>
      <c r="C92" s="1" t="s">
        <v>30</v>
      </c>
      <c r="D92" t="s">
        <v>722</v>
      </c>
      <c r="E92" s="37">
        <f>VLOOKUP($C92,$C$33:$Y$36,E$31,FALSE)*$C$42*$A92/8760/1000*INDEX('Bulb Weighting'!$B$2:$C$17,MATCH(RIGHT('SC-New'!$D92,LEN($D92)-7),'Bulb Weighting'!$B$3:$B$17,0)+1,2)</f>
        <v>1.720583360778261E-4</v>
      </c>
      <c r="F92" s="37">
        <f>VLOOKUP($C92,$C$33:$Y$36,F$31,FALSE)*$C$42*$A92/8760/1000*INDEX('Bulb Weighting'!$B$2:$C$17,MATCH(RIGHT('SC-New'!$D92,LEN($D92)-7),'Bulb Weighting'!$B$3:$B$17,0)+1,2)</f>
        <v>0</v>
      </c>
      <c r="G92" s="37">
        <f>VLOOKUP($C92,$C$33:$Y$36,G$31,FALSE)*$C$42*$A92/8760/1000*INDEX('Bulb Weighting'!$B$2:$C$17,MATCH(RIGHT('SC-New'!$D92,LEN($D92)-7),'Bulb Weighting'!$B$3:$B$17,0)+1,2)</f>
        <v>0</v>
      </c>
      <c r="H92" s="37">
        <f>VLOOKUP($C92,$C$33:$Y$36,H$31,FALSE)*$C$42*$A92/8760/1000*INDEX('Bulb Weighting'!$B$2:$C$17,MATCH(RIGHT('SC-New'!$D92,LEN($D92)-7),'Bulb Weighting'!$B$3:$B$17,0)+1,2)</f>
        <v>0</v>
      </c>
      <c r="I92" s="37">
        <f>VLOOKUP($C92,$C$33:$Y$36,I$31,FALSE)*$C$42*$A92/8760/1000*INDEX('Bulb Weighting'!$B$2:$C$17,MATCH(RIGHT('SC-New'!$D92,LEN($D92)-7),'Bulb Weighting'!$B$3:$B$17,0)+1,2)</f>
        <v>0</v>
      </c>
      <c r="J92" s="37">
        <f>VLOOKUP($C92,$C$33:$Y$36,J$31,FALSE)*$C$42*$A92/8760/1000*INDEX('Bulb Weighting'!$B$2:$C$17,MATCH(RIGHT('SC-New'!$D92,LEN($D92)-7),'Bulb Weighting'!$B$3:$B$17,0)+1,2)</f>
        <v>0</v>
      </c>
      <c r="K92" s="37">
        <f>VLOOKUP($C92,$C$33:$Y$36,K$31,FALSE)*$C$42*$A92/8760/1000*INDEX('Bulb Weighting'!$B$2:$C$17,MATCH(RIGHT('SC-New'!$D92,LEN($D92)-7),'Bulb Weighting'!$B$3:$B$17,0)+1,2)</f>
        <v>0</v>
      </c>
      <c r="L92" s="37">
        <f>VLOOKUP($C92,$C$33:$Y$36,L$31,FALSE)*$C$42*$A92/8760/1000*INDEX('Bulb Weighting'!$B$2:$C$17,MATCH(RIGHT('SC-New'!$D92,LEN($D92)-7),'Bulb Weighting'!$B$3:$B$17,0)+1,2)</f>
        <v>0</v>
      </c>
      <c r="M92" s="37">
        <f>VLOOKUP($C92,$C$33:$Y$36,M$31,FALSE)*$C$42*$A92/8760/1000*INDEX('Bulb Weighting'!$B$2:$C$17,MATCH(RIGHT('SC-New'!$D92,LEN($D92)-7),'Bulb Weighting'!$B$3:$B$17,0)+1,2)</f>
        <v>0</v>
      </c>
      <c r="N92" s="37">
        <f>VLOOKUP($C92,$C$33:$Y$36,N$31,FALSE)*$C$42*$A92/8760/1000*INDEX('Bulb Weighting'!$B$2:$C$17,MATCH(RIGHT('SC-New'!$D92,LEN($D92)-7),'Bulb Weighting'!$B$3:$B$17,0)+1,2)</f>
        <v>0</v>
      </c>
      <c r="O92" s="37">
        <f>VLOOKUP($C92,$C$33:$Y$36,O$31,FALSE)*$C$42*$A92/8760/1000*INDEX('Bulb Weighting'!$B$2:$C$17,MATCH(RIGHT('SC-New'!$D92,LEN($D92)-7),'Bulb Weighting'!$B$3:$B$17,0)+1,2)</f>
        <v>0</v>
      </c>
      <c r="P92" s="37">
        <f>VLOOKUP($C92,$C$33:$Y$36,P$31,FALSE)*$C$42*$A92/8760/1000*INDEX('Bulb Weighting'!$B$2:$C$17,MATCH(RIGHT('SC-New'!$D92,LEN($D92)-7),'Bulb Weighting'!$B$3:$B$17,0)+1,2)</f>
        <v>0</v>
      </c>
      <c r="Q92" s="37">
        <f>VLOOKUP($C92,$C$33:$Y$36,Q$31,FALSE)*$C$42*$A92/8760/1000*INDEX('Bulb Weighting'!$B$2:$C$17,MATCH(RIGHT('SC-New'!$D92,LEN($D92)-7),'Bulb Weighting'!$B$3:$B$17,0)+1,2)</f>
        <v>0</v>
      </c>
      <c r="R92" s="37">
        <f>VLOOKUP($C92,$C$33:$Y$36,R$31,FALSE)*$C$42*$A92/8760/1000*INDEX('Bulb Weighting'!$B$2:$C$17,MATCH(RIGHT('SC-New'!$D92,LEN($D92)-7),'Bulb Weighting'!$B$3:$B$17,0)+1,2)</f>
        <v>0</v>
      </c>
      <c r="S92" s="37">
        <f>VLOOKUP($C92,$C$33:$Y$36,S$31,FALSE)*$C$42*$A92/8760/1000*INDEX('Bulb Weighting'!$B$2:$C$17,MATCH(RIGHT('SC-New'!$D92,LEN($D92)-7),'Bulb Weighting'!$B$3:$B$17,0)+1,2)</f>
        <v>0</v>
      </c>
      <c r="T92" s="37">
        <f>VLOOKUP($C92,$C$33:$Y$36,T$31,FALSE)*$C$42*$A92/8760/1000*INDEX('Bulb Weighting'!$B$2:$C$17,MATCH(RIGHT('SC-New'!$D92,LEN($D92)-7),'Bulb Weighting'!$B$3:$B$17,0)+1,2)</f>
        <v>0</v>
      </c>
      <c r="U92" s="37">
        <f>VLOOKUP($C92,$C$33:$Y$36,U$31,FALSE)*$C$42*$A92/8760/1000*INDEX('Bulb Weighting'!$B$2:$C$17,MATCH(RIGHT('SC-New'!$D92,LEN($D92)-7),'Bulb Weighting'!$B$3:$B$17,0)+1,2)</f>
        <v>0</v>
      </c>
      <c r="V92" s="37">
        <f>VLOOKUP($C92,$C$33:$Y$36,V$31,FALSE)*$C$42*$A92/8760/1000*INDEX('Bulb Weighting'!$B$2:$C$17,MATCH(RIGHT('SC-New'!$D92,LEN($D92)-7),'Bulb Weighting'!$B$3:$B$17,0)+1,2)</f>
        <v>0</v>
      </c>
      <c r="W92" s="37">
        <f>VLOOKUP($C92,$C$33:$Y$36,W$31,FALSE)*$C$42*$A92/8760/1000*INDEX('Bulb Weighting'!$B$2:$C$17,MATCH(RIGHT('SC-New'!$D92,LEN($D92)-7),'Bulb Weighting'!$B$3:$B$17,0)+1,2)</f>
        <v>0</v>
      </c>
      <c r="X92" s="37">
        <f>VLOOKUP($C92,$C$33:$Y$36,X$31,FALSE)*$C$42*$A92/8760/1000*INDEX('Bulb Weighting'!$B$2:$C$17,MATCH(RIGHT('SC-New'!$D92,LEN($D92)-7),'Bulb Weighting'!$B$3:$B$17,0)+1,2)</f>
        <v>0</v>
      </c>
      <c r="Y92" s="37">
        <f t="shared" si="18"/>
        <v>1.720583360778261E-4</v>
      </c>
      <c r="AA92" s="31"/>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c r="A93" s="89">
        <f t="shared" si="20"/>
        <v>7.1645689261628798</v>
      </c>
      <c r="B93" s="71">
        <f t="shared" si="21"/>
        <v>56.611757463143533</v>
      </c>
      <c r="C93" s="1" t="s">
        <v>30</v>
      </c>
      <c r="D93" t="s">
        <v>724</v>
      </c>
      <c r="E93" s="37">
        <f>VLOOKUP($C93,$C$33:$Y$36,E$31,FALSE)*$C$42*$A93/8760/1000*INDEX('Bulb Weighting'!$B$2:$C$17,MATCH(RIGHT('SC-New'!$D93,LEN($D93)-7),'Bulb Weighting'!$B$3:$B$17,0)+1,2)</f>
        <v>5.1820373037757489E-3</v>
      </c>
      <c r="F93" s="37">
        <f>VLOOKUP($C93,$C$33:$Y$36,F$31,FALSE)*$C$42*$A93/8760/1000*INDEX('Bulb Weighting'!$B$2:$C$17,MATCH(RIGHT('SC-New'!$D93,LEN($D93)-7),'Bulb Weighting'!$B$3:$B$17,0)+1,2)</f>
        <v>0</v>
      </c>
      <c r="G93" s="37">
        <f>VLOOKUP($C93,$C$33:$Y$36,G$31,FALSE)*$C$42*$A93/8760/1000*INDEX('Bulb Weighting'!$B$2:$C$17,MATCH(RIGHT('SC-New'!$D93,LEN($D93)-7),'Bulb Weighting'!$B$3:$B$17,0)+1,2)</f>
        <v>0</v>
      </c>
      <c r="H93" s="37">
        <f>VLOOKUP($C93,$C$33:$Y$36,H$31,FALSE)*$C$42*$A93/8760/1000*INDEX('Bulb Weighting'!$B$2:$C$17,MATCH(RIGHT('SC-New'!$D93,LEN($D93)-7),'Bulb Weighting'!$B$3:$B$17,0)+1,2)</f>
        <v>0</v>
      </c>
      <c r="I93" s="37">
        <f>VLOOKUP($C93,$C$33:$Y$36,I$31,FALSE)*$C$42*$A93/8760/1000*INDEX('Bulb Weighting'!$B$2:$C$17,MATCH(RIGHT('SC-New'!$D93,LEN($D93)-7),'Bulb Weighting'!$B$3:$B$17,0)+1,2)</f>
        <v>0</v>
      </c>
      <c r="J93" s="37">
        <f>VLOOKUP($C93,$C$33:$Y$36,J$31,FALSE)*$C$42*$A93/8760/1000*INDEX('Bulb Weighting'!$B$2:$C$17,MATCH(RIGHT('SC-New'!$D93,LEN($D93)-7),'Bulb Weighting'!$B$3:$B$17,0)+1,2)</f>
        <v>0</v>
      </c>
      <c r="K93" s="37">
        <f>VLOOKUP($C93,$C$33:$Y$36,K$31,FALSE)*$C$42*$A93/8760/1000*INDEX('Bulb Weighting'!$B$2:$C$17,MATCH(RIGHT('SC-New'!$D93,LEN($D93)-7),'Bulb Weighting'!$B$3:$B$17,0)+1,2)</f>
        <v>0</v>
      </c>
      <c r="L93" s="37">
        <f>VLOOKUP($C93,$C$33:$Y$36,L$31,FALSE)*$C$42*$A93/8760/1000*INDEX('Bulb Weighting'!$B$2:$C$17,MATCH(RIGHT('SC-New'!$D93,LEN($D93)-7),'Bulb Weighting'!$B$3:$B$17,0)+1,2)</f>
        <v>0</v>
      </c>
      <c r="M93" s="37">
        <f>VLOOKUP($C93,$C$33:$Y$36,M$31,FALSE)*$C$42*$A93/8760/1000*INDEX('Bulb Weighting'!$B$2:$C$17,MATCH(RIGHT('SC-New'!$D93,LEN($D93)-7),'Bulb Weighting'!$B$3:$B$17,0)+1,2)</f>
        <v>0</v>
      </c>
      <c r="N93" s="37">
        <f>VLOOKUP($C93,$C$33:$Y$36,N$31,FALSE)*$C$42*$A93/8760/1000*INDEX('Bulb Weighting'!$B$2:$C$17,MATCH(RIGHT('SC-New'!$D93,LEN($D93)-7),'Bulb Weighting'!$B$3:$B$17,0)+1,2)</f>
        <v>0</v>
      </c>
      <c r="O93" s="37">
        <f>VLOOKUP($C93,$C$33:$Y$36,O$31,FALSE)*$C$42*$A93/8760/1000*INDEX('Bulb Weighting'!$B$2:$C$17,MATCH(RIGHT('SC-New'!$D93,LEN($D93)-7),'Bulb Weighting'!$B$3:$B$17,0)+1,2)</f>
        <v>0</v>
      </c>
      <c r="P93" s="37">
        <f>VLOOKUP($C93,$C$33:$Y$36,P$31,FALSE)*$C$42*$A93/8760/1000*INDEX('Bulb Weighting'!$B$2:$C$17,MATCH(RIGHT('SC-New'!$D93,LEN($D93)-7),'Bulb Weighting'!$B$3:$B$17,0)+1,2)</f>
        <v>0</v>
      </c>
      <c r="Q93" s="37">
        <f>VLOOKUP($C93,$C$33:$Y$36,Q$31,FALSE)*$C$42*$A93/8760/1000*INDEX('Bulb Weighting'!$B$2:$C$17,MATCH(RIGHT('SC-New'!$D93,LEN($D93)-7),'Bulb Weighting'!$B$3:$B$17,0)+1,2)</f>
        <v>0</v>
      </c>
      <c r="R93" s="37">
        <f>VLOOKUP($C93,$C$33:$Y$36,R$31,FALSE)*$C$42*$A93/8760/1000*INDEX('Bulb Weighting'!$B$2:$C$17,MATCH(RIGHT('SC-New'!$D93,LEN($D93)-7),'Bulb Weighting'!$B$3:$B$17,0)+1,2)</f>
        <v>0</v>
      </c>
      <c r="S93" s="37">
        <f>VLOOKUP($C93,$C$33:$Y$36,S$31,FALSE)*$C$42*$A93/8760/1000*INDEX('Bulb Weighting'!$B$2:$C$17,MATCH(RIGHT('SC-New'!$D93,LEN($D93)-7),'Bulb Weighting'!$B$3:$B$17,0)+1,2)</f>
        <v>0</v>
      </c>
      <c r="T93" s="37">
        <f>VLOOKUP($C93,$C$33:$Y$36,T$31,FALSE)*$C$42*$A93/8760/1000*INDEX('Bulb Weighting'!$B$2:$C$17,MATCH(RIGHT('SC-New'!$D93,LEN($D93)-7),'Bulb Weighting'!$B$3:$B$17,0)+1,2)</f>
        <v>0</v>
      </c>
      <c r="U93" s="37">
        <f>VLOOKUP($C93,$C$33:$Y$36,U$31,FALSE)*$C$42*$A93/8760/1000*INDEX('Bulb Weighting'!$B$2:$C$17,MATCH(RIGHT('SC-New'!$D93,LEN($D93)-7),'Bulb Weighting'!$B$3:$B$17,0)+1,2)</f>
        <v>0</v>
      </c>
      <c r="V93" s="37">
        <f>VLOOKUP($C93,$C$33:$Y$36,V$31,FALSE)*$C$42*$A93/8760/1000*INDEX('Bulb Weighting'!$B$2:$C$17,MATCH(RIGHT('SC-New'!$D93,LEN($D93)-7),'Bulb Weighting'!$B$3:$B$17,0)+1,2)</f>
        <v>0</v>
      </c>
      <c r="W93" s="37">
        <f>VLOOKUP($C93,$C$33:$Y$36,W$31,FALSE)*$C$42*$A93/8760/1000*INDEX('Bulb Weighting'!$B$2:$C$17,MATCH(RIGHT('SC-New'!$D93,LEN($D93)-7),'Bulb Weighting'!$B$3:$B$17,0)+1,2)</f>
        <v>0</v>
      </c>
      <c r="X93" s="37">
        <f>VLOOKUP($C93,$C$33:$Y$36,X$31,FALSE)*$C$42*$A93/8760/1000*INDEX('Bulb Weighting'!$B$2:$C$17,MATCH(RIGHT('SC-New'!$D93,LEN($D93)-7),'Bulb Weighting'!$B$3:$B$17,0)+1,2)</f>
        <v>0</v>
      </c>
      <c r="Y93" s="37">
        <f t="shared" si="18"/>
        <v>5.1820373037757489E-3</v>
      </c>
      <c r="AA93" s="31"/>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c r="A94" s="89">
        <f t="shared" si="20"/>
        <v>13.386672313322151</v>
      </c>
      <c r="B94" s="71">
        <f t="shared" si="21"/>
        <v>91.063681093838966</v>
      </c>
      <c r="C94" s="1" t="s">
        <v>30</v>
      </c>
      <c r="D94" t="s">
        <v>726</v>
      </c>
      <c r="E94" s="37">
        <f>VLOOKUP($C94,$C$33:$Y$36,E$31,FALSE)*$C$42*$A94/8760/1000*INDEX('Bulb Weighting'!$B$2:$C$17,MATCH(RIGHT('SC-New'!$D94,LEN($D94)-7),'Bulb Weighting'!$B$3:$B$17,0)+1,2)</f>
        <v>9.6534787678861315E-4</v>
      </c>
      <c r="F94" s="37">
        <f>VLOOKUP($C94,$C$33:$Y$36,F$31,FALSE)*$C$42*$A94/8760/1000*INDEX('Bulb Weighting'!$B$2:$C$17,MATCH(RIGHT('SC-New'!$D94,LEN($D94)-7),'Bulb Weighting'!$B$3:$B$17,0)+1,2)</f>
        <v>0</v>
      </c>
      <c r="G94" s="37">
        <f>VLOOKUP($C94,$C$33:$Y$36,G$31,FALSE)*$C$42*$A94/8760/1000*INDEX('Bulb Weighting'!$B$2:$C$17,MATCH(RIGHT('SC-New'!$D94,LEN($D94)-7),'Bulb Weighting'!$B$3:$B$17,0)+1,2)</f>
        <v>0</v>
      </c>
      <c r="H94" s="37">
        <f>VLOOKUP($C94,$C$33:$Y$36,H$31,FALSE)*$C$42*$A94/8760/1000*INDEX('Bulb Weighting'!$B$2:$C$17,MATCH(RIGHT('SC-New'!$D94,LEN($D94)-7),'Bulb Weighting'!$B$3:$B$17,0)+1,2)</f>
        <v>0</v>
      </c>
      <c r="I94" s="37">
        <f>VLOOKUP($C94,$C$33:$Y$36,I$31,FALSE)*$C$42*$A94/8760/1000*INDEX('Bulb Weighting'!$B$2:$C$17,MATCH(RIGHT('SC-New'!$D94,LEN($D94)-7),'Bulb Weighting'!$B$3:$B$17,0)+1,2)</f>
        <v>0</v>
      </c>
      <c r="J94" s="37">
        <f>VLOOKUP($C94,$C$33:$Y$36,J$31,FALSE)*$C$42*$A94/8760/1000*INDEX('Bulb Weighting'!$B$2:$C$17,MATCH(RIGHT('SC-New'!$D94,LEN($D94)-7),'Bulb Weighting'!$B$3:$B$17,0)+1,2)</f>
        <v>0</v>
      </c>
      <c r="K94" s="37">
        <f>VLOOKUP($C94,$C$33:$Y$36,K$31,FALSE)*$C$42*$A94/8760/1000*INDEX('Bulb Weighting'!$B$2:$C$17,MATCH(RIGHT('SC-New'!$D94,LEN($D94)-7),'Bulb Weighting'!$B$3:$B$17,0)+1,2)</f>
        <v>0</v>
      </c>
      <c r="L94" s="37">
        <f>VLOOKUP($C94,$C$33:$Y$36,L$31,FALSE)*$C$42*$A94/8760/1000*INDEX('Bulb Weighting'!$B$2:$C$17,MATCH(RIGHT('SC-New'!$D94,LEN($D94)-7),'Bulb Weighting'!$B$3:$B$17,0)+1,2)</f>
        <v>0</v>
      </c>
      <c r="M94" s="37">
        <f>VLOOKUP($C94,$C$33:$Y$36,M$31,FALSE)*$C$42*$A94/8760/1000*INDEX('Bulb Weighting'!$B$2:$C$17,MATCH(RIGHT('SC-New'!$D94,LEN($D94)-7),'Bulb Weighting'!$B$3:$B$17,0)+1,2)</f>
        <v>0</v>
      </c>
      <c r="N94" s="37">
        <f>VLOOKUP($C94,$C$33:$Y$36,N$31,FALSE)*$C$42*$A94/8760/1000*INDEX('Bulb Weighting'!$B$2:$C$17,MATCH(RIGHT('SC-New'!$D94,LEN($D94)-7),'Bulb Weighting'!$B$3:$B$17,0)+1,2)</f>
        <v>0</v>
      </c>
      <c r="O94" s="37">
        <f>VLOOKUP($C94,$C$33:$Y$36,O$31,FALSE)*$C$42*$A94/8760/1000*INDEX('Bulb Weighting'!$B$2:$C$17,MATCH(RIGHT('SC-New'!$D94,LEN($D94)-7),'Bulb Weighting'!$B$3:$B$17,0)+1,2)</f>
        <v>0</v>
      </c>
      <c r="P94" s="37">
        <f>VLOOKUP($C94,$C$33:$Y$36,P$31,FALSE)*$C$42*$A94/8760/1000*INDEX('Bulb Weighting'!$B$2:$C$17,MATCH(RIGHT('SC-New'!$D94,LEN($D94)-7),'Bulb Weighting'!$B$3:$B$17,0)+1,2)</f>
        <v>0</v>
      </c>
      <c r="Q94" s="37">
        <f>VLOOKUP($C94,$C$33:$Y$36,Q$31,FALSE)*$C$42*$A94/8760/1000*INDEX('Bulb Weighting'!$B$2:$C$17,MATCH(RIGHT('SC-New'!$D94,LEN($D94)-7),'Bulb Weighting'!$B$3:$B$17,0)+1,2)</f>
        <v>0</v>
      </c>
      <c r="R94" s="37">
        <f>VLOOKUP($C94,$C$33:$Y$36,R$31,FALSE)*$C$42*$A94/8760/1000*INDEX('Bulb Weighting'!$B$2:$C$17,MATCH(RIGHT('SC-New'!$D94,LEN($D94)-7),'Bulb Weighting'!$B$3:$B$17,0)+1,2)</f>
        <v>0</v>
      </c>
      <c r="S94" s="37">
        <f>VLOOKUP($C94,$C$33:$Y$36,S$31,FALSE)*$C$42*$A94/8760/1000*INDEX('Bulb Weighting'!$B$2:$C$17,MATCH(RIGHT('SC-New'!$D94,LEN($D94)-7),'Bulb Weighting'!$B$3:$B$17,0)+1,2)</f>
        <v>0</v>
      </c>
      <c r="T94" s="37">
        <f>VLOOKUP($C94,$C$33:$Y$36,T$31,FALSE)*$C$42*$A94/8760/1000*INDEX('Bulb Weighting'!$B$2:$C$17,MATCH(RIGHT('SC-New'!$D94,LEN($D94)-7),'Bulb Weighting'!$B$3:$B$17,0)+1,2)</f>
        <v>0</v>
      </c>
      <c r="U94" s="37">
        <f>VLOOKUP($C94,$C$33:$Y$36,U$31,FALSE)*$C$42*$A94/8760/1000*INDEX('Bulb Weighting'!$B$2:$C$17,MATCH(RIGHT('SC-New'!$D94,LEN($D94)-7),'Bulb Weighting'!$B$3:$B$17,0)+1,2)</f>
        <v>0</v>
      </c>
      <c r="V94" s="37">
        <f>VLOOKUP($C94,$C$33:$Y$36,V$31,FALSE)*$C$42*$A94/8760/1000*INDEX('Bulb Weighting'!$B$2:$C$17,MATCH(RIGHT('SC-New'!$D94,LEN($D94)-7),'Bulb Weighting'!$B$3:$B$17,0)+1,2)</f>
        <v>0</v>
      </c>
      <c r="W94" s="37">
        <f>VLOOKUP($C94,$C$33:$Y$36,W$31,FALSE)*$C$42*$A94/8760/1000*INDEX('Bulb Weighting'!$B$2:$C$17,MATCH(RIGHT('SC-New'!$D94,LEN($D94)-7),'Bulb Weighting'!$B$3:$B$17,0)+1,2)</f>
        <v>0</v>
      </c>
      <c r="X94" s="37">
        <f>VLOOKUP($C94,$C$33:$Y$36,X$31,FALSE)*$C$42*$A94/8760/1000*INDEX('Bulb Weighting'!$B$2:$C$17,MATCH(RIGHT('SC-New'!$D94,LEN($D94)-7),'Bulb Weighting'!$B$3:$B$17,0)+1,2)</f>
        <v>0</v>
      </c>
      <c r="Y94" s="37">
        <f t="shared" si="18"/>
        <v>9.6534787678861315E-4</v>
      </c>
      <c r="AA94" s="31"/>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c r="A95" s="89">
        <f t="shared" si="20"/>
        <v>14.33449498481688</v>
      </c>
      <c r="B95" s="71">
        <f t="shared" si="21"/>
        <v>-37.397069706053522</v>
      </c>
      <c r="C95" s="1" t="s">
        <v>30</v>
      </c>
      <c r="D95" t="s">
        <v>728</v>
      </c>
      <c r="E95" s="37">
        <f>VLOOKUP($C95,$C$33:$Y$36,E$31,FALSE)*$C$42*$A95/8760/1000*INDEX('Bulb Weighting'!$B$2:$C$17,MATCH(RIGHT('SC-New'!$D95,LEN($D95)-7),'Bulb Weighting'!$B$3:$B$17,0)+1,2)</f>
        <v>8.8347670816280629E-4</v>
      </c>
      <c r="F95" s="37">
        <f>VLOOKUP($C95,$C$33:$Y$36,F$31,FALSE)*$C$42*$A95/8760/1000*INDEX('Bulb Weighting'!$B$2:$C$17,MATCH(RIGHT('SC-New'!$D95,LEN($D95)-7),'Bulb Weighting'!$B$3:$B$17,0)+1,2)</f>
        <v>0</v>
      </c>
      <c r="G95" s="37">
        <f>VLOOKUP($C95,$C$33:$Y$36,G$31,FALSE)*$C$42*$A95/8760/1000*INDEX('Bulb Weighting'!$B$2:$C$17,MATCH(RIGHT('SC-New'!$D95,LEN($D95)-7),'Bulb Weighting'!$B$3:$B$17,0)+1,2)</f>
        <v>0</v>
      </c>
      <c r="H95" s="37">
        <f>VLOOKUP($C95,$C$33:$Y$36,H$31,FALSE)*$C$42*$A95/8760/1000*INDEX('Bulb Weighting'!$B$2:$C$17,MATCH(RIGHT('SC-New'!$D95,LEN($D95)-7),'Bulb Weighting'!$B$3:$B$17,0)+1,2)</f>
        <v>0</v>
      </c>
      <c r="I95" s="37">
        <f>VLOOKUP($C95,$C$33:$Y$36,I$31,FALSE)*$C$42*$A95/8760/1000*INDEX('Bulb Weighting'!$B$2:$C$17,MATCH(RIGHT('SC-New'!$D95,LEN($D95)-7),'Bulb Weighting'!$B$3:$B$17,0)+1,2)</f>
        <v>0</v>
      </c>
      <c r="J95" s="37">
        <f>VLOOKUP($C95,$C$33:$Y$36,J$31,FALSE)*$C$42*$A95/8760/1000*INDEX('Bulb Weighting'!$B$2:$C$17,MATCH(RIGHT('SC-New'!$D95,LEN($D95)-7),'Bulb Weighting'!$B$3:$B$17,0)+1,2)</f>
        <v>0</v>
      </c>
      <c r="K95" s="37">
        <f>VLOOKUP($C95,$C$33:$Y$36,K$31,FALSE)*$C$42*$A95/8760/1000*INDEX('Bulb Weighting'!$B$2:$C$17,MATCH(RIGHT('SC-New'!$D95,LEN($D95)-7),'Bulb Weighting'!$B$3:$B$17,0)+1,2)</f>
        <v>0</v>
      </c>
      <c r="L95" s="37">
        <f>VLOOKUP($C95,$C$33:$Y$36,L$31,FALSE)*$C$42*$A95/8760/1000*INDEX('Bulb Weighting'!$B$2:$C$17,MATCH(RIGHT('SC-New'!$D95,LEN($D95)-7),'Bulb Weighting'!$B$3:$B$17,0)+1,2)</f>
        <v>0</v>
      </c>
      <c r="M95" s="37">
        <f>VLOOKUP($C95,$C$33:$Y$36,M$31,FALSE)*$C$42*$A95/8760/1000*INDEX('Bulb Weighting'!$B$2:$C$17,MATCH(RIGHT('SC-New'!$D95,LEN($D95)-7),'Bulb Weighting'!$B$3:$B$17,0)+1,2)</f>
        <v>0</v>
      </c>
      <c r="N95" s="37">
        <f>VLOOKUP($C95,$C$33:$Y$36,N$31,FALSE)*$C$42*$A95/8760/1000*INDEX('Bulb Weighting'!$B$2:$C$17,MATCH(RIGHT('SC-New'!$D95,LEN($D95)-7),'Bulb Weighting'!$B$3:$B$17,0)+1,2)</f>
        <v>0</v>
      </c>
      <c r="O95" s="37">
        <f>VLOOKUP($C95,$C$33:$Y$36,O$31,FALSE)*$C$42*$A95/8760/1000*INDEX('Bulb Weighting'!$B$2:$C$17,MATCH(RIGHT('SC-New'!$D95,LEN($D95)-7),'Bulb Weighting'!$B$3:$B$17,0)+1,2)</f>
        <v>0</v>
      </c>
      <c r="P95" s="37">
        <f>VLOOKUP($C95,$C$33:$Y$36,P$31,FALSE)*$C$42*$A95/8760/1000*INDEX('Bulb Weighting'!$B$2:$C$17,MATCH(RIGHT('SC-New'!$D95,LEN($D95)-7),'Bulb Weighting'!$B$3:$B$17,0)+1,2)</f>
        <v>0</v>
      </c>
      <c r="Q95" s="37">
        <f>VLOOKUP($C95,$C$33:$Y$36,Q$31,FALSE)*$C$42*$A95/8760/1000*INDEX('Bulb Weighting'!$B$2:$C$17,MATCH(RIGHT('SC-New'!$D95,LEN($D95)-7),'Bulb Weighting'!$B$3:$B$17,0)+1,2)</f>
        <v>0</v>
      </c>
      <c r="R95" s="37">
        <f>VLOOKUP($C95,$C$33:$Y$36,R$31,FALSE)*$C$42*$A95/8760/1000*INDEX('Bulb Weighting'!$B$2:$C$17,MATCH(RIGHT('SC-New'!$D95,LEN($D95)-7),'Bulb Weighting'!$B$3:$B$17,0)+1,2)</f>
        <v>0</v>
      </c>
      <c r="S95" s="37">
        <f>VLOOKUP($C95,$C$33:$Y$36,S$31,FALSE)*$C$42*$A95/8760/1000*INDEX('Bulb Weighting'!$B$2:$C$17,MATCH(RIGHT('SC-New'!$D95,LEN($D95)-7),'Bulb Weighting'!$B$3:$B$17,0)+1,2)</f>
        <v>0</v>
      </c>
      <c r="T95" s="37">
        <f>VLOOKUP($C95,$C$33:$Y$36,T$31,FALSE)*$C$42*$A95/8760/1000*INDEX('Bulb Weighting'!$B$2:$C$17,MATCH(RIGHT('SC-New'!$D95,LEN($D95)-7),'Bulb Weighting'!$B$3:$B$17,0)+1,2)</f>
        <v>0</v>
      </c>
      <c r="U95" s="37">
        <f>VLOOKUP($C95,$C$33:$Y$36,U$31,FALSE)*$C$42*$A95/8760/1000*INDEX('Bulb Weighting'!$B$2:$C$17,MATCH(RIGHT('SC-New'!$D95,LEN($D95)-7),'Bulb Weighting'!$B$3:$B$17,0)+1,2)</f>
        <v>0</v>
      </c>
      <c r="V95" s="37">
        <f>VLOOKUP($C95,$C$33:$Y$36,V$31,FALSE)*$C$42*$A95/8760/1000*INDEX('Bulb Weighting'!$B$2:$C$17,MATCH(RIGHT('SC-New'!$D95,LEN($D95)-7),'Bulb Weighting'!$B$3:$B$17,0)+1,2)</f>
        <v>0</v>
      </c>
      <c r="W95" s="37">
        <f>VLOOKUP($C95,$C$33:$Y$36,W$31,FALSE)*$C$42*$A95/8760/1000*INDEX('Bulb Weighting'!$B$2:$C$17,MATCH(RIGHT('SC-New'!$D95,LEN($D95)-7),'Bulb Weighting'!$B$3:$B$17,0)+1,2)</f>
        <v>0</v>
      </c>
      <c r="X95" s="37">
        <f>VLOOKUP($C95,$C$33:$Y$36,X$31,FALSE)*$C$42*$A95/8760/1000*INDEX('Bulb Weighting'!$B$2:$C$17,MATCH(RIGHT('SC-New'!$D95,LEN($D95)-7),'Bulb Weighting'!$B$3:$B$17,0)+1,2)</f>
        <v>0</v>
      </c>
      <c r="Y95" s="37">
        <f t="shared" si="18"/>
        <v>8.8347670816280629E-4</v>
      </c>
      <c r="AA95" s="31"/>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c r="A96" s="89">
        <f t="shared" si="20"/>
        <v>9.8723739493112301</v>
      </c>
      <c r="B96" s="71">
        <f t="shared" si="21"/>
        <v>-94.996719014918995</v>
      </c>
      <c r="C96" s="1" t="s">
        <v>30</v>
      </c>
      <c r="D96" t="s">
        <v>730</v>
      </c>
      <c r="E96" s="37">
        <f>VLOOKUP($C96,$C$33:$Y$36,E$31,FALSE)*$C$42*$A96/8760/1000*INDEX('Bulb Weighting'!$B$2:$C$17,MATCH(RIGHT('SC-New'!$D96,LEN($D96)-7),'Bulb Weighting'!$B$3:$B$17,0)+1,2)</f>
        <v>3.7102529822676802E-4</v>
      </c>
      <c r="F96" s="37">
        <f>VLOOKUP($C96,$C$33:$Y$36,F$31,FALSE)*$C$42*$A96/8760/1000*INDEX('Bulb Weighting'!$B$2:$C$17,MATCH(RIGHT('SC-New'!$D96,LEN($D96)-7),'Bulb Weighting'!$B$3:$B$17,0)+1,2)</f>
        <v>0</v>
      </c>
      <c r="G96" s="37">
        <f>VLOOKUP($C96,$C$33:$Y$36,G$31,FALSE)*$C$42*$A96/8760/1000*INDEX('Bulb Weighting'!$B$2:$C$17,MATCH(RIGHT('SC-New'!$D96,LEN($D96)-7),'Bulb Weighting'!$B$3:$B$17,0)+1,2)</f>
        <v>0</v>
      </c>
      <c r="H96" s="37">
        <f>VLOOKUP($C96,$C$33:$Y$36,H$31,FALSE)*$C$42*$A96/8760/1000*INDEX('Bulb Weighting'!$B$2:$C$17,MATCH(RIGHT('SC-New'!$D96,LEN($D96)-7),'Bulb Weighting'!$B$3:$B$17,0)+1,2)</f>
        <v>0</v>
      </c>
      <c r="I96" s="37">
        <f>VLOOKUP($C96,$C$33:$Y$36,I$31,FALSE)*$C$42*$A96/8760/1000*INDEX('Bulb Weighting'!$B$2:$C$17,MATCH(RIGHT('SC-New'!$D96,LEN($D96)-7),'Bulb Weighting'!$B$3:$B$17,0)+1,2)</f>
        <v>0</v>
      </c>
      <c r="J96" s="37">
        <f>VLOOKUP($C96,$C$33:$Y$36,J$31,FALSE)*$C$42*$A96/8760/1000*INDEX('Bulb Weighting'!$B$2:$C$17,MATCH(RIGHT('SC-New'!$D96,LEN($D96)-7),'Bulb Weighting'!$B$3:$B$17,0)+1,2)</f>
        <v>0</v>
      </c>
      <c r="K96" s="37">
        <f>VLOOKUP($C96,$C$33:$Y$36,K$31,FALSE)*$C$42*$A96/8760/1000*INDEX('Bulb Weighting'!$B$2:$C$17,MATCH(RIGHT('SC-New'!$D96,LEN($D96)-7),'Bulb Weighting'!$B$3:$B$17,0)+1,2)</f>
        <v>0</v>
      </c>
      <c r="L96" s="37">
        <f>VLOOKUP($C96,$C$33:$Y$36,L$31,FALSE)*$C$42*$A96/8760/1000*INDEX('Bulb Weighting'!$B$2:$C$17,MATCH(RIGHT('SC-New'!$D96,LEN($D96)-7),'Bulb Weighting'!$B$3:$B$17,0)+1,2)</f>
        <v>0</v>
      </c>
      <c r="M96" s="37">
        <f>VLOOKUP($C96,$C$33:$Y$36,M$31,FALSE)*$C$42*$A96/8760/1000*INDEX('Bulb Weighting'!$B$2:$C$17,MATCH(RIGHT('SC-New'!$D96,LEN($D96)-7),'Bulb Weighting'!$B$3:$B$17,0)+1,2)</f>
        <v>0</v>
      </c>
      <c r="N96" s="37">
        <f>VLOOKUP($C96,$C$33:$Y$36,N$31,FALSE)*$C$42*$A96/8760/1000*INDEX('Bulb Weighting'!$B$2:$C$17,MATCH(RIGHT('SC-New'!$D96,LEN($D96)-7),'Bulb Weighting'!$B$3:$B$17,0)+1,2)</f>
        <v>0</v>
      </c>
      <c r="O96" s="37">
        <f>VLOOKUP($C96,$C$33:$Y$36,O$31,FALSE)*$C$42*$A96/8760/1000*INDEX('Bulb Weighting'!$B$2:$C$17,MATCH(RIGHT('SC-New'!$D96,LEN($D96)-7),'Bulb Weighting'!$B$3:$B$17,0)+1,2)</f>
        <v>0</v>
      </c>
      <c r="P96" s="37">
        <f>VLOOKUP($C96,$C$33:$Y$36,P$31,FALSE)*$C$42*$A96/8760/1000*INDEX('Bulb Weighting'!$B$2:$C$17,MATCH(RIGHT('SC-New'!$D96,LEN($D96)-7),'Bulb Weighting'!$B$3:$B$17,0)+1,2)</f>
        <v>0</v>
      </c>
      <c r="Q96" s="37">
        <f>VLOOKUP($C96,$C$33:$Y$36,Q$31,FALSE)*$C$42*$A96/8760/1000*INDEX('Bulb Weighting'!$B$2:$C$17,MATCH(RIGHT('SC-New'!$D96,LEN($D96)-7),'Bulb Weighting'!$B$3:$B$17,0)+1,2)</f>
        <v>0</v>
      </c>
      <c r="R96" s="37">
        <f>VLOOKUP($C96,$C$33:$Y$36,R$31,FALSE)*$C$42*$A96/8760/1000*INDEX('Bulb Weighting'!$B$2:$C$17,MATCH(RIGHT('SC-New'!$D96,LEN($D96)-7),'Bulb Weighting'!$B$3:$B$17,0)+1,2)</f>
        <v>0</v>
      </c>
      <c r="S96" s="37">
        <f>VLOOKUP($C96,$C$33:$Y$36,S$31,FALSE)*$C$42*$A96/8760/1000*INDEX('Bulb Weighting'!$B$2:$C$17,MATCH(RIGHT('SC-New'!$D96,LEN($D96)-7),'Bulb Weighting'!$B$3:$B$17,0)+1,2)</f>
        <v>0</v>
      </c>
      <c r="T96" s="37">
        <f>VLOOKUP($C96,$C$33:$Y$36,T$31,FALSE)*$C$42*$A96/8760/1000*INDEX('Bulb Weighting'!$B$2:$C$17,MATCH(RIGHT('SC-New'!$D96,LEN($D96)-7),'Bulb Weighting'!$B$3:$B$17,0)+1,2)</f>
        <v>0</v>
      </c>
      <c r="U96" s="37">
        <f>VLOOKUP($C96,$C$33:$Y$36,U$31,FALSE)*$C$42*$A96/8760/1000*INDEX('Bulb Weighting'!$B$2:$C$17,MATCH(RIGHT('SC-New'!$D96,LEN($D96)-7),'Bulb Weighting'!$B$3:$B$17,0)+1,2)</f>
        <v>0</v>
      </c>
      <c r="V96" s="37">
        <f>VLOOKUP($C96,$C$33:$Y$36,V$31,FALSE)*$C$42*$A96/8760/1000*INDEX('Bulb Weighting'!$B$2:$C$17,MATCH(RIGHT('SC-New'!$D96,LEN($D96)-7),'Bulb Weighting'!$B$3:$B$17,0)+1,2)</f>
        <v>0</v>
      </c>
      <c r="W96" s="37">
        <f>VLOOKUP($C96,$C$33:$Y$36,W$31,FALSE)*$C$42*$A96/8760/1000*INDEX('Bulb Weighting'!$B$2:$C$17,MATCH(RIGHT('SC-New'!$D96,LEN($D96)-7),'Bulb Weighting'!$B$3:$B$17,0)+1,2)</f>
        <v>0</v>
      </c>
      <c r="X96" s="37">
        <f>VLOOKUP($C96,$C$33:$Y$36,X$31,FALSE)*$C$42*$A96/8760/1000*INDEX('Bulb Weighting'!$B$2:$C$17,MATCH(RIGHT('SC-New'!$D96,LEN($D96)-7),'Bulb Weighting'!$B$3:$B$17,0)+1,2)</f>
        <v>0</v>
      </c>
      <c r="Y96" s="37">
        <f t="shared" si="18"/>
        <v>3.7102529822676802E-4</v>
      </c>
      <c r="AA96" s="31"/>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c r="A97" s="89">
        <f t="shared" si="20"/>
        <v>10.681196090262945</v>
      </c>
      <c r="B97" s="71">
        <f t="shared" si="21"/>
        <v>-99.87829920820603</v>
      </c>
      <c r="C97" s="1" t="s">
        <v>30</v>
      </c>
      <c r="D97" t="s">
        <v>732</v>
      </c>
      <c r="E97" s="37">
        <f>VLOOKUP($C97,$C$33:$Y$36,E$31,FALSE)*$C$42*$A97/8760/1000*INDEX('Bulb Weighting'!$B$2:$C$17,MATCH(RIGHT('SC-New'!$D97,LEN($D97)-7),'Bulb Weighting'!$B$3:$B$17,0)+1,2)</f>
        <v>3.0247519844000403E-5</v>
      </c>
      <c r="F97" s="37">
        <f>VLOOKUP($C97,$C$33:$Y$36,F$31,FALSE)*$C$42*$A97/8760/1000*INDEX('Bulb Weighting'!$B$2:$C$17,MATCH(RIGHT('SC-New'!$D97,LEN($D97)-7),'Bulb Weighting'!$B$3:$B$17,0)+1,2)</f>
        <v>0</v>
      </c>
      <c r="G97" s="37">
        <f>VLOOKUP($C97,$C$33:$Y$36,G$31,FALSE)*$C$42*$A97/8760/1000*INDEX('Bulb Weighting'!$B$2:$C$17,MATCH(RIGHT('SC-New'!$D97,LEN($D97)-7),'Bulb Weighting'!$B$3:$B$17,0)+1,2)</f>
        <v>0</v>
      </c>
      <c r="H97" s="37">
        <f>VLOOKUP($C97,$C$33:$Y$36,H$31,FALSE)*$C$42*$A97/8760/1000*INDEX('Bulb Weighting'!$B$2:$C$17,MATCH(RIGHT('SC-New'!$D97,LEN($D97)-7),'Bulb Weighting'!$B$3:$B$17,0)+1,2)</f>
        <v>0</v>
      </c>
      <c r="I97" s="37">
        <f>VLOOKUP($C97,$C$33:$Y$36,I$31,FALSE)*$C$42*$A97/8760/1000*INDEX('Bulb Weighting'!$B$2:$C$17,MATCH(RIGHT('SC-New'!$D97,LEN($D97)-7),'Bulb Weighting'!$B$3:$B$17,0)+1,2)</f>
        <v>0</v>
      </c>
      <c r="J97" s="37">
        <f>VLOOKUP($C97,$C$33:$Y$36,J$31,FALSE)*$C$42*$A97/8760/1000*INDEX('Bulb Weighting'!$B$2:$C$17,MATCH(RIGHT('SC-New'!$D97,LEN($D97)-7),'Bulb Weighting'!$B$3:$B$17,0)+1,2)</f>
        <v>0</v>
      </c>
      <c r="K97" s="37">
        <f>VLOOKUP($C97,$C$33:$Y$36,K$31,FALSE)*$C$42*$A97/8760/1000*INDEX('Bulb Weighting'!$B$2:$C$17,MATCH(RIGHT('SC-New'!$D97,LEN($D97)-7),'Bulb Weighting'!$B$3:$B$17,0)+1,2)</f>
        <v>0</v>
      </c>
      <c r="L97" s="37">
        <f>VLOOKUP($C97,$C$33:$Y$36,L$31,FALSE)*$C$42*$A97/8760/1000*INDEX('Bulb Weighting'!$B$2:$C$17,MATCH(RIGHT('SC-New'!$D97,LEN($D97)-7),'Bulb Weighting'!$B$3:$B$17,0)+1,2)</f>
        <v>0</v>
      </c>
      <c r="M97" s="37">
        <f>VLOOKUP($C97,$C$33:$Y$36,M$31,FALSE)*$C$42*$A97/8760/1000*INDEX('Bulb Weighting'!$B$2:$C$17,MATCH(RIGHT('SC-New'!$D97,LEN($D97)-7),'Bulb Weighting'!$B$3:$B$17,0)+1,2)</f>
        <v>0</v>
      </c>
      <c r="N97" s="37">
        <f>VLOOKUP($C97,$C$33:$Y$36,N$31,FALSE)*$C$42*$A97/8760/1000*INDEX('Bulb Weighting'!$B$2:$C$17,MATCH(RIGHT('SC-New'!$D97,LEN($D97)-7),'Bulb Weighting'!$B$3:$B$17,0)+1,2)</f>
        <v>0</v>
      </c>
      <c r="O97" s="37">
        <f>VLOOKUP($C97,$C$33:$Y$36,O$31,FALSE)*$C$42*$A97/8760/1000*INDEX('Bulb Weighting'!$B$2:$C$17,MATCH(RIGHT('SC-New'!$D97,LEN($D97)-7),'Bulb Weighting'!$B$3:$B$17,0)+1,2)</f>
        <v>0</v>
      </c>
      <c r="P97" s="37">
        <f>VLOOKUP($C97,$C$33:$Y$36,P$31,FALSE)*$C$42*$A97/8760/1000*INDEX('Bulb Weighting'!$B$2:$C$17,MATCH(RIGHT('SC-New'!$D97,LEN($D97)-7),'Bulb Weighting'!$B$3:$B$17,0)+1,2)</f>
        <v>0</v>
      </c>
      <c r="Q97" s="37">
        <f>VLOOKUP($C97,$C$33:$Y$36,Q$31,FALSE)*$C$42*$A97/8760/1000*INDEX('Bulb Weighting'!$B$2:$C$17,MATCH(RIGHT('SC-New'!$D97,LEN($D97)-7),'Bulb Weighting'!$B$3:$B$17,0)+1,2)</f>
        <v>0</v>
      </c>
      <c r="R97" s="37">
        <f>VLOOKUP($C97,$C$33:$Y$36,R$31,FALSE)*$C$42*$A97/8760/1000*INDEX('Bulb Weighting'!$B$2:$C$17,MATCH(RIGHT('SC-New'!$D97,LEN($D97)-7),'Bulb Weighting'!$B$3:$B$17,0)+1,2)</f>
        <v>0</v>
      </c>
      <c r="S97" s="37">
        <f>VLOOKUP($C97,$C$33:$Y$36,S$31,FALSE)*$C$42*$A97/8760/1000*INDEX('Bulb Weighting'!$B$2:$C$17,MATCH(RIGHT('SC-New'!$D97,LEN($D97)-7),'Bulb Weighting'!$B$3:$B$17,0)+1,2)</f>
        <v>0</v>
      </c>
      <c r="T97" s="37">
        <f>VLOOKUP($C97,$C$33:$Y$36,T$31,FALSE)*$C$42*$A97/8760/1000*INDEX('Bulb Weighting'!$B$2:$C$17,MATCH(RIGHT('SC-New'!$D97,LEN($D97)-7),'Bulb Weighting'!$B$3:$B$17,0)+1,2)</f>
        <v>0</v>
      </c>
      <c r="U97" s="37">
        <f>VLOOKUP($C97,$C$33:$Y$36,U$31,FALSE)*$C$42*$A97/8760/1000*INDEX('Bulb Weighting'!$B$2:$C$17,MATCH(RIGHT('SC-New'!$D97,LEN($D97)-7),'Bulb Weighting'!$B$3:$B$17,0)+1,2)</f>
        <v>0</v>
      </c>
      <c r="V97" s="37">
        <f>VLOOKUP($C97,$C$33:$Y$36,V$31,FALSE)*$C$42*$A97/8760/1000*INDEX('Bulb Weighting'!$B$2:$C$17,MATCH(RIGHT('SC-New'!$D97,LEN($D97)-7),'Bulb Weighting'!$B$3:$B$17,0)+1,2)</f>
        <v>0</v>
      </c>
      <c r="W97" s="37">
        <f>VLOOKUP($C97,$C$33:$Y$36,W$31,FALSE)*$C$42*$A97/8760/1000*INDEX('Bulb Weighting'!$B$2:$C$17,MATCH(RIGHT('SC-New'!$D97,LEN($D97)-7),'Bulb Weighting'!$B$3:$B$17,0)+1,2)</f>
        <v>0</v>
      </c>
      <c r="X97" s="37">
        <f>VLOOKUP($C97,$C$33:$Y$36,X$31,FALSE)*$C$42*$A97/8760/1000*INDEX('Bulb Weighting'!$B$2:$C$17,MATCH(RIGHT('SC-New'!$D97,LEN($D97)-7),'Bulb Weighting'!$B$3:$B$17,0)+1,2)</f>
        <v>0</v>
      </c>
      <c r="Y97" s="37">
        <f t="shared" si="18"/>
        <v>3.0247519844000403E-5</v>
      </c>
      <c r="AA97" s="31"/>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c r="A98" s="89">
        <f t="shared" si="20"/>
        <v>20.374790406766845</v>
      </c>
      <c r="B98" s="71">
        <f t="shared" si="21"/>
        <v>-38.377975660533203</v>
      </c>
      <c r="C98" s="1" t="s">
        <v>30</v>
      </c>
      <c r="D98" t="s">
        <v>734</v>
      </c>
      <c r="E98" s="37">
        <f>VLOOKUP($C98,$C$33:$Y$36,E$31,FALSE)*$C$42*$A98/8760/1000*INDEX('Bulb Weighting'!$B$2:$C$17,MATCH(RIGHT('SC-New'!$D98,LEN($D98)-7),'Bulb Weighting'!$B$3:$B$17,0)+1,2)</f>
        <v>3.9943018950622228E-4</v>
      </c>
      <c r="F98" s="37">
        <f>VLOOKUP($C98,$C$33:$Y$36,F$31,FALSE)*$C$42*$A98/8760/1000*INDEX('Bulb Weighting'!$B$2:$C$17,MATCH(RIGHT('SC-New'!$D98,LEN($D98)-7),'Bulb Weighting'!$B$3:$B$17,0)+1,2)</f>
        <v>0</v>
      </c>
      <c r="G98" s="37">
        <f>VLOOKUP($C98,$C$33:$Y$36,G$31,FALSE)*$C$42*$A98/8760/1000*INDEX('Bulb Weighting'!$B$2:$C$17,MATCH(RIGHT('SC-New'!$D98,LEN($D98)-7),'Bulb Weighting'!$B$3:$B$17,0)+1,2)</f>
        <v>0</v>
      </c>
      <c r="H98" s="37">
        <f>VLOOKUP($C98,$C$33:$Y$36,H$31,FALSE)*$C$42*$A98/8760/1000*INDEX('Bulb Weighting'!$B$2:$C$17,MATCH(RIGHT('SC-New'!$D98,LEN($D98)-7),'Bulb Weighting'!$B$3:$B$17,0)+1,2)</f>
        <v>0</v>
      </c>
      <c r="I98" s="37">
        <f>VLOOKUP($C98,$C$33:$Y$36,I$31,FALSE)*$C$42*$A98/8760/1000*INDEX('Bulb Weighting'!$B$2:$C$17,MATCH(RIGHT('SC-New'!$D98,LEN($D98)-7),'Bulb Weighting'!$B$3:$B$17,0)+1,2)</f>
        <v>0</v>
      </c>
      <c r="J98" s="37">
        <f>VLOOKUP($C98,$C$33:$Y$36,J$31,FALSE)*$C$42*$A98/8760/1000*INDEX('Bulb Weighting'!$B$2:$C$17,MATCH(RIGHT('SC-New'!$D98,LEN($D98)-7),'Bulb Weighting'!$B$3:$B$17,0)+1,2)</f>
        <v>0</v>
      </c>
      <c r="K98" s="37">
        <f>VLOOKUP($C98,$C$33:$Y$36,K$31,FALSE)*$C$42*$A98/8760/1000*INDEX('Bulb Weighting'!$B$2:$C$17,MATCH(RIGHT('SC-New'!$D98,LEN($D98)-7),'Bulb Weighting'!$B$3:$B$17,0)+1,2)</f>
        <v>0</v>
      </c>
      <c r="L98" s="37">
        <f>VLOOKUP($C98,$C$33:$Y$36,L$31,FALSE)*$C$42*$A98/8760/1000*INDEX('Bulb Weighting'!$B$2:$C$17,MATCH(RIGHT('SC-New'!$D98,LEN($D98)-7),'Bulb Weighting'!$B$3:$B$17,0)+1,2)</f>
        <v>0</v>
      </c>
      <c r="M98" s="37">
        <f>VLOOKUP($C98,$C$33:$Y$36,M$31,FALSE)*$C$42*$A98/8760/1000*INDEX('Bulb Weighting'!$B$2:$C$17,MATCH(RIGHT('SC-New'!$D98,LEN($D98)-7),'Bulb Weighting'!$B$3:$B$17,0)+1,2)</f>
        <v>0</v>
      </c>
      <c r="N98" s="37">
        <f>VLOOKUP($C98,$C$33:$Y$36,N$31,FALSE)*$C$42*$A98/8760/1000*INDEX('Bulb Weighting'!$B$2:$C$17,MATCH(RIGHT('SC-New'!$D98,LEN($D98)-7),'Bulb Weighting'!$B$3:$B$17,0)+1,2)</f>
        <v>0</v>
      </c>
      <c r="O98" s="37">
        <f>VLOOKUP($C98,$C$33:$Y$36,O$31,FALSE)*$C$42*$A98/8760/1000*INDEX('Bulb Weighting'!$B$2:$C$17,MATCH(RIGHT('SC-New'!$D98,LEN($D98)-7),'Bulb Weighting'!$B$3:$B$17,0)+1,2)</f>
        <v>0</v>
      </c>
      <c r="P98" s="37">
        <f>VLOOKUP($C98,$C$33:$Y$36,P$31,FALSE)*$C$42*$A98/8760/1000*INDEX('Bulb Weighting'!$B$2:$C$17,MATCH(RIGHT('SC-New'!$D98,LEN($D98)-7),'Bulb Weighting'!$B$3:$B$17,0)+1,2)</f>
        <v>0</v>
      </c>
      <c r="Q98" s="37">
        <f>VLOOKUP($C98,$C$33:$Y$36,Q$31,FALSE)*$C$42*$A98/8760/1000*INDEX('Bulb Weighting'!$B$2:$C$17,MATCH(RIGHT('SC-New'!$D98,LEN($D98)-7),'Bulb Weighting'!$B$3:$B$17,0)+1,2)</f>
        <v>0</v>
      </c>
      <c r="R98" s="37">
        <f>VLOOKUP($C98,$C$33:$Y$36,R$31,FALSE)*$C$42*$A98/8760/1000*INDEX('Bulb Weighting'!$B$2:$C$17,MATCH(RIGHT('SC-New'!$D98,LEN($D98)-7),'Bulb Weighting'!$B$3:$B$17,0)+1,2)</f>
        <v>0</v>
      </c>
      <c r="S98" s="37">
        <f>VLOOKUP($C98,$C$33:$Y$36,S$31,FALSE)*$C$42*$A98/8760/1000*INDEX('Bulb Weighting'!$B$2:$C$17,MATCH(RIGHT('SC-New'!$D98,LEN($D98)-7),'Bulb Weighting'!$B$3:$B$17,0)+1,2)</f>
        <v>0</v>
      </c>
      <c r="T98" s="37">
        <f>VLOOKUP($C98,$C$33:$Y$36,T$31,FALSE)*$C$42*$A98/8760/1000*INDEX('Bulb Weighting'!$B$2:$C$17,MATCH(RIGHT('SC-New'!$D98,LEN($D98)-7),'Bulb Weighting'!$B$3:$B$17,0)+1,2)</f>
        <v>0</v>
      </c>
      <c r="U98" s="37">
        <f>VLOOKUP($C98,$C$33:$Y$36,U$31,FALSE)*$C$42*$A98/8760/1000*INDEX('Bulb Weighting'!$B$2:$C$17,MATCH(RIGHT('SC-New'!$D98,LEN($D98)-7),'Bulb Weighting'!$B$3:$B$17,0)+1,2)</f>
        <v>0</v>
      </c>
      <c r="V98" s="37">
        <f>VLOOKUP($C98,$C$33:$Y$36,V$31,FALSE)*$C$42*$A98/8760/1000*INDEX('Bulb Weighting'!$B$2:$C$17,MATCH(RIGHT('SC-New'!$D98,LEN($D98)-7),'Bulb Weighting'!$B$3:$B$17,0)+1,2)</f>
        <v>0</v>
      </c>
      <c r="W98" s="37">
        <f>VLOOKUP($C98,$C$33:$Y$36,W$31,FALSE)*$C$42*$A98/8760/1000*INDEX('Bulb Weighting'!$B$2:$C$17,MATCH(RIGHT('SC-New'!$D98,LEN($D98)-7),'Bulb Weighting'!$B$3:$B$17,0)+1,2)</f>
        <v>0</v>
      </c>
      <c r="X98" s="37">
        <f>VLOOKUP($C98,$C$33:$Y$36,X$31,FALSE)*$C$42*$A98/8760/1000*INDEX('Bulb Weighting'!$B$2:$C$17,MATCH(RIGHT('SC-New'!$D98,LEN($D98)-7),'Bulb Weighting'!$B$3:$B$17,0)+1,2)</f>
        <v>0</v>
      </c>
      <c r="Y98" s="37">
        <f t="shared" si="18"/>
        <v>3.9943018950622228E-4</v>
      </c>
      <c r="AA98" s="31"/>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c r="A99" s="89">
        <f t="shared" si="20"/>
        <v>15.536210538971808</v>
      </c>
      <c r="B99" s="71">
        <f t="shared" si="21"/>
        <v>-47.72588478334999</v>
      </c>
      <c r="C99" s="1" t="s">
        <v>30</v>
      </c>
      <c r="D99" t="s">
        <v>736</v>
      </c>
      <c r="E99" s="37">
        <f>VLOOKUP($C99,$C$33:$Y$36,E$31,FALSE)*$C$42*$A99/8760/1000*INDEX('Bulb Weighting'!$B$2:$C$17,MATCH(RIGHT('SC-New'!$D99,LEN($D99)-7),'Bulb Weighting'!$B$3:$B$17,0)+1,2)</f>
        <v>3.0776287524322972E-3</v>
      </c>
      <c r="F99" s="37">
        <f>VLOOKUP($C99,$C$33:$Y$36,F$31,FALSE)*$C$42*$A99/8760/1000*INDEX('Bulb Weighting'!$B$2:$C$17,MATCH(RIGHT('SC-New'!$D99,LEN($D99)-7),'Bulb Weighting'!$B$3:$B$17,0)+1,2)</f>
        <v>0</v>
      </c>
      <c r="G99" s="37">
        <f>VLOOKUP($C99,$C$33:$Y$36,G$31,FALSE)*$C$42*$A99/8760/1000*INDEX('Bulb Weighting'!$B$2:$C$17,MATCH(RIGHT('SC-New'!$D99,LEN($D99)-7),'Bulb Weighting'!$B$3:$B$17,0)+1,2)</f>
        <v>0</v>
      </c>
      <c r="H99" s="37">
        <f>VLOOKUP($C99,$C$33:$Y$36,H$31,FALSE)*$C$42*$A99/8760/1000*INDEX('Bulb Weighting'!$B$2:$C$17,MATCH(RIGHT('SC-New'!$D99,LEN($D99)-7),'Bulb Weighting'!$B$3:$B$17,0)+1,2)</f>
        <v>0</v>
      </c>
      <c r="I99" s="37">
        <f>VLOOKUP($C99,$C$33:$Y$36,I$31,FALSE)*$C$42*$A99/8760/1000*INDEX('Bulb Weighting'!$B$2:$C$17,MATCH(RIGHT('SC-New'!$D99,LEN($D99)-7),'Bulb Weighting'!$B$3:$B$17,0)+1,2)</f>
        <v>0</v>
      </c>
      <c r="J99" s="37">
        <f>VLOOKUP($C99,$C$33:$Y$36,J$31,FALSE)*$C$42*$A99/8760/1000*INDEX('Bulb Weighting'!$B$2:$C$17,MATCH(RIGHT('SC-New'!$D99,LEN($D99)-7),'Bulb Weighting'!$B$3:$B$17,0)+1,2)</f>
        <v>0</v>
      </c>
      <c r="K99" s="37">
        <f>VLOOKUP($C99,$C$33:$Y$36,K$31,FALSE)*$C$42*$A99/8760/1000*INDEX('Bulb Weighting'!$B$2:$C$17,MATCH(RIGHT('SC-New'!$D99,LEN($D99)-7),'Bulb Weighting'!$B$3:$B$17,0)+1,2)</f>
        <v>0</v>
      </c>
      <c r="L99" s="37">
        <f>VLOOKUP($C99,$C$33:$Y$36,L$31,FALSE)*$C$42*$A99/8760/1000*INDEX('Bulb Weighting'!$B$2:$C$17,MATCH(RIGHT('SC-New'!$D99,LEN($D99)-7),'Bulb Weighting'!$B$3:$B$17,0)+1,2)</f>
        <v>0</v>
      </c>
      <c r="M99" s="37">
        <f>VLOOKUP($C99,$C$33:$Y$36,M$31,FALSE)*$C$42*$A99/8760/1000*INDEX('Bulb Weighting'!$B$2:$C$17,MATCH(RIGHT('SC-New'!$D99,LEN($D99)-7),'Bulb Weighting'!$B$3:$B$17,0)+1,2)</f>
        <v>0</v>
      </c>
      <c r="N99" s="37">
        <f>VLOOKUP($C99,$C$33:$Y$36,N$31,FALSE)*$C$42*$A99/8760/1000*INDEX('Bulb Weighting'!$B$2:$C$17,MATCH(RIGHT('SC-New'!$D99,LEN($D99)-7),'Bulb Weighting'!$B$3:$B$17,0)+1,2)</f>
        <v>0</v>
      </c>
      <c r="O99" s="37">
        <f>VLOOKUP($C99,$C$33:$Y$36,O$31,FALSE)*$C$42*$A99/8760/1000*INDEX('Bulb Weighting'!$B$2:$C$17,MATCH(RIGHT('SC-New'!$D99,LEN($D99)-7),'Bulb Weighting'!$B$3:$B$17,0)+1,2)</f>
        <v>0</v>
      </c>
      <c r="P99" s="37">
        <f>VLOOKUP($C99,$C$33:$Y$36,P$31,FALSE)*$C$42*$A99/8760/1000*INDEX('Bulb Weighting'!$B$2:$C$17,MATCH(RIGHT('SC-New'!$D99,LEN($D99)-7),'Bulb Weighting'!$B$3:$B$17,0)+1,2)</f>
        <v>0</v>
      </c>
      <c r="Q99" s="37">
        <f>VLOOKUP($C99,$C$33:$Y$36,Q$31,FALSE)*$C$42*$A99/8760/1000*INDEX('Bulb Weighting'!$B$2:$C$17,MATCH(RIGHT('SC-New'!$D99,LEN($D99)-7),'Bulb Weighting'!$B$3:$B$17,0)+1,2)</f>
        <v>0</v>
      </c>
      <c r="R99" s="37">
        <f>VLOOKUP($C99,$C$33:$Y$36,R$31,FALSE)*$C$42*$A99/8760/1000*INDEX('Bulb Weighting'!$B$2:$C$17,MATCH(RIGHT('SC-New'!$D99,LEN($D99)-7),'Bulb Weighting'!$B$3:$B$17,0)+1,2)</f>
        <v>0</v>
      </c>
      <c r="S99" s="37">
        <f>VLOOKUP($C99,$C$33:$Y$36,S$31,FALSE)*$C$42*$A99/8760/1000*INDEX('Bulb Weighting'!$B$2:$C$17,MATCH(RIGHT('SC-New'!$D99,LEN($D99)-7),'Bulb Weighting'!$B$3:$B$17,0)+1,2)</f>
        <v>0</v>
      </c>
      <c r="T99" s="37">
        <f>VLOOKUP($C99,$C$33:$Y$36,T$31,FALSE)*$C$42*$A99/8760/1000*INDEX('Bulb Weighting'!$B$2:$C$17,MATCH(RIGHT('SC-New'!$D99,LEN($D99)-7),'Bulb Weighting'!$B$3:$B$17,0)+1,2)</f>
        <v>0</v>
      </c>
      <c r="U99" s="37">
        <f>VLOOKUP($C99,$C$33:$Y$36,U$31,FALSE)*$C$42*$A99/8760/1000*INDEX('Bulb Weighting'!$B$2:$C$17,MATCH(RIGHT('SC-New'!$D99,LEN($D99)-7),'Bulb Weighting'!$B$3:$B$17,0)+1,2)</f>
        <v>0</v>
      </c>
      <c r="V99" s="37">
        <f>VLOOKUP($C99,$C$33:$Y$36,V$31,FALSE)*$C$42*$A99/8760/1000*INDEX('Bulb Weighting'!$B$2:$C$17,MATCH(RIGHT('SC-New'!$D99,LEN($D99)-7),'Bulb Weighting'!$B$3:$B$17,0)+1,2)</f>
        <v>0</v>
      </c>
      <c r="W99" s="37">
        <f>VLOOKUP($C99,$C$33:$Y$36,W$31,FALSE)*$C$42*$A99/8760/1000*INDEX('Bulb Weighting'!$B$2:$C$17,MATCH(RIGHT('SC-New'!$D99,LEN($D99)-7),'Bulb Weighting'!$B$3:$B$17,0)+1,2)</f>
        <v>0</v>
      </c>
      <c r="X99" s="37">
        <f>VLOOKUP($C99,$C$33:$Y$36,X$31,FALSE)*$C$42*$A99/8760/1000*INDEX('Bulb Weighting'!$B$2:$C$17,MATCH(RIGHT('SC-New'!$D99,LEN($D99)-7),'Bulb Weighting'!$B$3:$B$17,0)+1,2)</f>
        <v>0</v>
      </c>
      <c r="Y99" s="37">
        <f t="shared" si="18"/>
        <v>3.0776287524322972E-3</v>
      </c>
      <c r="AA99" s="31"/>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c r="A100" s="89">
        <f t="shared" si="20"/>
        <v>83.173238448682625</v>
      </c>
      <c r="B100" s="71">
        <f t="shared" si="21"/>
        <v>-27.334459272113147</v>
      </c>
      <c r="C100" s="1" t="s">
        <v>30</v>
      </c>
      <c r="D100" t="s">
        <v>738</v>
      </c>
      <c r="E100" s="37">
        <f>VLOOKUP($C100,$C$33:$Y$36,E$31,FALSE)*$C$42*$A100/8760/1000*INDEX('Bulb Weighting'!$B$2:$C$17,MATCH(RIGHT('SC-New'!$D100,LEN($D100)-7),'Bulb Weighting'!$B$3:$B$17,0)+1,2)</f>
        <v>1.3539628049948833E-3</v>
      </c>
      <c r="F100" s="37">
        <f>VLOOKUP($C100,$C$33:$Y$36,F$31,FALSE)*$C$42*$A100/8760/1000*INDEX('Bulb Weighting'!$B$2:$C$17,MATCH(RIGHT('SC-New'!$D100,LEN($D100)-7),'Bulb Weighting'!$B$3:$B$17,0)+1,2)</f>
        <v>0</v>
      </c>
      <c r="G100" s="37">
        <f>VLOOKUP($C100,$C$33:$Y$36,G$31,FALSE)*$C$42*$A100/8760/1000*INDEX('Bulb Weighting'!$B$2:$C$17,MATCH(RIGHT('SC-New'!$D100,LEN($D100)-7),'Bulb Weighting'!$B$3:$B$17,0)+1,2)</f>
        <v>0</v>
      </c>
      <c r="H100" s="37">
        <f>VLOOKUP($C100,$C$33:$Y$36,H$31,FALSE)*$C$42*$A100/8760/1000*INDEX('Bulb Weighting'!$B$2:$C$17,MATCH(RIGHT('SC-New'!$D100,LEN($D100)-7),'Bulb Weighting'!$B$3:$B$17,0)+1,2)</f>
        <v>0</v>
      </c>
      <c r="I100" s="37">
        <f>VLOOKUP($C100,$C$33:$Y$36,I$31,FALSE)*$C$42*$A100/8760/1000*INDEX('Bulb Weighting'!$B$2:$C$17,MATCH(RIGHT('SC-New'!$D100,LEN($D100)-7),'Bulb Weighting'!$B$3:$B$17,0)+1,2)</f>
        <v>0</v>
      </c>
      <c r="J100" s="37">
        <f>VLOOKUP($C100,$C$33:$Y$36,J$31,FALSE)*$C$42*$A100/8760/1000*INDEX('Bulb Weighting'!$B$2:$C$17,MATCH(RIGHT('SC-New'!$D100,LEN($D100)-7),'Bulb Weighting'!$B$3:$B$17,0)+1,2)</f>
        <v>0</v>
      </c>
      <c r="K100" s="37">
        <f>VLOOKUP($C100,$C$33:$Y$36,K$31,FALSE)*$C$42*$A100/8760/1000*INDEX('Bulb Weighting'!$B$2:$C$17,MATCH(RIGHT('SC-New'!$D100,LEN($D100)-7),'Bulb Weighting'!$B$3:$B$17,0)+1,2)</f>
        <v>0</v>
      </c>
      <c r="L100" s="37">
        <f>VLOOKUP($C100,$C$33:$Y$36,L$31,FALSE)*$C$42*$A100/8760/1000*INDEX('Bulb Weighting'!$B$2:$C$17,MATCH(RIGHT('SC-New'!$D100,LEN($D100)-7),'Bulb Weighting'!$B$3:$B$17,0)+1,2)</f>
        <v>0</v>
      </c>
      <c r="M100" s="37">
        <f>VLOOKUP($C100,$C$33:$Y$36,M$31,FALSE)*$C$42*$A100/8760/1000*INDEX('Bulb Weighting'!$B$2:$C$17,MATCH(RIGHT('SC-New'!$D100,LEN($D100)-7),'Bulb Weighting'!$B$3:$B$17,0)+1,2)</f>
        <v>0</v>
      </c>
      <c r="N100" s="37">
        <f>VLOOKUP($C100,$C$33:$Y$36,N$31,FALSE)*$C$42*$A100/8760/1000*INDEX('Bulb Weighting'!$B$2:$C$17,MATCH(RIGHT('SC-New'!$D100,LEN($D100)-7),'Bulb Weighting'!$B$3:$B$17,0)+1,2)</f>
        <v>0</v>
      </c>
      <c r="O100" s="37">
        <f>VLOOKUP($C100,$C$33:$Y$36,O$31,FALSE)*$C$42*$A100/8760/1000*INDEX('Bulb Weighting'!$B$2:$C$17,MATCH(RIGHT('SC-New'!$D100,LEN($D100)-7),'Bulb Weighting'!$B$3:$B$17,0)+1,2)</f>
        <v>0</v>
      </c>
      <c r="P100" s="37">
        <f>VLOOKUP($C100,$C$33:$Y$36,P$31,FALSE)*$C$42*$A100/8760/1000*INDEX('Bulb Weighting'!$B$2:$C$17,MATCH(RIGHT('SC-New'!$D100,LEN($D100)-7),'Bulb Weighting'!$B$3:$B$17,0)+1,2)</f>
        <v>0</v>
      </c>
      <c r="Q100" s="37">
        <f>VLOOKUP($C100,$C$33:$Y$36,Q$31,FALSE)*$C$42*$A100/8760/1000*INDEX('Bulb Weighting'!$B$2:$C$17,MATCH(RIGHT('SC-New'!$D100,LEN($D100)-7),'Bulb Weighting'!$B$3:$B$17,0)+1,2)</f>
        <v>0</v>
      </c>
      <c r="R100" s="37">
        <f>VLOOKUP($C100,$C$33:$Y$36,R$31,FALSE)*$C$42*$A100/8760/1000*INDEX('Bulb Weighting'!$B$2:$C$17,MATCH(RIGHT('SC-New'!$D100,LEN($D100)-7),'Bulb Weighting'!$B$3:$B$17,0)+1,2)</f>
        <v>0</v>
      </c>
      <c r="S100" s="37">
        <f>VLOOKUP($C100,$C$33:$Y$36,S$31,FALSE)*$C$42*$A100/8760/1000*INDEX('Bulb Weighting'!$B$2:$C$17,MATCH(RIGHT('SC-New'!$D100,LEN($D100)-7),'Bulb Weighting'!$B$3:$B$17,0)+1,2)</f>
        <v>0</v>
      </c>
      <c r="T100" s="37">
        <f>VLOOKUP($C100,$C$33:$Y$36,T$31,FALSE)*$C$42*$A100/8760/1000*INDEX('Bulb Weighting'!$B$2:$C$17,MATCH(RIGHT('SC-New'!$D100,LEN($D100)-7),'Bulb Weighting'!$B$3:$B$17,0)+1,2)</f>
        <v>0</v>
      </c>
      <c r="U100" s="37">
        <f>VLOOKUP($C100,$C$33:$Y$36,U$31,FALSE)*$C$42*$A100/8760/1000*INDEX('Bulb Weighting'!$B$2:$C$17,MATCH(RIGHT('SC-New'!$D100,LEN($D100)-7),'Bulb Weighting'!$B$3:$B$17,0)+1,2)</f>
        <v>0</v>
      </c>
      <c r="V100" s="37">
        <f>VLOOKUP($C100,$C$33:$Y$36,V$31,FALSE)*$C$42*$A100/8760/1000*INDEX('Bulb Weighting'!$B$2:$C$17,MATCH(RIGHT('SC-New'!$D100,LEN($D100)-7),'Bulb Weighting'!$B$3:$B$17,0)+1,2)</f>
        <v>0</v>
      </c>
      <c r="W100" s="37">
        <f>VLOOKUP($C100,$C$33:$Y$36,W$31,FALSE)*$C$42*$A100/8760/1000*INDEX('Bulb Weighting'!$B$2:$C$17,MATCH(RIGHT('SC-New'!$D100,LEN($D100)-7),'Bulb Weighting'!$B$3:$B$17,0)+1,2)</f>
        <v>0</v>
      </c>
      <c r="X100" s="37">
        <f>VLOOKUP($C100,$C$33:$Y$36,X$31,FALSE)*$C$42*$A100/8760/1000*INDEX('Bulb Weighting'!$B$2:$C$17,MATCH(RIGHT('SC-New'!$D100,LEN($D100)-7),'Bulb Weighting'!$B$3:$B$17,0)+1,2)</f>
        <v>0</v>
      </c>
      <c r="Y100" s="37">
        <f t="shared" si="18"/>
        <v>1.3539628049948833E-3</v>
      </c>
      <c r="AA100" s="31"/>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c r="A101" s="89">
        <f t="shared" si="20"/>
        <v>48.421429568529426</v>
      </c>
      <c r="B101" s="71">
        <f t="shared" si="21"/>
        <v>-0.28395098554769854</v>
      </c>
      <c r="C101" s="1" t="s">
        <v>30</v>
      </c>
      <c r="D101" t="s">
        <v>740</v>
      </c>
      <c r="E101" s="37">
        <f>VLOOKUP($C101,$C$33:$Y$36,E$31,FALSE)*$C$42*$A101/8760/1000*INDEX('Bulb Weighting'!$B$2:$C$17,MATCH(RIGHT('SC-New'!$D101,LEN($D101)-7),'Bulb Weighting'!$B$3:$B$17,0)+1,2)</f>
        <v>1.2368619184439174E-5</v>
      </c>
      <c r="F101" s="37">
        <f>VLOOKUP($C101,$C$33:$Y$36,F$31,FALSE)*$C$42*$A101/8760/1000*INDEX('Bulb Weighting'!$B$2:$C$17,MATCH(RIGHT('SC-New'!$D101,LEN($D101)-7),'Bulb Weighting'!$B$3:$B$17,0)+1,2)</f>
        <v>0</v>
      </c>
      <c r="G101" s="37">
        <f>VLOOKUP($C101,$C$33:$Y$36,G$31,FALSE)*$C$42*$A101/8760/1000*INDEX('Bulb Weighting'!$B$2:$C$17,MATCH(RIGHT('SC-New'!$D101,LEN($D101)-7),'Bulb Weighting'!$B$3:$B$17,0)+1,2)</f>
        <v>0</v>
      </c>
      <c r="H101" s="37">
        <f>VLOOKUP($C101,$C$33:$Y$36,H$31,FALSE)*$C$42*$A101/8760/1000*INDEX('Bulb Weighting'!$B$2:$C$17,MATCH(RIGHT('SC-New'!$D101,LEN($D101)-7),'Bulb Weighting'!$B$3:$B$17,0)+1,2)</f>
        <v>0</v>
      </c>
      <c r="I101" s="37">
        <f>VLOOKUP($C101,$C$33:$Y$36,I$31,FALSE)*$C$42*$A101/8760/1000*INDEX('Bulb Weighting'!$B$2:$C$17,MATCH(RIGHT('SC-New'!$D101,LEN($D101)-7),'Bulb Weighting'!$B$3:$B$17,0)+1,2)</f>
        <v>0</v>
      </c>
      <c r="J101" s="37">
        <f>VLOOKUP($C101,$C$33:$Y$36,J$31,FALSE)*$C$42*$A101/8760/1000*INDEX('Bulb Weighting'!$B$2:$C$17,MATCH(RIGHT('SC-New'!$D101,LEN($D101)-7),'Bulb Weighting'!$B$3:$B$17,0)+1,2)</f>
        <v>0</v>
      </c>
      <c r="K101" s="37">
        <f>VLOOKUP($C101,$C$33:$Y$36,K$31,FALSE)*$C$42*$A101/8760/1000*INDEX('Bulb Weighting'!$B$2:$C$17,MATCH(RIGHT('SC-New'!$D101,LEN($D101)-7),'Bulb Weighting'!$B$3:$B$17,0)+1,2)</f>
        <v>0</v>
      </c>
      <c r="L101" s="37">
        <f>VLOOKUP($C101,$C$33:$Y$36,L$31,FALSE)*$C$42*$A101/8760/1000*INDEX('Bulb Weighting'!$B$2:$C$17,MATCH(RIGHT('SC-New'!$D101,LEN($D101)-7),'Bulb Weighting'!$B$3:$B$17,0)+1,2)</f>
        <v>0</v>
      </c>
      <c r="M101" s="37">
        <f>VLOOKUP($C101,$C$33:$Y$36,M$31,FALSE)*$C$42*$A101/8760/1000*INDEX('Bulb Weighting'!$B$2:$C$17,MATCH(RIGHT('SC-New'!$D101,LEN($D101)-7),'Bulb Weighting'!$B$3:$B$17,0)+1,2)</f>
        <v>0</v>
      </c>
      <c r="N101" s="37">
        <f>VLOOKUP($C101,$C$33:$Y$36,N$31,FALSE)*$C$42*$A101/8760/1000*INDEX('Bulb Weighting'!$B$2:$C$17,MATCH(RIGHT('SC-New'!$D101,LEN($D101)-7),'Bulb Weighting'!$B$3:$B$17,0)+1,2)</f>
        <v>0</v>
      </c>
      <c r="O101" s="37">
        <f>VLOOKUP($C101,$C$33:$Y$36,O$31,FALSE)*$C$42*$A101/8760/1000*INDEX('Bulb Weighting'!$B$2:$C$17,MATCH(RIGHT('SC-New'!$D101,LEN($D101)-7),'Bulb Weighting'!$B$3:$B$17,0)+1,2)</f>
        <v>0</v>
      </c>
      <c r="P101" s="37">
        <f>VLOOKUP($C101,$C$33:$Y$36,P$31,FALSE)*$C$42*$A101/8760/1000*INDEX('Bulb Weighting'!$B$2:$C$17,MATCH(RIGHT('SC-New'!$D101,LEN($D101)-7),'Bulb Weighting'!$B$3:$B$17,0)+1,2)</f>
        <v>0</v>
      </c>
      <c r="Q101" s="37">
        <f>VLOOKUP($C101,$C$33:$Y$36,Q$31,FALSE)*$C$42*$A101/8760/1000*INDEX('Bulb Weighting'!$B$2:$C$17,MATCH(RIGHT('SC-New'!$D101,LEN($D101)-7),'Bulb Weighting'!$B$3:$B$17,0)+1,2)</f>
        <v>0</v>
      </c>
      <c r="R101" s="37">
        <f>VLOOKUP($C101,$C$33:$Y$36,R$31,FALSE)*$C$42*$A101/8760/1000*INDEX('Bulb Weighting'!$B$2:$C$17,MATCH(RIGHT('SC-New'!$D101,LEN($D101)-7),'Bulb Weighting'!$B$3:$B$17,0)+1,2)</f>
        <v>0</v>
      </c>
      <c r="S101" s="37">
        <f>VLOOKUP($C101,$C$33:$Y$36,S$31,FALSE)*$C$42*$A101/8760/1000*INDEX('Bulb Weighting'!$B$2:$C$17,MATCH(RIGHT('SC-New'!$D101,LEN($D101)-7),'Bulb Weighting'!$B$3:$B$17,0)+1,2)</f>
        <v>0</v>
      </c>
      <c r="T101" s="37">
        <f>VLOOKUP($C101,$C$33:$Y$36,T$31,FALSE)*$C$42*$A101/8760/1000*INDEX('Bulb Weighting'!$B$2:$C$17,MATCH(RIGHT('SC-New'!$D101,LEN($D101)-7),'Bulb Weighting'!$B$3:$B$17,0)+1,2)</f>
        <v>0</v>
      </c>
      <c r="U101" s="37">
        <f>VLOOKUP($C101,$C$33:$Y$36,U$31,FALSE)*$C$42*$A101/8760/1000*INDEX('Bulb Weighting'!$B$2:$C$17,MATCH(RIGHT('SC-New'!$D101,LEN($D101)-7),'Bulb Weighting'!$B$3:$B$17,0)+1,2)</f>
        <v>0</v>
      </c>
      <c r="V101" s="37">
        <f>VLOOKUP($C101,$C$33:$Y$36,V$31,FALSE)*$C$42*$A101/8760/1000*INDEX('Bulb Weighting'!$B$2:$C$17,MATCH(RIGHT('SC-New'!$D101,LEN($D101)-7),'Bulb Weighting'!$B$3:$B$17,0)+1,2)</f>
        <v>0</v>
      </c>
      <c r="W101" s="37">
        <f>VLOOKUP($C101,$C$33:$Y$36,W$31,FALSE)*$C$42*$A101/8760/1000*INDEX('Bulb Weighting'!$B$2:$C$17,MATCH(RIGHT('SC-New'!$D101,LEN($D101)-7),'Bulb Weighting'!$B$3:$B$17,0)+1,2)</f>
        <v>0</v>
      </c>
      <c r="X101" s="37">
        <f>VLOOKUP($C101,$C$33:$Y$36,X$31,FALSE)*$C$42*$A101/8760/1000*INDEX('Bulb Weighting'!$B$2:$C$17,MATCH(RIGHT('SC-New'!$D101,LEN($D101)-7),'Bulb Weighting'!$B$3:$B$17,0)+1,2)</f>
        <v>0</v>
      </c>
      <c r="Y101" s="37">
        <f t="shared" si="18"/>
        <v>1.2368619184439174E-5</v>
      </c>
      <c r="AA101" s="3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c r="A102" s="89">
        <f t="shared" si="20"/>
        <v>52.157694278074032</v>
      </c>
      <c r="B102" s="71">
        <f t="shared" si="21"/>
        <v>-8.9398321624848585</v>
      </c>
      <c r="C102" s="1" t="s">
        <v>30</v>
      </c>
      <c r="D102" t="s">
        <v>742</v>
      </c>
      <c r="E102" s="37">
        <f>VLOOKUP($C102,$C$33:$Y$36,E$31,FALSE)*$C$42*$A102/8760/1000*INDEX('Bulb Weighting'!$B$2:$C$17,MATCH(RIGHT('SC-New'!$D102,LEN($D102)-7),'Bulb Weighting'!$B$3:$B$17,0)+1,2)</f>
        <v>1.6445138273933396E-4</v>
      </c>
      <c r="F102" s="37">
        <f>VLOOKUP($C102,$C$33:$Y$36,F$31,FALSE)*$C$42*$A102/8760/1000*INDEX('Bulb Weighting'!$B$2:$C$17,MATCH(RIGHT('SC-New'!$D102,LEN($D102)-7),'Bulb Weighting'!$B$3:$B$17,0)+1,2)</f>
        <v>0</v>
      </c>
      <c r="G102" s="37">
        <f>VLOOKUP($C102,$C$33:$Y$36,G$31,FALSE)*$C$42*$A102/8760/1000*INDEX('Bulb Weighting'!$B$2:$C$17,MATCH(RIGHT('SC-New'!$D102,LEN($D102)-7),'Bulb Weighting'!$B$3:$B$17,0)+1,2)</f>
        <v>0</v>
      </c>
      <c r="H102" s="37">
        <f>VLOOKUP($C102,$C$33:$Y$36,H$31,FALSE)*$C$42*$A102/8760/1000*INDEX('Bulb Weighting'!$B$2:$C$17,MATCH(RIGHT('SC-New'!$D102,LEN($D102)-7),'Bulb Weighting'!$B$3:$B$17,0)+1,2)</f>
        <v>0</v>
      </c>
      <c r="I102" s="37">
        <f>VLOOKUP($C102,$C$33:$Y$36,I$31,FALSE)*$C$42*$A102/8760/1000*INDEX('Bulb Weighting'!$B$2:$C$17,MATCH(RIGHT('SC-New'!$D102,LEN($D102)-7),'Bulb Weighting'!$B$3:$B$17,0)+1,2)</f>
        <v>0</v>
      </c>
      <c r="J102" s="37">
        <f>VLOOKUP($C102,$C$33:$Y$36,J$31,FALSE)*$C$42*$A102/8760/1000*INDEX('Bulb Weighting'!$B$2:$C$17,MATCH(RIGHT('SC-New'!$D102,LEN($D102)-7),'Bulb Weighting'!$B$3:$B$17,0)+1,2)</f>
        <v>0</v>
      </c>
      <c r="K102" s="37">
        <f>VLOOKUP($C102,$C$33:$Y$36,K$31,FALSE)*$C$42*$A102/8760/1000*INDEX('Bulb Weighting'!$B$2:$C$17,MATCH(RIGHT('SC-New'!$D102,LEN($D102)-7),'Bulb Weighting'!$B$3:$B$17,0)+1,2)</f>
        <v>0</v>
      </c>
      <c r="L102" s="37">
        <f>VLOOKUP($C102,$C$33:$Y$36,L$31,FALSE)*$C$42*$A102/8760/1000*INDEX('Bulb Weighting'!$B$2:$C$17,MATCH(RIGHT('SC-New'!$D102,LEN($D102)-7),'Bulb Weighting'!$B$3:$B$17,0)+1,2)</f>
        <v>0</v>
      </c>
      <c r="M102" s="37">
        <f>VLOOKUP($C102,$C$33:$Y$36,M$31,FALSE)*$C$42*$A102/8760/1000*INDEX('Bulb Weighting'!$B$2:$C$17,MATCH(RIGHT('SC-New'!$D102,LEN($D102)-7),'Bulb Weighting'!$B$3:$B$17,0)+1,2)</f>
        <v>0</v>
      </c>
      <c r="N102" s="37">
        <f>VLOOKUP($C102,$C$33:$Y$36,N$31,FALSE)*$C$42*$A102/8760/1000*INDEX('Bulb Weighting'!$B$2:$C$17,MATCH(RIGHT('SC-New'!$D102,LEN($D102)-7),'Bulb Weighting'!$B$3:$B$17,0)+1,2)</f>
        <v>0</v>
      </c>
      <c r="O102" s="37">
        <f>VLOOKUP($C102,$C$33:$Y$36,O$31,FALSE)*$C$42*$A102/8760/1000*INDEX('Bulb Weighting'!$B$2:$C$17,MATCH(RIGHT('SC-New'!$D102,LEN($D102)-7),'Bulb Weighting'!$B$3:$B$17,0)+1,2)</f>
        <v>0</v>
      </c>
      <c r="P102" s="37">
        <f>VLOOKUP($C102,$C$33:$Y$36,P$31,FALSE)*$C$42*$A102/8760/1000*INDEX('Bulb Weighting'!$B$2:$C$17,MATCH(RIGHT('SC-New'!$D102,LEN($D102)-7),'Bulb Weighting'!$B$3:$B$17,0)+1,2)</f>
        <v>0</v>
      </c>
      <c r="Q102" s="37">
        <f>VLOOKUP($C102,$C$33:$Y$36,Q$31,FALSE)*$C$42*$A102/8760/1000*INDEX('Bulb Weighting'!$B$2:$C$17,MATCH(RIGHT('SC-New'!$D102,LEN($D102)-7),'Bulb Weighting'!$B$3:$B$17,0)+1,2)</f>
        <v>0</v>
      </c>
      <c r="R102" s="37">
        <f>VLOOKUP($C102,$C$33:$Y$36,R$31,FALSE)*$C$42*$A102/8760/1000*INDEX('Bulb Weighting'!$B$2:$C$17,MATCH(RIGHT('SC-New'!$D102,LEN($D102)-7),'Bulb Weighting'!$B$3:$B$17,0)+1,2)</f>
        <v>0</v>
      </c>
      <c r="S102" s="37">
        <f>VLOOKUP($C102,$C$33:$Y$36,S$31,FALSE)*$C$42*$A102/8760/1000*INDEX('Bulb Weighting'!$B$2:$C$17,MATCH(RIGHT('SC-New'!$D102,LEN($D102)-7),'Bulb Weighting'!$B$3:$B$17,0)+1,2)</f>
        <v>0</v>
      </c>
      <c r="T102" s="37">
        <f>VLOOKUP($C102,$C$33:$Y$36,T$31,FALSE)*$C$42*$A102/8760/1000*INDEX('Bulb Weighting'!$B$2:$C$17,MATCH(RIGHT('SC-New'!$D102,LEN($D102)-7),'Bulb Weighting'!$B$3:$B$17,0)+1,2)</f>
        <v>0</v>
      </c>
      <c r="U102" s="37">
        <f>VLOOKUP($C102,$C$33:$Y$36,U$31,FALSE)*$C$42*$A102/8760/1000*INDEX('Bulb Weighting'!$B$2:$C$17,MATCH(RIGHT('SC-New'!$D102,LEN($D102)-7),'Bulb Weighting'!$B$3:$B$17,0)+1,2)</f>
        <v>0</v>
      </c>
      <c r="V102" s="37">
        <f>VLOOKUP($C102,$C$33:$Y$36,V$31,FALSE)*$C$42*$A102/8760/1000*INDEX('Bulb Weighting'!$B$2:$C$17,MATCH(RIGHT('SC-New'!$D102,LEN($D102)-7),'Bulb Weighting'!$B$3:$B$17,0)+1,2)</f>
        <v>0</v>
      </c>
      <c r="W102" s="37">
        <f>VLOOKUP($C102,$C$33:$Y$36,W$31,FALSE)*$C$42*$A102/8760/1000*INDEX('Bulb Weighting'!$B$2:$C$17,MATCH(RIGHT('SC-New'!$D102,LEN($D102)-7),'Bulb Weighting'!$B$3:$B$17,0)+1,2)</f>
        <v>0</v>
      </c>
      <c r="X102" s="37">
        <f>VLOOKUP($C102,$C$33:$Y$36,X$31,FALSE)*$C$42*$A102/8760/1000*INDEX('Bulb Weighting'!$B$2:$C$17,MATCH(RIGHT('SC-New'!$D102,LEN($D102)-7),'Bulb Weighting'!$B$3:$B$17,0)+1,2)</f>
        <v>0</v>
      </c>
      <c r="Y102" s="37">
        <f t="shared" si="18"/>
        <v>1.6445138273933396E-4</v>
      </c>
      <c r="AA102" s="31"/>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c r="A103" s="89">
        <f t="shared" si="20"/>
        <v>46.673278979590322</v>
      </c>
      <c r="B103" s="71">
        <f t="shared" si="21"/>
        <v>-22.011904676498236</v>
      </c>
      <c r="C103" s="1" t="s">
        <v>30</v>
      </c>
      <c r="D103" t="s">
        <v>744</v>
      </c>
      <c r="E103" s="37">
        <f>VLOOKUP($C103,$C$33:$Y$36,E$31,FALSE)*$C$42*$A103/8760/1000*INDEX('Bulb Weighting'!$B$2:$C$17,MATCH(RIGHT('SC-New'!$D103,LEN($D103)-7),'Bulb Weighting'!$B$3:$B$17,0)+1,2)</f>
        <v>5.6904886660532651E-4</v>
      </c>
      <c r="F103" s="37">
        <f>VLOOKUP($C103,$C$33:$Y$36,F$31,FALSE)*$C$42*$A103/8760/1000*INDEX('Bulb Weighting'!$B$2:$C$17,MATCH(RIGHT('SC-New'!$D103,LEN($D103)-7),'Bulb Weighting'!$B$3:$B$17,0)+1,2)</f>
        <v>0</v>
      </c>
      <c r="G103" s="37">
        <f>VLOOKUP($C103,$C$33:$Y$36,G$31,FALSE)*$C$42*$A103/8760/1000*INDEX('Bulb Weighting'!$B$2:$C$17,MATCH(RIGHT('SC-New'!$D103,LEN($D103)-7),'Bulb Weighting'!$B$3:$B$17,0)+1,2)</f>
        <v>0</v>
      </c>
      <c r="H103" s="37">
        <f>VLOOKUP($C103,$C$33:$Y$36,H$31,FALSE)*$C$42*$A103/8760/1000*INDEX('Bulb Weighting'!$B$2:$C$17,MATCH(RIGHT('SC-New'!$D103,LEN($D103)-7),'Bulb Weighting'!$B$3:$B$17,0)+1,2)</f>
        <v>0</v>
      </c>
      <c r="I103" s="37">
        <f>VLOOKUP($C103,$C$33:$Y$36,I$31,FALSE)*$C$42*$A103/8760/1000*INDEX('Bulb Weighting'!$B$2:$C$17,MATCH(RIGHT('SC-New'!$D103,LEN($D103)-7),'Bulb Weighting'!$B$3:$B$17,0)+1,2)</f>
        <v>0</v>
      </c>
      <c r="J103" s="37">
        <f>VLOOKUP($C103,$C$33:$Y$36,J$31,FALSE)*$C$42*$A103/8760/1000*INDEX('Bulb Weighting'!$B$2:$C$17,MATCH(RIGHT('SC-New'!$D103,LEN($D103)-7),'Bulb Weighting'!$B$3:$B$17,0)+1,2)</f>
        <v>0</v>
      </c>
      <c r="K103" s="37">
        <f>VLOOKUP($C103,$C$33:$Y$36,K$31,FALSE)*$C$42*$A103/8760/1000*INDEX('Bulb Weighting'!$B$2:$C$17,MATCH(RIGHT('SC-New'!$D103,LEN($D103)-7),'Bulb Weighting'!$B$3:$B$17,0)+1,2)</f>
        <v>0</v>
      </c>
      <c r="L103" s="37">
        <f>VLOOKUP($C103,$C$33:$Y$36,L$31,FALSE)*$C$42*$A103/8760/1000*INDEX('Bulb Weighting'!$B$2:$C$17,MATCH(RIGHT('SC-New'!$D103,LEN($D103)-7),'Bulb Weighting'!$B$3:$B$17,0)+1,2)</f>
        <v>0</v>
      </c>
      <c r="M103" s="37">
        <f>VLOOKUP($C103,$C$33:$Y$36,M$31,FALSE)*$C$42*$A103/8760/1000*INDEX('Bulb Weighting'!$B$2:$C$17,MATCH(RIGHT('SC-New'!$D103,LEN($D103)-7),'Bulb Weighting'!$B$3:$B$17,0)+1,2)</f>
        <v>0</v>
      </c>
      <c r="N103" s="37">
        <f>VLOOKUP($C103,$C$33:$Y$36,N$31,FALSE)*$C$42*$A103/8760/1000*INDEX('Bulb Weighting'!$B$2:$C$17,MATCH(RIGHT('SC-New'!$D103,LEN($D103)-7),'Bulb Weighting'!$B$3:$B$17,0)+1,2)</f>
        <v>0</v>
      </c>
      <c r="O103" s="37">
        <f>VLOOKUP($C103,$C$33:$Y$36,O$31,FALSE)*$C$42*$A103/8760/1000*INDEX('Bulb Weighting'!$B$2:$C$17,MATCH(RIGHT('SC-New'!$D103,LEN($D103)-7),'Bulb Weighting'!$B$3:$B$17,0)+1,2)</f>
        <v>0</v>
      </c>
      <c r="P103" s="37">
        <f>VLOOKUP($C103,$C$33:$Y$36,P$31,FALSE)*$C$42*$A103/8760/1000*INDEX('Bulb Weighting'!$B$2:$C$17,MATCH(RIGHT('SC-New'!$D103,LEN($D103)-7),'Bulb Weighting'!$B$3:$B$17,0)+1,2)</f>
        <v>0</v>
      </c>
      <c r="Q103" s="37">
        <f>VLOOKUP($C103,$C$33:$Y$36,Q$31,FALSE)*$C$42*$A103/8760/1000*INDEX('Bulb Weighting'!$B$2:$C$17,MATCH(RIGHT('SC-New'!$D103,LEN($D103)-7),'Bulb Weighting'!$B$3:$B$17,0)+1,2)</f>
        <v>0</v>
      </c>
      <c r="R103" s="37">
        <f>VLOOKUP($C103,$C$33:$Y$36,R$31,FALSE)*$C$42*$A103/8760/1000*INDEX('Bulb Weighting'!$B$2:$C$17,MATCH(RIGHT('SC-New'!$D103,LEN($D103)-7),'Bulb Weighting'!$B$3:$B$17,0)+1,2)</f>
        <v>0</v>
      </c>
      <c r="S103" s="37">
        <f>VLOOKUP($C103,$C$33:$Y$36,S$31,FALSE)*$C$42*$A103/8760/1000*INDEX('Bulb Weighting'!$B$2:$C$17,MATCH(RIGHT('SC-New'!$D103,LEN($D103)-7),'Bulb Weighting'!$B$3:$B$17,0)+1,2)</f>
        <v>0</v>
      </c>
      <c r="T103" s="37">
        <f>VLOOKUP($C103,$C$33:$Y$36,T$31,FALSE)*$C$42*$A103/8760/1000*INDEX('Bulb Weighting'!$B$2:$C$17,MATCH(RIGHT('SC-New'!$D103,LEN($D103)-7),'Bulb Weighting'!$B$3:$B$17,0)+1,2)</f>
        <v>0</v>
      </c>
      <c r="U103" s="37">
        <f>VLOOKUP($C103,$C$33:$Y$36,U$31,FALSE)*$C$42*$A103/8760/1000*INDEX('Bulb Weighting'!$B$2:$C$17,MATCH(RIGHT('SC-New'!$D103,LEN($D103)-7),'Bulb Weighting'!$B$3:$B$17,0)+1,2)</f>
        <v>0</v>
      </c>
      <c r="V103" s="37">
        <f>VLOOKUP($C103,$C$33:$Y$36,V$31,FALSE)*$C$42*$A103/8760/1000*INDEX('Bulb Weighting'!$B$2:$C$17,MATCH(RIGHT('SC-New'!$D103,LEN($D103)-7),'Bulb Weighting'!$B$3:$B$17,0)+1,2)</f>
        <v>0</v>
      </c>
      <c r="W103" s="37">
        <f>VLOOKUP($C103,$C$33:$Y$36,W$31,FALSE)*$C$42*$A103/8760/1000*INDEX('Bulb Weighting'!$B$2:$C$17,MATCH(RIGHT('SC-New'!$D103,LEN($D103)-7),'Bulb Weighting'!$B$3:$B$17,0)+1,2)</f>
        <v>0</v>
      </c>
      <c r="X103" s="37">
        <f>VLOOKUP($C103,$C$33:$Y$36,X$31,FALSE)*$C$42*$A103/8760/1000*INDEX('Bulb Weighting'!$B$2:$C$17,MATCH(RIGHT('SC-New'!$D103,LEN($D103)-7),'Bulb Weighting'!$B$3:$B$17,0)+1,2)</f>
        <v>0</v>
      </c>
      <c r="Y103" s="37">
        <f t="shared" si="18"/>
        <v>5.6904886660532651E-4</v>
      </c>
      <c r="AA103" s="31">
        <f t="shared" si="17"/>
        <v>1.138097733210653E-3</v>
      </c>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ht="15">
      <c r="B105" s="90">
        <f>SUMPRODUCT(B44:B103,AA44:AA103)/SUM(AA44:AA103)</f>
        <v>-12.602290102101422</v>
      </c>
      <c r="E105" s="37">
        <f>SUM(E44:E103)</f>
        <v>1.354329375982686</v>
      </c>
      <c r="F105" s="37">
        <f t="shared" ref="F105:X105" si="23">SUM(F44:F103)</f>
        <v>0</v>
      </c>
      <c r="G105" s="37">
        <f t="shared" si="23"/>
        <v>0</v>
      </c>
      <c r="H105" s="37">
        <f t="shared" si="23"/>
        <v>0</v>
      </c>
      <c r="I105" s="37">
        <f t="shared" si="23"/>
        <v>0</v>
      </c>
      <c r="J105" s="37">
        <f t="shared" si="23"/>
        <v>0</v>
      </c>
      <c r="K105" s="37">
        <f t="shared" si="23"/>
        <v>0</v>
      </c>
      <c r="L105" s="37">
        <f t="shared" si="23"/>
        <v>0</v>
      </c>
      <c r="M105" s="37">
        <f t="shared" si="23"/>
        <v>0</v>
      </c>
      <c r="N105" s="37">
        <f t="shared" si="23"/>
        <v>0</v>
      </c>
      <c r="O105" s="37">
        <f t="shared" si="23"/>
        <v>0</v>
      </c>
      <c r="P105" s="37">
        <f t="shared" si="23"/>
        <v>0</v>
      </c>
      <c r="Q105" s="37">
        <f t="shared" si="23"/>
        <v>0</v>
      </c>
      <c r="R105" s="37">
        <f t="shared" si="23"/>
        <v>0</v>
      </c>
      <c r="S105" s="37">
        <f t="shared" si="23"/>
        <v>0</v>
      </c>
      <c r="T105" s="37">
        <f t="shared" si="23"/>
        <v>0</v>
      </c>
      <c r="U105" s="37">
        <f t="shared" si="23"/>
        <v>0</v>
      </c>
      <c r="V105" s="37">
        <f t="shared" si="23"/>
        <v>0</v>
      </c>
      <c r="W105" s="37">
        <f t="shared" si="23"/>
        <v>0</v>
      </c>
      <c r="X105" s="37">
        <f t="shared" si="23"/>
        <v>0</v>
      </c>
      <c r="Y105" s="37">
        <f>SUM(Y44:Y103)</f>
        <v>1.354329375982686</v>
      </c>
      <c r="AA105">
        <f t="shared" si="17"/>
        <v>2.708658751965372</v>
      </c>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customFormat="1">
      <c r="A106" s="1"/>
      <c r="B106" s="1"/>
      <c r="C106" s="1"/>
      <c r="D106" s="1"/>
    </row>
    <row r="107" spans="1:80" customFormat="1">
      <c r="A107" s="1"/>
      <c r="B107" s="1"/>
      <c r="C107" s="72"/>
      <c r="D107" s="72"/>
    </row>
    <row r="108" spans="1:80" ht="15">
      <c r="A108" s="63" t="s">
        <v>77</v>
      </c>
      <c r="B108" s="63"/>
      <c r="C108" s="73"/>
      <c r="D108" s="73"/>
      <c r="E108" s="37"/>
      <c r="F108" s="37"/>
      <c r="G108" s="37"/>
      <c r="H108" s="37"/>
      <c r="I108" s="37"/>
      <c r="J108" s="37"/>
      <c r="K108" s="37"/>
      <c r="L108" s="37"/>
      <c r="M108" s="37"/>
      <c r="N108" s="37"/>
      <c r="O108" s="37"/>
      <c r="P108" s="37"/>
      <c r="Q108" s="37"/>
      <c r="R108" s="37"/>
      <c r="S108" s="37"/>
      <c r="T108" s="37"/>
      <c r="U108" s="37"/>
      <c r="V108" s="37"/>
      <c r="W108" s="37"/>
      <c r="X108" s="37"/>
      <c r="Y108" s="37"/>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ht="15">
      <c r="C109" s="73"/>
      <c r="D109" s="73"/>
      <c r="E109" s="67">
        <f t="shared" ref="E109:X109" si="24">E11</f>
        <v>2016</v>
      </c>
      <c r="F109" s="67">
        <f t="shared" si="24"/>
        <v>2017</v>
      </c>
      <c r="G109" s="67">
        <f t="shared" si="24"/>
        <v>2018</v>
      </c>
      <c r="H109" s="67">
        <f t="shared" si="24"/>
        <v>2019</v>
      </c>
      <c r="I109" s="67">
        <f t="shared" si="24"/>
        <v>2020</v>
      </c>
      <c r="J109" s="67">
        <f t="shared" si="24"/>
        <v>2021</v>
      </c>
      <c r="K109" s="67">
        <f t="shared" si="24"/>
        <v>2022</v>
      </c>
      <c r="L109" s="67">
        <f t="shared" si="24"/>
        <v>2023</v>
      </c>
      <c r="M109" s="67">
        <f t="shared" si="24"/>
        <v>2024</v>
      </c>
      <c r="N109" s="67">
        <f t="shared" si="24"/>
        <v>2025</v>
      </c>
      <c r="O109" s="67">
        <f t="shared" si="24"/>
        <v>2026</v>
      </c>
      <c r="P109" s="67">
        <f t="shared" si="24"/>
        <v>2027</v>
      </c>
      <c r="Q109" s="67">
        <f t="shared" si="24"/>
        <v>2028</v>
      </c>
      <c r="R109" s="67">
        <f t="shared" si="24"/>
        <v>2029</v>
      </c>
      <c r="S109" s="67">
        <f t="shared" si="24"/>
        <v>2030</v>
      </c>
      <c r="T109" s="67">
        <f t="shared" si="24"/>
        <v>2031</v>
      </c>
      <c r="U109" s="67">
        <f t="shared" si="24"/>
        <v>2032</v>
      </c>
      <c r="V109" s="67">
        <f t="shared" si="24"/>
        <v>2033</v>
      </c>
      <c r="W109" s="67">
        <f t="shared" si="24"/>
        <v>2034</v>
      </c>
      <c r="X109" s="67">
        <f t="shared" si="24"/>
        <v>2035</v>
      </c>
      <c r="Y109" s="67" t="s">
        <v>159</v>
      </c>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ht="15">
      <c r="C110" s="73" t="s">
        <v>74</v>
      </c>
      <c r="D110" s="73" t="s">
        <v>74</v>
      </c>
      <c r="E110" s="69" t="str">
        <f>CONCATENATE($E$41,"_",E109)</f>
        <v>aMW_2016</v>
      </c>
      <c r="F110" s="69" t="str">
        <f t="shared" ref="F110" si="25">CONCATENATE($E$41,"_",F109)</f>
        <v>aMW_2017</v>
      </c>
      <c r="G110" s="69" t="str">
        <f t="shared" ref="G110" si="26">CONCATENATE($E$41,"_",G109)</f>
        <v>aMW_2018</v>
      </c>
      <c r="H110" s="69" t="str">
        <f t="shared" ref="H110" si="27">CONCATENATE($E$41,"_",H109)</f>
        <v>aMW_2019</v>
      </c>
      <c r="I110" s="69" t="str">
        <f t="shared" ref="I110" si="28">CONCATENATE($E$41,"_",I109)</f>
        <v>aMW_2020</v>
      </c>
      <c r="J110" s="69" t="str">
        <f t="shared" ref="J110" si="29">CONCATENATE($E$41,"_",J109)</f>
        <v>aMW_2021</v>
      </c>
      <c r="K110" s="69" t="str">
        <f t="shared" ref="K110" si="30">CONCATENATE($E$41,"_",K109)</f>
        <v>aMW_2022</v>
      </c>
      <c r="L110" s="69" t="str">
        <f t="shared" ref="L110" si="31">CONCATENATE($E$41,"_",L109)</f>
        <v>aMW_2023</v>
      </c>
      <c r="M110" s="69" t="str">
        <f t="shared" ref="M110" si="32">CONCATENATE($E$41,"_",M109)</f>
        <v>aMW_2024</v>
      </c>
      <c r="N110" s="69" t="str">
        <f t="shared" ref="N110" si="33">CONCATENATE($E$41,"_",N109)</f>
        <v>aMW_2025</v>
      </c>
      <c r="O110" s="69" t="str">
        <f t="shared" ref="O110" si="34">CONCATENATE($E$41,"_",O109)</f>
        <v>aMW_2026</v>
      </c>
      <c r="P110" s="69" t="str">
        <f t="shared" ref="P110" si="35">CONCATENATE($E$41,"_",P109)</f>
        <v>aMW_2027</v>
      </c>
      <c r="Q110" s="69" t="str">
        <f t="shared" ref="Q110" si="36">CONCATENATE($E$41,"_",Q109)</f>
        <v>aMW_2028</v>
      </c>
      <c r="R110" s="69" t="str">
        <f t="shared" ref="R110" si="37">CONCATENATE($E$41,"_",R109)</f>
        <v>aMW_2029</v>
      </c>
      <c r="S110" s="69" t="str">
        <f t="shared" ref="S110" si="38">CONCATENATE($E$41,"_",S109)</f>
        <v>aMW_2030</v>
      </c>
      <c r="T110" s="69" t="str">
        <f t="shared" ref="T110" si="39">CONCATENATE($E$41,"_",T109)</f>
        <v>aMW_2031</v>
      </c>
      <c r="U110" s="69" t="str">
        <f t="shared" ref="U110" si="40">CONCATENATE($E$41,"_",U109)</f>
        <v>aMW_2032</v>
      </c>
      <c r="V110" s="69" t="str">
        <f t="shared" ref="V110" si="41">CONCATENATE($E$41,"_",V109)</f>
        <v>aMW_2033</v>
      </c>
      <c r="W110" s="69" t="str">
        <f t="shared" ref="W110" si="42">CONCATENATE($E$41,"_",W109)</f>
        <v>aMW_2034</v>
      </c>
      <c r="X110" s="69" t="str">
        <f t="shared" ref="X110" si="43">CONCATENATE($E$41,"_",X109)</f>
        <v>aMW_2035</v>
      </c>
      <c r="Y110" s="69" t="s">
        <v>159</v>
      </c>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c r="B111" s="1" t="s">
        <v>78</v>
      </c>
      <c r="C111" s="73" t="s">
        <v>79</v>
      </c>
      <c r="D111" s="73" t="s">
        <v>80</v>
      </c>
      <c r="E111" s="37">
        <f>DSUM($B$43:$X$103,E$43,$C$110:$D111)</f>
        <v>0.81049126223483303</v>
      </c>
      <c r="F111" s="37">
        <f>DSUM($B$43:$X$103,F$43,$C$110:$D111)</f>
        <v>0</v>
      </c>
      <c r="G111" s="37">
        <f>DSUM($B$43:$X$103,G$43,$C$110:$D111)</f>
        <v>0</v>
      </c>
      <c r="H111" s="37">
        <f>DSUM($B$43:$X$103,H$43,$C$110:$D111)</f>
        <v>0</v>
      </c>
      <c r="I111" s="37">
        <f>DSUM($B$43:$X$103,I$43,$C$110:$D111)</f>
        <v>0</v>
      </c>
      <c r="J111" s="37">
        <f>DSUM($B$43:$X$103,J$43,$C$110:$D111)</f>
        <v>0</v>
      </c>
      <c r="K111" s="37">
        <f>DSUM($B$43:$X$103,K$43,$C$110:$D111)</f>
        <v>0</v>
      </c>
      <c r="L111" s="37">
        <f>DSUM($B$43:$X$103,L$43,$C$110:$D111)</f>
        <v>0</v>
      </c>
      <c r="M111" s="37">
        <f>DSUM($B$43:$X$103,M$43,$C$110:$D111)</f>
        <v>0</v>
      </c>
      <c r="N111" s="37">
        <f>DSUM($B$43:$X$103,N$43,$C$110:$D111)</f>
        <v>0</v>
      </c>
      <c r="O111" s="37">
        <f>DSUM($B$43:$X$103,O$43,$C$110:$D111)</f>
        <v>0</v>
      </c>
      <c r="P111" s="37">
        <f>DSUM($B$43:$X$103,P$43,$C$110:$D111)</f>
        <v>0</v>
      </c>
      <c r="Q111" s="37">
        <f>DSUM($B$43:$X$103,Q$43,$C$110:$D111)</f>
        <v>0</v>
      </c>
      <c r="R111" s="37">
        <f>DSUM($B$43:$X$103,R$43,$C$110:$D111)</f>
        <v>0</v>
      </c>
      <c r="S111" s="37">
        <f>DSUM($B$43:$X$103,S$43,$C$110:$D111)</f>
        <v>0</v>
      </c>
      <c r="T111" s="37">
        <f>DSUM($B$43:$X$103,T$43,$C$110:$D111)</f>
        <v>0</v>
      </c>
      <c r="U111" s="37">
        <f>DSUM($B$43:$X$103,U$43,$C$110:$D111)</f>
        <v>0</v>
      </c>
      <c r="V111" s="37">
        <f>DSUM($B$43:$X$103,V$43,$C$110:$D111)</f>
        <v>0</v>
      </c>
      <c r="W111" s="37">
        <f>DSUM($B$43:$X$103,W$43,$C$110:$D111)</f>
        <v>0</v>
      </c>
      <c r="X111" s="37">
        <f>DSUM($B$43:$X$103,X$43,$C$110:$D111)</f>
        <v>0</v>
      </c>
      <c r="Y111" s="37">
        <f>SUM(E111:X111)</f>
        <v>0.81049126223483303</v>
      </c>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c r="B112" s="1" t="s">
        <v>785</v>
      </c>
      <c r="C112" s="73" t="s">
        <v>82</v>
      </c>
      <c r="D112" s="73" t="s">
        <v>83</v>
      </c>
      <c r="E112" s="37">
        <f>DSUM($B$43:$X$103,E$43,$C$110:$D112)</f>
        <v>0.81049126223483303</v>
      </c>
      <c r="F112" s="37">
        <f>DSUM($B$43:$X$103,F$43,$C$110:$D112)</f>
        <v>0</v>
      </c>
      <c r="G112" s="37">
        <f>DSUM($B$43:$X$103,G$43,$C$110:$D112)</f>
        <v>0</v>
      </c>
      <c r="H112" s="37">
        <f>DSUM($B$43:$X$103,H$43,$C$110:$D112)</f>
        <v>0</v>
      </c>
      <c r="I112" s="37">
        <f>DSUM($B$43:$X$103,I$43,$C$110:$D112)</f>
        <v>0</v>
      </c>
      <c r="J112" s="37">
        <f>DSUM($B$43:$X$103,J$43,$C$110:$D112)</f>
        <v>0</v>
      </c>
      <c r="K112" s="37">
        <f>DSUM($B$43:$X$103,K$43,$C$110:$D112)</f>
        <v>0</v>
      </c>
      <c r="L112" s="37">
        <f>DSUM($B$43:$X$103,L$43,$C$110:$D112)</f>
        <v>0</v>
      </c>
      <c r="M112" s="37">
        <f>DSUM($B$43:$X$103,M$43,$C$110:$D112)</f>
        <v>0</v>
      </c>
      <c r="N112" s="37">
        <f>DSUM($B$43:$X$103,N$43,$C$110:$D112)</f>
        <v>0</v>
      </c>
      <c r="O112" s="37">
        <f>DSUM($B$43:$X$103,O$43,$C$110:$D112)</f>
        <v>0</v>
      </c>
      <c r="P112" s="37">
        <f>DSUM($B$43:$X$103,P$43,$C$110:$D112)</f>
        <v>0</v>
      </c>
      <c r="Q112" s="37">
        <f>DSUM($B$43:$X$103,Q$43,$C$110:$D112)</f>
        <v>0</v>
      </c>
      <c r="R112" s="37">
        <f>DSUM($B$43:$X$103,R$43,$C$110:$D112)</f>
        <v>0</v>
      </c>
      <c r="S112" s="37">
        <f>DSUM($B$43:$X$103,S$43,$C$110:$D112)</f>
        <v>0</v>
      </c>
      <c r="T112" s="37">
        <f>DSUM($B$43:$X$103,T$43,$C$110:$D112)</f>
        <v>0</v>
      </c>
      <c r="U112" s="37">
        <f>DSUM($B$43:$X$103,U$43,$C$110:$D112)</f>
        <v>0</v>
      </c>
      <c r="V112" s="37">
        <f>DSUM($B$43:$X$103,V$43,$C$110:$D112)</f>
        <v>0</v>
      </c>
      <c r="W112" s="37">
        <f>DSUM($B$43:$X$103,W$43,$C$110:$D112)</f>
        <v>0</v>
      </c>
      <c r="X112" s="37">
        <f>DSUM($B$43:$X$103,X$43,$C$110:$D112)</f>
        <v>0</v>
      </c>
      <c r="Y112" s="37">
        <f t="shared" ref="Y112:Y142" si="44">SUM(E112:X112)</f>
        <v>0.81049126223483303</v>
      </c>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2:80">
      <c r="B113" s="1" t="s">
        <v>84</v>
      </c>
      <c r="C113" s="73" t="s">
        <v>85</v>
      </c>
      <c r="D113" s="73" t="s">
        <v>86</v>
      </c>
      <c r="E113" s="37">
        <f>DSUM($B$43:$X$103,E$43,$C$110:$D113)</f>
        <v>0.81049126223483303</v>
      </c>
      <c r="F113" s="37">
        <f>DSUM($B$43:$X$103,F$43,$C$110:$D113)</f>
        <v>0</v>
      </c>
      <c r="G113" s="37">
        <f>DSUM($B$43:$X$103,G$43,$C$110:$D113)</f>
        <v>0</v>
      </c>
      <c r="H113" s="37">
        <f>DSUM($B$43:$X$103,H$43,$C$110:$D113)</f>
        <v>0</v>
      </c>
      <c r="I113" s="37">
        <f>DSUM($B$43:$X$103,I$43,$C$110:$D113)</f>
        <v>0</v>
      </c>
      <c r="J113" s="37">
        <f>DSUM($B$43:$X$103,J$43,$C$110:$D113)</f>
        <v>0</v>
      </c>
      <c r="K113" s="37">
        <f>DSUM($B$43:$X$103,K$43,$C$110:$D113)</f>
        <v>0</v>
      </c>
      <c r="L113" s="37">
        <f>DSUM($B$43:$X$103,L$43,$C$110:$D113)</f>
        <v>0</v>
      </c>
      <c r="M113" s="37">
        <f>DSUM($B$43:$X$103,M$43,$C$110:$D113)</f>
        <v>0</v>
      </c>
      <c r="N113" s="37">
        <f>DSUM($B$43:$X$103,N$43,$C$110:$D113)</f>
        <v>0</v>
      </c>
      <c r="O113" s="37">
        <f>DSUM($B$43:$X$103,O$43,$C$110:$D113)</f>
        <v>0</v>
      </c>
      <c r="P113" s="37">
        <f>DSUM($B$43:$X$103,P$43,$C$110:$D113)</f>
        <v>0</v>
      </c>
      <c r="Q113" s="37">
        <f>DSUM($B$43:$X$103,Q$43,$C$110:$D113)</f>
        <v>0</v>
      </c>
      <c r="R113" s="37">
        <f>DSUM($B$43:$X$103,R$43,$C$110:$D113)</f>
        <v>0</v>
      </c>
      <c r="S113" s="37">
        <f>DSUM($B$43:$X$103,S$43,$C$110:$D113)</f>
        <v>0</v>
      </c>
      <c r="T113" s="37">
        <f>DSUM($B$43:$X$103,T$43,$C$110:$D113)</f>
        <v>0</v>
      </c>
      <c r="U113" s="37">
        <f>DSUM($B$43:$X$103,U$43,$C$110:$D113)</f>
        <v>0</v>
      </c>
      <c r="V113" s="37">
        <f>DSUM($B$43:$X$103,V$43,$C$110:$D113)</f>
        <v>0</v>
      </c>
      <c r="W113" s="37">
        <f>DSUM($B$43:$X$103,W$43,$C$110:$D113)</f>
        <v>0</v>
      </c>
      <c r="X113" s="37">
        <f>DSUM($B$43:$X$103,X$43,$C$110:$D113)</f>
        <v>0</v>
      </c>
      <c r="Y113" s="37">
        <f t="shared" si="44"/>
        <v>0.81049126223483303</v>
      </c>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2:80">
      <c r="B114" s="1" t="s">
        <v>87</v>
      </c>
      <c r="C114" s="73" t="s">
        <v>88</v>
      </c>
      <c r="D114" s="73" t="s">
        <v>89</v>
      </c>
      <c r="E114" s="37">
        <f>DSUM($B$43:$X$103,E$43,$C$110:$D114)</f>
        <v>0.81049126223483303</v>
      </c>
      <c r="F114" s="37">
        <f>DSUM($B$43:$X$103,F$43,$C$110:$D114)</f>
        <v>0</v>
      </c>
      <c r="G114" s="37">
        <f>DSUM($B$43:$X$103,G$43,$C$110:$D114)</f>
        <v>0</v>
      </c>
      <c r="H114" s="37">
        <f>DSUM($B$43:$X$103,H$43,$C$110:$D114)</f>
        <v>0</v>
      </c>
      <c r="I114" s="37">
        <f>DSUM($B$43:$X$103,I$43,$C$110:$D114)</f>
        <v>0</v>
      </c>
      <c r="J114" s="37">
        <f>DSUM($B$43:$X$103,J$43,$C$110:$D114)</f>
        <v>0</v>
      </c>
      <c r="K114" s="37">
        <f>DSUM($B$43:$X$103,K$43,$C$110:$D114)</f>
        <v>0</v>
      </c>
      <c r="L114" s="37">
        <f>DSUM($B$43:$X$103,L$43,$C$110:$D114)</f>
        <v>0</v>
      </c>
      <c r="M114" s="37">
        <f>DSUM($B$43:$X$103,M$43,$C$110:$D114)</f>
        <v>0</v>
      </c>
      <c r="N114" s="37">
        <f>DSUM($B$43:$X$103,N$43,$C$110:$D114)</f>
        <v>0</v>
      </c>
      <c r="O114" s="37">
        <f>DSUM($B$43:$X$103,O$43,$C$110:$D114)</f>
        <v>0</v>
      </c>
      <c r="P114" s="37">
        <f>DSUM($B$43:$X$103,P$43,$C$110:$D114)</f>
        <v>0</v>
      </c>
      <c r="Q114" s="37">
        <f>DSUM($B$43:$X$103,Q$43,$C$110:$D114)</f>
        <v>0</v>
      </c>
      <c r="R114" s="37">
        <f>DSUM($B$43:$X$103,R$43,$C$110:$D114)</f>
        <v>0</v>
      </c>
      <c r="S114" s="37">
        <f>DSUM($B$43:$X$103,S$43,$C$110:$D114)</f>
        <v>0</v>
      </c>
      <c r="T114" s="37">
        <f>DSUM($B$43:$X$103,T$43,$C$110:$D114)</f>
        <v>0</v>
      </c>
      <c r="U114" s="37">
        <f>DSUM($B$43:$X$103,U$43,$C$110:$D114)</f>
        <v>0</v>
      </c>
      <c r="V114" s="37">
        <f>DSUM($B$43:$X$103,V$43,$C$110:$D114)</f>
        <v>0</v>
      </c>
      <c r="W114" s="37">
        <f>DSUM($B$43:$X$103,W$43,$C$110:$D114)</f>
        <v>0</v>
      </c>
      <c r="X114" s="37">
        <f>DSUM($B$43:$X$103,X$43,$C$110:$D114)</f>
        <v>0</v>
      </c>
      <c r="Y114" s="37">
        <f t="shared" si="44"/>
        <v>0.81049126223483303</v>
      </c>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2:80">
      <c r="B115" s="1" t="s">
        <v>90</v>
      </c>
      <c r="C115" s="73" t="s">
        <v>91</v>
      </c>
      <c r="D115" s="73" t="s">
        <v>92</v>
      </c>
      <c r="E115" s="37">
        <f>DSUM($B$43:$X$103,E$43,$C$110:$D115)</f>
        <v>0.81049126223483303</v>
      </c>
      <c r="F115" s="37">
        <f>DSUM($B$43:$X$103,F$43,$C$110:$D115)</f>
        <v>0</v>
      </c>
      <c r="G115" s="37">
        <f>DSUM($B$43:$X$103,G$43,$C$110:$D115)</f>
        <v>0</v>
      </c>
      <c r="H115" s="37">
        <f>DSUM($B$43:$X$103,H$43,$C$110:$D115)</f>
        <v>0</v>
      </c>
      <c r="I115" s="37">
        <f>DSUM($B$43:$X$103,I$43,$C$110:$D115)</f>
        <v>0</v>
      </c>
      <c r="J115" s="37">
        <f>DSUM($B$43:$X$103,J$43,$C$110:$D115)</f>
        <v>0</v>
      </c>
      <c r="K115" s="37">
        <f>DSUM($B$43:$X$103,K$43,$C$110:$D115)</f>
        <v>0</v>
      </c>
      <c r="L115" s="37">
        <f>DSUM($B$43:$X$103,L$43,$C$110:$D115)</f>
        <v>0</v>
      </c>
      <c r="M115" s="37">
        <f>DSUM($B$43:$X$103,M$43,$C$110:$D115)</f>
        <v>0</v>
      </c>
      <c r="N115" s="37">
        <f>DSUM($B$43:$X$103,N$43,$C$110:$D115)</f>
        <v>0</v>
      </c>
      <c r="O115" s="37">
        <f>DSUM($B$43:$X$103,O$43,$C$110:$D115)</f>
        <v>0</v>
      </c>
      <c r="P115" s="37">
        <f>DSUM($B$43:$X$103,P$43,$C$110:$D115)</f>
        <v>0</v>
      </c>
      <c r="Q115" s="37">
        <f>DSUM($B$43:$X$103,Q$43,$C$110:$D115)</f>
        <v>0</v>
      </c>
      <c r="R115" s="37">
        <f>DSUM($B$43:$X$103,R$43,$C$110:$D115)</f>
        <v>0</v>
      </c>
      <c r="S115" s="37">
        <f>DSUM($B$43:$X$103,S$43,$C$110:$D115)</f>
        <v>0</v>
      </c>
      <c r="T115" s="37">
        <f>DSUM($B$43:$X$103,T$43,$C$110:$D115)</f>
        <v>0</v>
      </c>
      <c r="U115" s="37">
        <f>DSUM($B$43:$X$103,U$43,$C$110:$D115)</f>
        <v>0</v>
      </c>
      <c r="V115" s="37">
        <f>DSUM($B$43:$X$103,V$43,$C$110:$D115)</f>
        <v>0</v>
      </c>
      <c r="W115" s="37">
        <f>DSUM($B$43:$X$103,W$43,$C$110:$D115)</f>
        <v>0</v>
      </c>
      <c r="X115" s="37">
        <f>DSUM($B$43:$X$103,X$43,$C$110:$D115)</f>
        <v>0</v>
      </c>
      <c r="Y115" s="37">
        <f t="shared" si="44"/>
        <v>0.81049126223483303</v>
      </c>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2:80">
      <c r="B116" s="1" t="s">
        <v>93</v>
      </c>
      <c r="C116" s="73" t="s">
        <v>94</v>
      </c>
      <c r="D116" s="73" t="s">
        <v>95</v>
      </c>
      <c r="E116" s="37">
        <f>DSUM($B$43:$X$103,E$43,$C$110:$D116)</f>
        <v>0.82528807918264324</v>
      </c>
      <c r="F116" s="37">
        <f>DSUM($B$43:$X$103,F$43,$C$110:$D116)</f>
        <v>0</v>
      </c>
      <c r="G116" s="37">
        <f>DSUM($B$43:$X$103,G$43,$C$110:$D116)</f>
        <v>0</v>
      </c>
      <c r="H116" s="37">
        <f>DSUM($B$43:$X$103,H$43,$C$110:$D116)</f>
        <v>0</v>
      </c>
      <c r="I116" s="37">
        <f>DSUM($B$43:$X$103,I$43,$C$110:$D116)</f>
        <v>0</v>
      </c>
      <c r="J116" s="37">
        <f>DSUM($B$43:$X$103,J$43,$C$110:$D116)</f>
        <v>0</v>
      </c>
      <c r="K116" s="37">
        <f>DSUM($B$43:$X$103,K$43,$C$110:$D116)</f>
        <v>0</v>
      </c>
      <c r="L116" s="37">
        <f>DSUM($B$43:$X$103,L$43,$C$110:$D116)</f>
        <v>0</v>
      </c>
      <c r="M116" s="37">
        <f>DSUM($B$43:$X$103,M$43,$C$110:$D116)</f>
        <v>0</v>
      </c>
      <c r="N116" s="37">
        <f>DSUM($B$43:$X$103,N$43,$C$110:$D116)</f>
        <v>0</v>
      </c>
      <c r="O116" s="37">
        <f>DSUM($B$43:$X$103,O$43,$C$110:$D116)</f>
        <v>0</v>
      </c>
      <c r="P116" s="37">
        <f>DSUM($B$43:$X$103,P$43,$C$110:$D116)</f>
        <v>0</v>
      </c>
      <c r="Q116" s="37">
        <f>DSUM($B$43:$X$103,Q$43,$C$110:$D116)</f>
        <v>0</v>
      </c>
      <c r="R116" s="37">
        <f>DSUM($B$43:$X$103,R$43,$C$110:$D116)</f>
        <v>0</v>
      </c>
      <c r="S116" s="37">
        <f>DSUM($B$43:$X$103,S$43,$C$110:$D116)</f>
        <v>0</v>
      </c>
      <c r="T116" s="37">
        <f>DSUM($B$43:$X$103,T$43,$C$110:$D116)</f>
        <v>0</v>
      </c>
      <c r="U116" s="37">
        <f>DSUM($B$43:$X$103,U$43,$C$110:$D116)</f>
        <v>0</v>
      </c>
      <c r="V116" s="37">
        <f>DSUM($B$43:$X$103,V$43,$C$110:$D116)</f>
        <v>0</v>
      </c>
      <c r="W116" s="37">
        <f>DSUM($B$43:$X$103,W$43,$C$110:$D116)</f>
        <v>0</v>
      </c>
      <c r="X116" s="37">
        <f>DSUM($B$43:$X$103,X$43,$C$110:$D116)</f>
        <v>0</v>
      </c>
      <c r="Y116" s="37">
        <f t="shared" si="44"/>
        <v>0.82528807918264324</v>
      </c>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2:80">
      <c r="B117" s="1" t="s">
        <v>96</v>
      </c>
      <c r="C117" s="73" t="s">
        <v>97</v>
      </c>
      <c r="D117" s="73" t="s">
        <v>98</v>
      </c>
      <c r="E117" s="37">
        <f>DSUM($B$43:$X$103,E$43,$C$110:$D117)</f>
        <v>1.2709372650843991</v>
      </c>
      <c r="F117" s="37">
        <f>DSUM($B$43:$X$103,F$43,$C$110:$D117)</f>
        <v>0</v>
      </c>
      <c r="G117" s="37">
        <f>DSUM($B$43:$X$103,G$43,$C$110:$D117)</f>
        <v>0</v>
      </c>
      <c r="H117" s="37">
        <f>DSUM($B$43:$X$103,H$43,$C$110:$D117)</f>
        <v>0</v>
      </c>
      <c r="I117" s="37">
        <f>DSUM($B$43:$X$103,I$43,$C$110:$D117)</f>
        <v>0</v>
      </c>
      <c r="J117" s="37">
        <f>DSUM($B$43:$X$103,J$43,$C$110:$D117)</f>
        <v>0</v>
      </c>
      <c r="K117" s="37">
        <f>DSUM($B$43:$X$103,K$43,$C$110:$D117)</f>
        <v>0</v>
      </c>
      <c r="L117" s="37">
        <f>DSUM($B$43:$X$103,L$43,$C$110:$D117)</f>
        <v>0</v>
      </c>
      <c r="M117" s="37">
        <f>DSUM($B$43:$X$103,M$43,$C$110:$D117)</f>
        <v>0</v>
      </c>
      <c r="N117" s="37">
        <f>DSUM($B$43:$X$103,N$43,$C$110:$D117)</f>
        <v>0</v>
      </c>
      <c r="O117" s="37">
        <f>DSUM($B$43:$X$103,O$43,$C$110:$D117)</f>
        <v>0</v>
      </c>
      <c r="P117" s="37">
        <f>DSUM($B$43:$X$103,P$43,$C$110:$D117)</f>
        <v>0</v>
      </c>
      <c r="Q117" s="37">
        <f>DSUM($B$43:$X$103,Q$43,$C$110:$D117)</f>
        <v>0</v>
      </c>
      <c r="R117" s="37">
        <f>DSUM($B$43:$X$103,R$43,$C$110:$D117)</f>
        <v>0</v>
      </c>
      <c r="S117" s="37">
        <f>DSUM($B$43:$X$103,S$43,$C$110:$D117)</f>
        <v>0</v>
      </c>
      <c r="T117" s="37">
        <f>DSUM($B$43:$X$103,T$43,$C$110:$D117)</f>
        <v>0</v>
      </c>
      <c r="U117" s="37">
        <f>DSUM($B$43:$X$103,U$43,$C$110:$D117)</f>
        <v>0</v>
      </c>
      <c r="V117" s="37">
        <f>DSUM($B$43:$X$103,V$43,$C$110:$D117)</f>
        <v>0</v>
      </c>
      <c r="W117" s="37">
        <f>DSUM($B$43:$X$103,W$43,$C$110:$D117)</f>
        <v>0</v>
      </c>
      <c r="X117" s="37">
        <f>DSUM($B$43:$X$103,X$43,$C$110:$D117)</f>
        <v>0</v>
      </c>
      <c r="Y117" s="37">
        <f t="shared" si="44"/>
        <v>1.2709372650843991</v>
      </c>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2:80">
      <c r="B118" s="1" t="s">
        <v>99</v>
      </c>
      <c r="C118" s="73" t="s">
        <v>100</v>
      </c>
      <c r="D118" s="73" t="s">
        <v>101</v>
      </c>
      <c r="E118" s="37">
        <f>DSUM($B$43:$X$103,E$43,$C$110:$D118)</f>
        <v>1.2709372650843991</v>
      </c>
      <c r="F118" s="37">
        <f>DSUM($B$43:$X$103,F$43,$C$110:$D118)</f>
        <v>0</v>
      </c>
      <c r="G118" s="37">
        <f>DSUM($B$43:$X$103,G$43,$C$110:$D118)</f>
        <v>0</v>
      </c>
      <c r="H118" s="37">
        <f>DSUM($B$43:$X$103,H$43,$C$110:$D118)</f>
        <v>0</v>
      </c>
      <c r="I118" s="37">
        <f>DSUM($B$43:$X$103,I$43,$C$110:$D118)</f>
        <v>0</v>
      </c>
      <c r="J118" s="37">
        <f>DSUM($B$43:$X$103,J$43,$C$110:$D118)</f>
        <v>0</v>
      </c>
      <c r="K118" s="37">
        <f>DSUM($B$43:$X$103,K$43,$C$110:$D118)</f>
        <v>0</v>
      </c>
      <c r="L118" s="37">
        <f>DSUM($B$43:$X$103,L$43,$C$110:$D118)</f>
        <v>0</v>
      </c>
      <c r="M118" s="37">
        <f>DSUM($B$43:$X$103,M$43,$C$110:$D118)</f>
        <v>0</v>
      </c>
      <c r="N118" s="37">
        <f>DSUM($B$43:$X$103,N$43,$C$110:$D118)</f>
        <v>0</v>
      </c>
      <c r="O118" s="37">
        <f>DSUM($B$43:$X$103,O$43,$C$110:$D118)</f>
        <v>0</v>
      </c>
      <c r="P118" s="37">
        <f>DSUM($B$43:$X$103,P$43,$C$110:$D118)</f>
        <v>0</v>
      </c>
      <c r="Q118" s="37">
        <f>DSUM($B$43:$X$103,Q$43,$C$110:$D118)</f>
        <v>0</v>
      </c>
      <c r="R118" s="37">
        <f>DSUM($B$43:$X$103,R$43,$C$110:$D118)</f>
        <v>0</v>
      </c>
      <c r="S118" s="37">
        <f>DSUM($B$43:$X$103,S$43,$C$110:$D118)</f>
        <v>0</v>
      </c>
      <c r="T118" s="37">
        <f>DSUM($B$43:$X$103,T$43,$C$110:$D118)</f>
        <v>0</v>
      </c>
      <c r="U118" s="37">
        <f>DSUM($B$43:$X$103,U$43,$C$110:$D118)</f>
        <v>0</v>
      </c>
      <c r="V118" s="37">
        <f>DSUM($B$43:$X$103,V$43,$C$110:$D118)</f>
        <v>0</v>
      </c>
      <c r="W118" s="37">
        <f>DSUM($B$43:$X$103,W$43,$C$110:$D118)</f>
        <v>0</v>
      </c>
      <c r="X118" s="37">
        <f>DSUM($B$43:$X$103,X$43,$C$110:$D118)</f>
        <v>0</v>
      </c>
      <c r="Y118" s="37">
        <f t="shared" si="44"/>
        <v>1.2709372650843991</v>
      </c>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2:80">
      <c r="B119" s="1" t="s">
        <v>102</v>
      </c>
      <c r="C119" s="73" t="s">
        <v>103</v>
      </c>
      <c r="D119" s="73" t="s">
        <v>104</v>
      </c>
      <c r="E119" s="37">
        <f>DSUM($B$43:$X$103,E$43,$C$110:$D119)</f>
        <v>1.2709372650843991</v>
      </c>
      <c r="F119" s="37">
        <f>DSUM($B$43:$X$103,F$43,$C$110:$D119)</f>
        <v>0</v>
      </c>
      <c r="G119" s="37">
        <f>DSUM($B$43:$X$103,G$43,$C$110:$D119)</f>
        <v>0</v>
      </c>
      <c r="H119" s="37">
        <f>DSUM($B$43:$X$103,H$43,$C$110:$D119)</f>
        <v>0</v>
      </c>
      <c r="I119" s="37">
        <f>DSUM($B$43:$X$103,I$43,$C$110:$D119)</f>
        <v>0</v>
      </c>
      <c r="J119" s="37">
        <f>DSUM($B$43:$X$103,J$43,$C$110:$D119)</f>
        <v>0</v>
      </c>
      <c r="K119" s="37">
        <f>DSUM($B$43:$X$103,K$43,$C$110:$D119)</f>
        <v>0</v>
      </c>
      <c r="L119" s="37">
        <f>DSUM($B$43:$X$103,L$43,$C$110:$D119)</f>
        <v>0</v>
      </c>
      <c r="M119" s="37">
        <f>DSUM($B$43:$X$103,M$43,$C$110:$D119)</f>
        <v>0</v>
      </c>
      <c r="N119" s="37">
        <f>DSUM($B$43:$X$103,N$43,$C$110:$D119)</f>
        <v>0</v>
      </c>
      <c r="O119" s="37">
        <f>DSUM($B$43:$X$103,O$43,$C$110:$D119)</f>
        <v>0</v>
      </c>
      <c r="P119" s="37">
        <f>DSUM($B$43:$X$103,P$43,$C$110:$D119)</f>
        <v>0</v>
      </c>
      <c r="Q119" s="37">
        <f>DSUM($B$43:$X$103,Q$43,$C$110:$D119)</f>
        <v>0</v>
      </c>
      <c r="R119" s="37">
        <f>DSUM($B$43:$X$103,R$43,$C$110:$D119)</f>
        <v>0</v>
      </c>
      <c r="S119" s="37">
        <f>DSUM($B$43:$X$103,S$43,$C$110:$D119)</f>
        <v>0</v>
      </c>
      <c r="T119" s="37">
        <f>DSUM($B$43:$X$103,T$43,$C$110:$D119)</f>
        <v>0</v>
      </c>
      <c r="U119" s="37">
        <f>DSUM($B$43:$X$103,U$43,$C$110:$D119)</f>
        <v>0</v>
      </c>
      <c r="V119" s="37">
        <f>DSUM($B$43:$X$103,V$43,$C$110:$D119)</f>
        <v>0</v>
      </c>
      <c r="W119" s="37">
        <f>DSUM($B$43:$X$103,W$43,$C$110:$D119)</f>
        <v>0</v>
      </c>
      <c r="X119" s="37">
        <f>DSUM($B$43:$X$103,X$43,$C$110:$D119)</f>
        <v>0</v>
      </c>
      <c r="Y119" s="37">
        <f t="shared" si="44"/>
        <v>1.2709372650843991</v>
      </c>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2:80">
      <c r="B120" s="1" t="s">
        <v>105</v>
      </c>
      <c r="C120" s="73" t="s">
        <v>106</v>
      </c>
      <c r="D120" s="73" t="s">
        <v>107</v>
      </c>
      <c r="E120" s="37">
        <f>DSUM($B$43:$X$103,E$43,$C$110:$D120)</f>
        <v>1.2709372650843991</v>
      </c>
      <c r="F120" s="37">
        <f>DSUM($B$43:$X$103,F$43,$C$110:$D120)</f>
        <v>0</v>
      </c>
      <c r="G120" s="37">
        <f>DSUM($B$43:$X$103,G$43,$C$110:$D120)</f>
        <v>0</v>
      </c>
      <c r="H120" s="37">
        <f>DSUM($B$43:$X$103,H$43,$C$110:$D120)</f>
        <v>0</v>
      </c>
      <c r="I120" s="37">
        <f>DSUM($B$43:$X$103,I$43,$C$110:$D120)</f>
        <v>0</v>
      </c>
      <c r="J120" s="37">
        <f>DSUM($B$43:$X$103,J$43,$C$110:$D120)</f>
        <v>0</v>
      </c>
      <c r="K120" s="37">
        <f>DSUM($B$43:$X$103,K$43,$C$110:$D120)</f>
        <v>0</v>
      </c>
      <c r="L120" s="37">
        <f>DSUM($B$43:$X$103,L$43,$C$110:$D120)</f>
        <v>0</v>
      </c>
      <c r="M120" s="37">
        <f>DSUM($B$43:$X$103,M$43,$C$110:$D120)</f>
        <v>0</v>
      </c>
      <c r="N120" s="37">
        <f>DSUM($B$43:$X$103,N$43,$C$110:$D120)</f>
        <v>0</v>
      </c>
      <c r="O120" s="37">
        <f>DSUM($B$43:$X$103,O$43,$C$110:$D120)</f>
        <v>0</v>
      </c>
      <c r="P120" s="37">
        <f>DSUM($B$43:$X$103,P$43,$C$110:$D120)</f>
        <v>0</v>
      </c>
      <c r="Q120" s="37">
        <f>DSUM($B$43:$X$103,Q$43,$C$110:$D120)</f>
        <v>0</v>
      </c>
      <c r="R120" s="37">
        <f>DSUM($B$43:$X$103,R$43,$C$110:$D120)</f>
        <v>0</v>
      </c>
      <c r="S120" s="37">
        <f>DSUM($B$43:$X$103,S$43,$C$110:$D120)</f>
        <v>0</v>
      </c>
      <c r="T120" s="37">
        <f>DSUM($B$43:$X$103,T$43,$C$110:$D120)</f>
        <v>0</v>
      </c>
      <c r="U120" s="37">
        <f>DSUM($B$43:$X$103,U$43,$C$110:$D120)</f>
        <v>0</v>
      </c>
      <c r="V120" s="37">
        <f>DSUM($B$43:$X$103,V$43,$C$110:$D120)</f>
        <v>0</v>
      </c>
      <c r="W120" s="37">
        <f>DSUM($B$43:$X$103,W$43,$C$110:$D120)</f>
        <v>0</v>
      </c>
      <c r="X120" s="37">
        <f>DSUM($B$43:$X$103,X$43,$C$110:$D120)</f>
        <v>0</v>
      </c>
      <c r="Y120" s="37">
        <f t="shared" si="44"/>
        <v>1.2709372650843991</v>
      </c>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2:80">
      <c r="B121" s="1" t="s">
        <v>108</v>
      </c>
      <c r="C121" s="73" t="s">
        <v>109</v>
      </c>
      <c r="D121" s="73" t="s">
        <v>110</v>
      </c>
      <c r="E121" s="37">
        <f>DSUM($B$43:$X$103,E$43,$C$110:$D121)</f>
        <v>1.3539560606244034</v>
      </c>
      <c r="F121" s="37">
        <f>DSUM($B$43:$X$103,F$43,$C$110:$D121)</f>
        <v>0</v>
      </c>
      <c r="G121" s="37">
        <f>DSUM($B$43:$X$103,G$43,$C$110:$D121)</f>
        <v>0</v>
      </c>
      <c r="H121" s="37">
        <f>DSUM($B$43:$X$103,H$43,$C$110:$D121)</f>
        <v>0</v>
      </c>
      <c r="I121" s="37">
        <f>DSUM($B$43:$X$103,I$43,$C$110:$D121)</f>
        <v>0</v>
      </c>
      <c r="J121" s="37">
        <f>DSUM($B$43:$X$103,J$43,$C$110:$D121)</f>
        <v>0</v>
      </c>
      <c r="K121" s="37">
        <f>DSUM($B$43:$X$103,K$43,$C$110:$D121)</f>
        <v>0</v>
      </c>
      <c r="L121" s="37">
        <f>DSUM($B$43:$X$103,L$43,$C$110:$D121)</f>
        <v>0</v>
      </c>
      <c r="M121" s="37">
        <f>DSUM($B$43:$X$103,M$43,$C$110:$D121)</f>
        <v>0</v>
      </c>
      <c r="N121" s="37">
        <f>DSUM($B$43:$X$103,N$43,$C$110:$D121)</f>
        <v>0</v>
      </c>
      <c r="O121" s="37">
        <f>DSUM($B$43:$X$103,O$43,$C$110:$D121)</f>
        <v>0</v>
      </c>
      <c r="P121" s="37">
        <f>DSUM($B$43:$X$103,P$43,$C$110:$D121)</f>
        <v>0</v>
      </c>
      <c r="Q121" s="37">
        <f>DSUM($B$43:$X$103,Q$43,$C$110:$D121)</f>
        <v>0</v>
      </c>
      <c r="R121" s="37">
        <f>DSUM($B$43:$X$103,R$43,$C$110:$D121)</f>
        <v>0</v>
      </c>
      <c r="S121" s="37">
        <f>DSUM($B$43:$X$103,S$43,$C$110:$D121)</f>
        <v>0</v>
      </c>
      <c r="T121" s="37">
        <f>DSUM($B$43:$X$103,T$43,$C$110:$D121)</f>
        <v>0</v>
      </c>
      <c r="U121" s="37">
        <f>DSUM($B$43:$X$103,U$43,$C$110:$D121)</f>
        <v>0</v>
      </c>
      <c r="V121" s="37">
        <f>DSUM($B$43:$X$103,V$43,$C$110:$D121)</f>
        <v>0</v>
      </c>
      <c r="W121" s="37">
        <f>DSUM($B$43:$X$103,W$43,$C$110:$D121)</f>
        <v>0</v>
      </c>
      <c r="X121" s="37">
        <f>DSUM($B$43:$X$103,X$43,$C$110:$D121)</f>
        <v>0</v>
      </c>
      <c r="Y121" s="37">
        <f t="shared" si="44"/>
        <v>1.3539560606244034</v>
      </c>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2:80">
      <c r="B122" s="1" t="s">
        <v>111</v>
      </c>
      <c r="C122" s="73" t="s">
        <v>112</v>
      </c>
      <c r="D122" s="73" t="s">
        <v>113</v>
      </c>
      <c r="E122" s="37">
        <f>DSUM($B$43:$X$103,E$43,$C$110:$D122)</f>
        <v>1.3539560606244034</v>
      </c>
      <c r="F122" s="37">
        <f>DSUM($B$43:$X$103,F$43,$C$110:$D122)</f>
        <v>0</v>
      </c>
      <c r="G122" s="37">
        <f>DSUM($B$43:$X$103,G$43,$C$110:$D122)</f>
        <v>0</v>
      </c>
      <c r="H122" s="37">
        <f>DSUM($B$43:$X$103,H$43,$C$110:$D122)</f>
        <v>0</v>
      </c>
      <c r="I122" s="37">
        <f>DSUM($B$43:$X$103,I$43,$C$110:$D122)</f>
        <v>0</v>
      </c>
      <c r="J122" s="37">
        <f>DSUM($B$43:$X$103,J$43,$C$110:$D122)</f>
        <v>0</v>
      </c>
      <c r="K122" s="37">
        <f>DSUM($B$43:$X$103,K$43,$C$110:$D122)</f>
        <v>0</v>
      </c>
      <c r="L122" s="37">
        <f>DSUM($B$43:$X$103,L$43,$C$110:$D122)</f>
        <v>0</v>
      </c>
      <c r="M122" s="37">
        <f>DSUM($B$43:$X$103,M$43,$C$110:$D122)</f>
        <v>0</v>
      </c>
      <c r="N122" s="37">
        <f>DSUM($B$43:$X$103,N$43,$C$110:$D122)</f>
        <v>0</v>
      </c>
      <c r="O122" s="37">
        <f>DSUM($B$43:$X$103,O$43,$C$110:$D122)</f>
        <v>0</v>
      </c>
      <c r="P122" s="37">
        <f>DSUM($B$43:$X$103,P$43,$C$110:$D122)</f>
        <v>0</v>
      </c>
      <c r="Q122" s="37">
        <f>DSUM($B$43:$X$103,Q$43,$C$110:$D122)</f>
        <v>0</v>
      </c>
      <c r="R122" s="37">
        <f>DSUM($B$43:$X$103,R$43,$C$110:$D122)</f>
        <v>0</v>
      </c>
      <c r="S122" s="37">
        <f>DSUM($B$43:$X$103,S$43,$C$110:$D122)</f>
        <v>0</v>
      </c>
      <c r="T122" s="37">
        <f>DSUM($B$43:$X$103,T$43,$C$110:$D122)</f>
        <v>0</v>
      </c>
      <c r="U122" s="37">
        <f>DSUM($B$43:$X$103,U$43,$C$110:$D122)</f>
        <v>0</v>
      </c>
      <c r="V122" s="37">
        <f>DSUM($B$43:$X$103,V$43,$C$110:$D122)</f>
        <v>0</v>
      </c>
      <c r="W122" s="37">
        <f>DSUM($B$43:$X$103,W$43,$C$110:$D122)</f>
        <v>0</v>
      </c>
      <c r="X122" s="37">
        <f>DSUM($B$43:$X$103,X$43,$C$110:$D122)</f>
        <v>0</v>
      </c>
      <c r="Y122" s="37">
        <f t="shared" si="44"/>
        <v>1.3539560606244034</v>
      </c>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2:80">
      <c r="B123" s="1" t="s">
        <v>114</v>
      </c>
      <c r="C123" s="73" t="s">
        <v>115</v>
      </c>
      <c r="D123" s="73" t="s">
        <v>116</v>
      </c>
      <c r="E123" s="37">
        <f>DSUM($B$43:$X$103,E$43,$C$110:$D123)</f>
        <v>1.3539560606244034</v>
      </c>
      <c r="F123" s="37">
        <f>DSUM($B$43:$X$103,F$43,$C$110:$D123)</f>
        <v>0</v>
      </c>
      <c r="G123" s="37">
        <f>DSUM($B$43:$X$103,G$43,$C$110:$D123)</f>
        <v>0</v>
      </c>
      <c r="H123" s="37">
        <f>DSUM($B$43:$X$103,H$43,$C$110:$D123)</f>
        <v>0</v>
      </c>
      <c r="I123" s="37">
        <f>DSUM($B$43:$X$103,I$43,$C$110:$D123)</f>
        <v>0</v>
      </c>
      <c r="J123" s="37">
        <f>DSUM($B$43:$X$103,J$43,$C$110:$D123)</f>
        <v>0</v>
      </c>
      <c r="K123" s="37">
        <f>DSUM($B$43:$X$103,K$43,$C$110:$D123)</f>
        <v>0</v>
      </c>
      <c r="L123" s="37">
        <f>DSUM($B$43:$X$103,L$43,$C$110:$D123)</f>
        <v>0</v>
      </c>
      <c r="M123" s="37">
        <f>DSUM($B$43:$X$103,M$43,$C$110:$D123)</f>
        <v>0</v>
      </c>
      <c r="N123" s="37">
        <f>DSUM($B$43:$X$103,N$43,$C$110:$D123)</f>
        <v>0</v>
      </c>
      <c r="O123" s="37">
        <f>DSUM($B$43:$X$103,O$43,$C$110:$D123)</f>
        <v>0</v>
      </c>
      <c r="P123" s="37">
        <f>DSUM($B$43:$X$103,P$43,$C$110:$D123)</f>
        <v>0</v>
      </c>
      <c r="Q123" s="37">
        <f>DSUM($B$43:$X$103,Q$43,$C$110:$D123)</f>
        <v>0</v>
      </c>
      <c r="R123" s="37">
        <f>DSUM($B$43:$X$103,R$43,$C$110:$D123)</f>
        <v>0</v>
      </c>
      <c r="S123" s="37">
        <f>DSUM($B$43:$X$103,S$43,$C$110:$D123)</f>
        <v>0</v>
      </c>
      <c r="T123" s="37">
        <f>DSUM($B$43:$X$103,T$43,$C$110:$D123)</f>
        <v>0</v>
      </c>
      <c r="U123" s="37">
        <f>DSUM($B$43:$X$103,U$43,$C$110:$D123)</f>
        <v>0</v>
      </c>
      <c r="V123" s="37">
        <f>DSUM($B$43:$X$103,V$43,$C$110:$D123)</f>
        <v>0</v>
      </c>
      <c r="W123" s="37">
        <f>DSUM($B$43:$X$103,W$43,$C$110:$D123)</f>
        <v>0</v>
      </c>
      <c r="X123" s="37">
        <f>DSUM($B$43:$X$103,X$43,$C$110:$D123)</f>
        <v>0</v>
      </c>
      <c r="Y123" s="37">
        <f t="shared" si="44"/>
        <v>1.3539560606244034</v>
      </c>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2:80">
      <c r="B124" s="1" t="s">
        <v>117</v>
      </c>
      <c r="C124" s="73" t="s">
        <v>118</v>
      </c>
      <c r="D124" s="73" t="s">
        <v>119</v>
      </c>
      <c r="E124" s="37">
        <f>DSUM($B$43:$X$103,E$43,$C$110:$D124)</f>
        <v>1.3539560606244034</v>
      </c>
      <c r="F124" s="37">
        <f>DSUM($B$43:$X$103,F$43,$C$110:$D124)</f>
        <v>0</v>
      </c>
      <c r="G124" s="37">
        <f>DSUM($B$43:$X$103,G$43,$C$110:$D124)</f>
        <v>0</v>
      </c>
      <c r="H124" s="37">
        <f>DSUM($B$43:$X$103,H$43,$C$110:$D124)</f>
        <v>0</v>
      </c>
      <c r="I124" s="37">
        <f>DSUM($B$43:$X$103,I$43,$C$110:$D124)</f>
        <v>0</v>
      </c>
      <c r="J124" s="37">
        <f>DSUM($B$43:$X$103,J$43,$C$110:$D124)</f>
        <v>0</v>
      </c>
      <c r="K124" s="37">
        <f>DSUM($B$43:$X$103,K$43,$C$110:$D124)</f>
        <v>0</v>
      </c>
      <c r="L124" s="37">
        <f>DSUM($B$43:$X$103,L$43,$C$110:$D124)</f>
        <v>0</v>
      </c>
      <c r="M124" s="37">
        <f>DSUM($B$43:$X$103,M$43,$C$110:$D124)</f>
        <v>0</v>
      </c>
      <c r="N124" s="37">
        <f>DSUM($B$43:$X$103,N$43,$C$110:$D124)</f>
        <v>0</v>
      </c>
      <c r="O124" s="37">
        <f>DSUM($B$43:$X$103,O$43,$C$110:$D124)</f>
        <v>0</v>
      </c>
      <c r="P124" s="37">
        <f>DSUM($B$43:$X$103,P$43,$C$110:$D124)</f>
        <v>0</v>
      </c>
      <c r="Q124" s="37">
        <f>DSUM($B$43:$X$103,Q$43,$C$110:$D124)</f>
        <v>0</v>
      </c>
      <c r="R124" s="37">
        <f>DSUM($B$43:$X$103,R$43,$C$110:$D124)</f>
        <v>0</v>
      </c>
      <c r="S124" s="37">
        <f>DSUM($B$43:$X$103,S$43,$C$110:$D124)</f>
        <v>0</v>
      </c>
      <c r="T124" s="37">
        <f>DSUM($B$43:$X$103,T$43,$C$110:$D124)</f>
        <v>0</v>
      </c>
      <c r="U124" s="37">
        <f>DSUM($B$43:$X$103,U$43,$C$110:$D124)</f>
        <v>0</v>
      </c>
      <c r="V124" s="37">
        <f>DSUM($B$43:$X$103,V$43,$C$110:$D124)</f>
        <v>0</v>
      </c>
      <c r="W124" s="37">
        <f>DSUM($B$43:$X$103,W$43,$C$110:$D124)</f>
        <v>0</v>
      </c>
      <c r="X124" s="37">
        <f>DSUM($B$43:$X$103,X$43,$C$110:$D124)</f>
        <v>0</v>
      </c>
      <c r="Y124" s="37">
        <f t="shared" si="44"/>
        <v>1.3539560606244034</v>
      </c>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2:80">
      <c r="B125" s="1" t="s">
        <v>120</v>
      </c>
      <c r="C125" s="73" t="s">
        <v>121</v>
      </c>
      <c r="D125" s="73" t="s">
        <v>122</v>
      </c>
      <c r="E125" s="37">
        <f>DSUM($B$43:$X$103,E$43,$C$110:$D125)</f>
        <v>1.3539560606244034</v>
      </c>
      <c r="F125" s="37">
        <f>DSUM($B$43:$X$103,F$43,$C$110:$D125)</f>
        <v>0</v>
      </c>
      <c r="G125" s="37">
        <f>DSUM($B$43:$X$103,G$43,$C$110:$D125)</f>
        <v>0</v>
      </c>
      <c r="H125" s="37">
        <f>DSUM($B$43:$X$103,H$43,$C$110:$D125)</f>
        <v>0</v>
      </c>
      <c r="I125" s="37">
        <f>DSUM($B$43:$X$103,I$43,$C$110:$D125)</f>
        <v>0</v>
      </c>
      <c r="J125" s="37">
        <f>DSUM($B$43:$X$103,J$43,$C$110:$D125)</f>
        <v>0</v>
      </c>
      <c r="K125" s="37">
        <f>DSUM($B$43:$X$103,K$43,$C$110:$D125)</f>
        <v>0</v>
      </c>
      <c r="L125" s="37">
        <f>DSUM($B$43:$X$103,L$43,$C$110:$D125)</f>
        <v>0</v>
      </c>
      <c r="M125" s="37">
        <f>DSUM($B$43:$X$103,M$43,$C$110:$D125)</f>
        <v>0</v>
      </c>
      <c r="N125" s="37">
        <f>DSUM($B$43:$X$103,N$43,$C$110:$D125)</f>
        <v>0</v>
      </c>
      <c r="O125" s="37">
        <f>DSUM($B$43:$X$103,O$43,$C$110:$D125)</f>
        <v>0</v>
      </c>
      <c r="P125" s="37">
        <f>DSUM($B$43:$X$103,P$43,$C$110:$D125)</f>
        <v>0</v>
      </c>
      <c r="Q125" s="37">
        <f>DSUM($B$43:$X$103,Q$43,$C$110:$D125)</f>
        <v>0</v>
      </c>
      <c r="R125" s="37">
        <f>DSUM($B$43:$X$103,R$43,$C$110:$D125)</f>
        <v>0</v>
      </c>
      <c r="S125" s="37">
        <f>DSUM($B$43:$X$103,S$43,$C$110:$D125)</f>
        <v>0</v>
      </c>
      <c r="T125" s="37">
        <f>DSUM($B$43:$X$103,T$43,$C$110:$D125)</f>
        <v>0</v>
      </c>
      <c r="U125" s="37">
        <f>DSUM($B$43:$X$103,U$43,$C$110:$D125)</f>
        <v>0</v>
      </c>
      <c r="V125" s="37">
        <f>DSUM($B$43:$X$103,V$43,$C$110:$D125)</f>
        <v>0</v>
      </c>
      <c r="W125" s="37">
        <f>DSUM($B$43:$X$103,W$43,$C$110:$D125)</f>
        <v>0</v>
      </c>
      <c r="X125" s="37">
        <f>DSUM($B$43:$X$103,X$43,$C$110:$D125)</f>
        <v>0</v>
      </c>
      <c r="Y125" s="37">
        <f t="shared" si="44"/>
        <v>1.3539560606244034</v>
      </c>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2:80">
      <c r="B126" s="1" t="s">
        <v>123</v>
      </c>
      <c r="C126" s="73" t="s">
        <v>124</v>
      </c>
      <c r="D126" s="73" t="s">
        <v>125</v>
      </c>
      <c r="E126" s="37">
        <f>DSUM($B$43:$X$103,E$43,$C$110:$D126)</f>
        <v>1.3539560606244034</v>
      </c>
      <c r="F126" s="37">
        <f>DSUM($B$43:$X$103,F$43,$C$110:$D126)</f>
        <v>0</v>
      </c>
      <c r="G126" s="37">
        <f>DSUM($B$43:$X$103,G$43,$C$110:$D126)</f>
        <v>0</v>
      </c>
      <c r="H126" s="37">
        <f>DSUM($B$43:$X$103,H$43,$C$110:$D126)</f>
        <v>0</v>
      </c>
      <c r="I126" s="37">
        <f>DSUM($B$43:$X$103,I$43,$C$110:$D126)</f>
        <v>0</v>
      </c>
      <c r="J126" s="37">
        <f>DSUM($B$43:$X$103,J$43,$C$110:$D126)</f>
        <v>0</v>
      </c>
      <c r="K126" s="37">
        <f>DSUM($B$43:$X$103,K$43,$C$110:$D126)</f>
        <v>0</v>
      </c>
      <c r="L126" s="37">
        <f>DSUM($B$43:$X$103,L$43,$C$110:$D126)</f>
        <v>0</v>
      </c>
      <c r="M126" s="37">
        <f>DSUM($B$43:$X$103,M$43,$C$110:$D126)</f>
        <v>0</v>
      </c>
      <c r="N126" s="37">
        <f>DSUM($B$43:$X$103,N$43,$C$110:$D126)</f>
        <v>0</v>
      </c>
      <c r="O126" s="37">
        <f>DSUM($B$43:$X$103,O$43,$C$110:$D126)</f>
        <v>0</v>
      </c>
      <c r="P126" s="37">
        <f>DSUM($B$43:$X$103,P$43,$C$110:$D126)</f>
        <v>0</v>
      </c>
      <c r="Q126" s="37">
        <f>DSUM($B$43:$X$103,Q$43,$C$110:$D126)</f>
        <v>0</v>
      </c>
      <c r="R126" s="37">
        <f>DSUM($B$43:$X$103,R$43,$C$110:$D126)</f>
        <v>0</v>
      </c>
      <c r="S126" s="37">
        <f>DSUM($B$43:$X$103,S$43,$C$110:$D126)</f>
        <v>0</v>
      </c>
      <c r="T126" s="37">
        <f>DSUM($B$43:$X$103,T$43,$C$110:$D126)</f>
        <v>0</v>
      </c>
      <c r="U126" s="37">
        <f>DSUM($B$43:$X$103,U$43,$C$110:$D126)</f>
        <v>0</v>
      </c>
      <c r="V126" s="37">
        <f>DSUM($B$43:$X$103,V$43,$C$110:$D126)</f>
        <v>0</v>
      </c>
      <c r="W126" s="37">
        <f>DSUM($B$43:$X$103,W$43,$C$110:$D126)</f>
        <v>0</v>
      </c>
      <c r="X126" s="37">
        <f>DSUM($B$43:$X$103,X$43,$C$110:$D126)</f>
        <v>0</v>
      </c>
      <c r="Y126" s="37">
        <f t="shared" si="44"/>
        <v>1.3539560606244034</v>
      </c>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row r="127" spans="2:80">
      <c r="B127" s="1" t="s">
        <v>126</v>
      </c>
      <c r="C127" s="73" t="s">
        <v>127</v>
      </c>
      <c r="D127" s="73" t="s">
        <v>128</v>
      </c>
      <c r="E127" s="37">
        <f>DSUM($B$43:$X$103,E$43,$C$110:$D127)</f>
        <v>1.3539560606244034</v>
      </c>
      <c r="F127" s="37">
        <f>DSUM($B$43:$X$103,F$43,$C$110:$D127)</f>
        <v>0</v>
      </c>
      <c r="G127" s="37">
        <f>DSUM($B$43:$X$103,G$43,$C$110:$D127)</f>
        <v>0</v>
      </c>
      <c r="H127" s="37">
        <f>DSUM($B$43:$X$103,H$43,$C$110:$D127)</f>
        <v>0</v>
      </c>
      <c r="I127" s="37">
        <f>DSUM($B$43:$X$103,I$43,$C$110:$D127)</f>
        <v>0</v>
      </c>
      <c r="J127" s="37">
        <f>DSUM($B$43:$X$103,J$43,$C$110:$D127)</f>
        <v>0</v>
      </c>
      <c r="K127" s="37">
        <f>DSUM($B$43:$X$103,K$43,$C$110:$D127)</f>
        <v>0</v>
      </c>
      <c r="L127" s="37">
        <f>DSUM($B$43:$X$103,L$43,$C$110:$D127)</f>
        <v>0</v>
      </c>
      <c r="M127" s="37">
        <f>DSUM($B$43:$X$103,M$43,$C$110:$D127)</f>
        <v>0</v>
      </c>
      <c r="N127" s="37">
        <f>DSUM($B$43:$X$103,N$43,$C$110:$D127)</f>
        <v>0</v>
      </c>
      <c r="O127" s="37">
        <f>DSUM($B$43:$X$103,O$43,$C$110:$D127)</f>
        <v>0</v>
      </c>
      <c r="P127" s="37">
        <f>DSUM($B$43:$X$103,P$43,$C$110:$D127)</f>
        <v>0</v>
      </c>
      <c r="Q127" s="37">
        <f>DSUM($B$43:$X$103,Q$43,$C$110:$D127)</f>
        <v>0</v>
      </c>
      <c r="R127" s="37">
        <f>DSUM($B$43:$X$103,R$43,$C$110:$D127)</f>
        <v>0</v>
      </c>
      <c r="S127" s="37">
        <f>DSUM($B$43:$X$103,S$43,$C$110:$D127)</f>
        <v>0</v>
      </c>
      <c r="T127" s="37">
        <f>DSUM($B$43:$X$103,T$43,$C$110:$D127)</f>
        <v>0</v>
      </c>
      <c r="U127" s="37">
        <f>DSUM($B$43:$X$103,U$43,$C$110:$D127)</f>
        <v>0</v>
      </c>
      <c r="V127" s="37">
        <f>DSUM($B$43:$X$103,V$43,$C$110:$D127)</f>
        <v>0</v>
      </c>
      <c r="W127" s="37">
        <f>DSUM($B$43:$X$103,W$43,$C$110:$D127)</f>
        <v>0</v>
      </c>
      <c r="X127" s="37">
        <f>DSUM($B$43:$X$103,X$43,$C$110:$D127)</f>
        <v>0</v>
      </c>
      <c r="Y127" s="37">
        <f t="shared" si="44"/>
        <v>1.3539560606244034</v>
      </c>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row>
    <row r="128" spans="2:80">
      <c r="B128" s="1" t="s">
        <v>129</v>
      </c>
      <c r="C128" s="73" t="s">
        <v>130</v>
      </c>
      <c r="D128" s="73" t="s">
        <v>131</v>
      </c>
      <c r="E128" s="37">
        <f>DSUM($B$43:$X$103,E$43,$C$110:$D128)</f>
        <v>1.3539560606244034</v>
      </c>
      <c r="F128" s="37">
        <f>DSUM($B$43:$X$103,F$43,$C$110:$D128)</f>
        <v>0</v>
      </c>
      <c r="G128" s="37">
        <f>DSUM($B$43:$X$103,G$43,$C$110:$D128)</f>
        <v>0</v>
      </c>
      <c r="H128" s="37">
        <f>DSUM($B$43:$X$103,H$43,$C$110:$D128)</f>
        <v>0</v>
      </c>
      <c r="I128" s="37">
        <f>DSUM($B$43:$X$103,I$43,$C$110:$D128)</f>
        <v>0</v>
      </c>
      <c r="J128" s="37">
        <f>DSUM($B$43:$X$103,J$43,$C$110:$D128)</f>
        <v>0</v>
      </c>
      <c r="K128" s="37">
        <f>DSUM($B$43:$X$103,K$43,$C$110:$D128)</f>
        <v>0</v>
      </c>
      <c r="L128" s="37">
        <f>DSUM($B$43:$X$103,L$43,$C$110:$D128)</f>
        <v>0</v>
      </c>
      <c r="M128" s="37">
        <f>DSUM($B$43:$X$103,M$43,$C$110:$D128)</f>
        <v>0</v>
      </c>
      <c r="N128" s="37">
        <f>DSUM($B$43:$X$103,N$43,$C$110:$D128)</f>
        <v>0</v>
      </c>
      <c r="O128" s="37">
        <f>DSUM($B$43:$X$103,O$43,$C$110:$D128)</f>
        <v>0</v>
      </c>
      <c r="P128" s="37">
        <f>DSUM($B$43:$X$103,P$43,$C$110:$D128)</f>
        <v>0</v>
      </c>
      <c r="Q128" s="37">
        <f>DSUM($B$43:$X$103,Q$43,$C$110:$D128)</f>
        <v>0</v>
      </c>
      <c r="R128" s="37">
        <f>DSUM($B$43:$X$103,R$43,$C$110:$D128)</f>
        <v>0</v>
      </c>
      <c r="S128" s="37">
        <f>DSUM($B$43:$X$103,S$43,$C$110:$D128)</f>
        <v>0</v>
      </c>
      <c r="T128" s="37">
        <f>DSUM($B$43:$X$103,T$43,$C$110:$D128)</f>
        <v>0</v>
      </c>
      <c r="U128" s="37">
        <f>DSUM($B$43:$X$103,U$43,$C$110:$D128)</f>
        <v>0</v>
      </c>
      <c r="V128" s="37">
        <f>DSUM($B$43:$X$103,V$43,$C$110:$D128)</f>
        <v>0</v>
      </c>
      <c r="W128" s="37">
        <f>DSUM($B$43:$X$103,W$43,$C$110:$D128)</f>
        <v>0</v>
      </c>
      <c r="X128" s="37">
        <f>DSUM($B$43:$X$103,X$43,$C$110:$D128)</f>
        <v>0</v>
      </c>
      <c r="Y128" s="37">
        <f t="shared" si="44"/>
        <v>1.3539560606244034</v>
      </c>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row>
    <row r="129" spans="1:80">
      <c r="B129" s="1" t="s">
        <v>132</v>
      </c>
      <c r="C129" s="73" t="s">
        <v>133</v>
      </c>
      <c r="D129" s="73" t="s">
        <v>134</v>
      </c>
      <c r="E129" s="37">
        <f>DSUM($B$43:$X$103,E$43,$C$110:$D129)</f>
        <v>1.3539560606244034</v>
      </c>
      <c r="F129" s="37">
        <f>DSUM($B$43:$X$103,F$43,$C$110:$D129)</f>
        <v>0</v>
      </c>
      <c r="G129" s="37">
        <f>DSUM($B$43:$X$103,G$43,$C$110:$D129)</f>
        <v>0</v>
      </c>
      <c r="H129" s="37">
        <f>DSUM($B$43:$X$103,H$43,$C$110:$D129)</f>
        <v>0</v>
      </c>
      <c r="I129" s="37">
        <f>DSUM($B$43:$X$103,I$43,$C$110:$D129)</f>
        <v>0</v>
      </c>
      <c r="J129" s="37">
        <f>DSUM($B$43:$X$103,J$43,$C$110:$D129)</f>
        <v>0</v>
      </c>
      <c r="K129" s="37">
        <f>DSUM($B$43:$X$103,K$43,$C$110:$D129)</f>
        <v>0</v>
      </c>
      <c r="L129" s="37">
        <f>DSUM($B$43:$X$103,L$43,$C$110:$D129)</f>
        <v>0</v>
      </c>
      <c r="M129" s="37">
        <f>DSUM($B$43:$X$103,M$43,$C$110:$D129)</f>
        <v>0</v>
      </c>
      <c r="N129" s="37">
        <f>DSUM($B$43:$X$103,N$43,$C$110:$D129)</f>
        <v>0</v>
      </c>
      <c r="O129" s="37">
        <f>DSUM($B$43:$X$103,O$43,$C$110:$D129)</f>
        <v>0</v>
      </c>
      <c r="P129" s="37">
        <f>DSUM($B$43:$X$103,P$43,$C$110:$D129)</f>
        <v>0</v>
      </c>
      <c r="Q129" s="37">
        <f>DSUM($B$43:$X$103,Q$43,$C$110:$D129)</f>
        <v>0</v>
      </c>
      <c r="R129" s="37">
        <f>DSUM($B$43:$X$103,R$43,$C$110:$D129)</f>
        <v>0</v>
      </c>
      <c r="S129" s="37">
        <f>DSUM($B$43:$X$103,S$43,$C$110:$D129)</f>
        <v>0</v>
      </c>
      <c r="T129" s="37">
        <f>DSUM($B$43:$X$103,T$43,$C$110:$D129)</f>
        <v>0</v>
      </c>
      <c r="U129" s="37">
        <f>DSUM($B$43:$X$103,U$43,$C$110:$D129)</f>
        <v>0</v>
      </c>
      <c r="V129" s="37">
        <f>DSUM($B$43:$X$103,V$43,$C$110:$D129)</f>
        <v>0</v>
      </c>
      <c r="W129" s="37">
        <f>DSUM($B$43:$X$103,W$43,$C$110:$D129)</f>
        <v>0</v>
      </c>
      <c r="X129" s="37">
        <f>DSUM($B$43:$X$103,X$43,$C$110:$D129)</f>
        <v>0</v>
      </c>
      <c r="Y129" s="37">
        <f t="shared" si="44"/>
        <v>1.3539560606244034</v>
      </c>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c r="B130" s="1" t="s">
        <v>135</v>
      </c>
      <c r="C130" s="73" t="s">
        <v>136</v>
      </c>
      <c r="D130" s="73" t="s">
        <v>137</v>
      </c>
      <c r="E130" s="37">
        <f>DSUM($B$43:$X$103,E$43,$C$110:$D130)</f>
        <v>1.3539560606244034</v>
      </c>
      <c r="F130" s="37">
        <f>DSUM($B$43:$X$103,F$43,$C$110:$D130)</f>
        <v>0</v>
      </c>
      <c r="G130" s="37">
        <f>DSUM($B$43:$X$103,G$43,$C$110:$D130)</f>
        <v>0</v>
      </c>
      <c r="H130" s="37">
        <f>DSUM($B$43:$X$103,H$43,$C$110:$D130)</f>
        <v>0</v>
      </c>
      <c r="I130" s="37">
        <f>DSUM($B$43:$X$103,I$43,$C$110:$D130)</f>
        <v>0</v>
      </c>
      <c r="J130" s="37">
        <f>DSUM($B$43:$X$103,J$43,$C$110:$D130)</f>
        <v>0</v>
      </c>
      <c r="K130" s="37">
        <f>DSUM($B$43:$X$103,K$43,$C$110:$D130)</f>
        <v>0</v>
      </c>
      <c r="L130" s="37">
        <f>DSUM($B$43:$X$103,L$43,$C$110:$D130)</f>
        <v>0</v>
      </c>
      <c r="M130" s="37">
        <f>DSUM($B$43:$X$103,M$43,$C$110:$D130)</f>
        <v>0</v>
      </c>
      <c r="N130" s="37">
        <f>DSUM($B$43:$X$103,N$43,$C$110:$D130)</f>
        <v>0</v>
      </c>
      <c r="O130" s="37">
        <f>DSUM($B$43:$X$103,O$43,$C$110:$D130)</f>
        <v>0</v>
      </c>
      <c r="P130" s="37">
        <f>DSUM($B$43:$X$103,P$43,$C$110:$D130)</f>
        <v>0</v>
      </c>
      <c r="Q130" s="37">
        <f>DSUM($B$43:$X$103,Q$43,$C$110:$D130)</f>
        <v>0</v>
      </c>
      <c r="R130" s="37">
        <f>DSUM($B$43:$X$103,R$43,$C$110:$D130)</f>
        <v>0</v>
      </c>
      <c r="S130" s="37">
        <f>DSUM($B$43:$X$103,S$43,$C$110:$D130)</f>
        <v>0</v>
      </c>
      <c r="T130" s="37">
        <f>DSUM($B$43:$X$103,T$43,$C$110:$D130)</f>
        <v>0</v>
      </c>
      <c r="U130" s="37">
        <f>DSUM($B$43:$X$103,U$43,$C$110:$D130)</f>
        <v>0</v>
      </c>
      <c r="V130" s="37">
        <f>DSUM($B$43:$X$103,V$43,$C$110:$D130)</f>
        <v>0</v>
      </c>
      <c r="W130" s="37">
        <f>DSUM($B$43:$X$103,W$43,$C$110:$D130)</f>
        <v>0</v>
      </c>
      <c r="X130" s="37">
        <f>DSUM($B$43:$X$103,X$43,$C$110:$D130)</f>
        <v>0</v>
      </c>
      <c r="Y130" s="37">
        <f t="shared" si="44"/>
        <v>1.3539560606244034</v>
      </c>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c r="B131" s="1" t="s">
        <v>138</v>
      </c>
      <c r="C131" s="73" t="s">
        <v>139</v>
      </c>
      <c r="D131" s="73" t="s">
        <v>140</v>
      </c>
      <c r="E131" s="37">
        <f>DSUM($B$43:$X$103,E$43,$C$110:$D131)</f>
        <v>1.3539560606244034</v>
      </c>
      <c r="F131" s="37">
        <f>DSUM($B$43:$X$103,F$43,$C$110:$D131)</f>
        <v>0</v>
      </c>
      <c r="G131" s="37">
        <f>DSUM($B$43:$X$103,G$43,$C$110:$D131)</f>
        <v>0</v>
      </c>
      <c r="H131" s="37">
        <f>DSUM($B$43:$X$103,H$43,$C$110:$D131)</f>
        <v>0</v>
      </c>
      <c r="I131" s="37">
        <f>DSUM($B$43:$X$103,I$43,$C$110:$D131)</f>
        <v>0</v>
      </c>
      <c r="J131" s="37">
        <f>DSUM($B$43:$X$103,J$43,$C$110:$D131)</f>
        <v>0</v>
      </c>
      <c r="K131" s="37">
        <f>DSUM($B$43:$X$103,K$43,$C$110:$D131)</f>
        <v>0</v>
      </c>
      <c r="L131" s="37">
        <f>DSUM($B$43:$X$103,L$43,$C$110:$D131)</f>
        <v>0</v>
      </c>
      <c r="M131" s="37">
        <f>DSUM($B$43:$X$103,M$43,$C$110:$D131)</f>
        <v>0</v>
      </c>
      <c r="N131" s="37">
        <f>DSUM($B$43:$X$103,N$43,$C$110:$D131)</f>
        <v>0</v>
      </c>
      <c r="O131" s="37">
        <f>DSUM($B$43:$X$103,O$43,$C$110:$D131)</f>
        <v>0</v>
      </c>
      <c r="P131" s="37">
        <f>DSUM($B$43:$X$103,P$43,$C$110:$D131)</f>
        <v>0</v>
      </c>
      <c r="Q131" s="37">
        <f>DSUM($B$43:$X$103,Q$43,$C$110:$D131)</f>
        <v>0</v>
      </c>
      <c r="R131" s="37">
        <f>DSUM($B$43:$X$103,R$43,$C$110:$D131)</f>
        <v>0</v>
      </c>
      <c r="S131" s="37">
        <f>DSUM($B$43:$X$103,S$43,$C$110:$D131)</f>
        <v>0</v>
      </c>
      <c r="T131" s="37">
        <f>DSUM($B$43:$X$103,T$43,$C$110:$D131)</f>
        <v>0</v>
      </c>
      <c r="U131" s="37">
        <f>DSUM($B$43:$X$103,U$43,$C$110:$D131)</f>
        <v>0</v>
      </c>
      <c r="V131" s="37">
        <f>DSUM($B$43:$X$103,V$43,$C$110:$D131)</f>
        <v>0</v>
      </c>
      <c r="W131" s="37">
        <f>DSUM($B$43:$X$103,W$43,$C$110:$D131)</f>
        <v>0</v>
      </c>
      <c r="X131" s="37">
        <f>DSUM($B$43:$X$103,X$43,$C$110:$D131)</f>
        <v>0</v>
      </c>
      <c r="Y131" s="37">
        <f t="shared" si="44"/>
        <v>1.3539560606244034</v>
      </c>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row>
    <row r="132" spans="1:80">
      <c r="B132" s="1" t="s">
        <v>365</v>
      </c>
      <c r="C132" s="73" t="s">
        <v>142</v>
      </c>
      <c r="D132" s="73" t="s">
        <v>366</v>
      </c>
      <c r="E132" s="37">
        <f>DSUM($B$43:$X$103,E$43,$C$110:$D132)</f>
        <v>1.3539560606244034</v>
      </c>
      <c r="F132" s="37">
        <f>DSUM($B$43:$X$103,F$43,$C$110:$D132)</f>
        <v>0</v>
      </c>
      <c r="G132" s="37">
        <f>DSUM($B$43:$X$103,G$43,$C$110:$D132)</f>
        <v>0</v>
      </c>
      <c r="H132" s="37">
        <f>DSUM($B$43:$X$103,H$43,$C$110:$D132)</f>
        <v>0</v>
      </c>
      <c r="I132" s="37">
        <f>DSUM($B$43:$X$103,I$43,$C$110:$D132)</f>
        <v>0</v>
      </c>
      <c r="J132" s="37">
        <f>DSUM($B$43:$X$103,J$43,$C$110:$D132)</f>
        <v>0</v>
      </c>
      <c r="K132" s="37">
        <f>DSUM($B$43:$X$103,K$43,$C$110:$D132)</f>
        <v>0</v>
      </c>
      <c r="L132" s="37">
        <f>DSUM($B$43:$X$103,L$43,$C$110:$D132)</f>
        <v>0</v>
      </c>
      <c r="M132" s="37">
        <f>DSUM($B$43:$X$103,M$43,$C$110:$D132)</f>
        <v>0</v>
      </c>
      <c r="N132" s="37">
        <f>DSUM($B$43:$X$103,N$43,$C$110:$D132)</f>
        <v>0</v>
      </c>
      <c r="O132" s="37">
        <f>DSUM($B$43:$X$103,O$43,$C$110:$D132)</f>
        <v>0</v>
      </c>
      <c r="P132" s="37">
        <f>DSUM($B$43:$X$103,P$43,$C$110:$D132)</f>
        <v>0</v>
      </c>
      <c r="Q132" s="37">
        <f>DSUM($B$43:$X$103,Q$43,$C$110:$D132)</f>
        <v>0</v>
      </c>
      <c r="R132" s="37">
        <f>DSUM($B$43:$X$103,R$43,$C$110:$D132)</f>
        <v>0</v>
      </c>
      <c r="S132" s="37">
        <f>DSUM($B$43:$X$103,S$43,$C$110:$D132)</f>
        <v>0</v>
      </c>
      <c r="T132" s="37">
        <f>DSUM($B$43:$X$103,T$43,$C$110:$D132)</f>
        <v>0</v>
      </c>
      <c r="U132" s="37">
        <f>DSUM($B$43:$X$103,U$43,$C$110:$D132)</f>
        <v>0</v>
      </c>
      <c r="V132" s="37">
        <f>DSUM($B$43:$X$103,V$43,$C$110:$D132)</f>
        <v>0</v>
      </c>
      <c r="W132" s="37">
        <f>DSUM($B$43:$X$103,W$43,$C$110:$D132)</f>
        <v>0</v>
      </c>
      <c r="X132" s="37">
        <f>DSUM($B$43:$X$103,X$43,$C$110:$D132)</f>
        <v>0</v>
      </c>
      <c r="Y132" s="37">
        <f t="shared" si="44"/>
        <v>1.3539560606244034</v>
      </c>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c r="B133" s="1" t="s">
        <v>367</v>
      </c>
      <c r="C133" s="73" t="s">
        <v>368</v>
      </c>
      <c r="D133" s="73" t="s">
        <v>369</v>
      </c>
      <c r="E133" s="37">
        <f>DSUM($B$43:$X$103,E$43,$C$110:$D133)</f>
        <v>1.3539560606244034</v>
      </c>
      <c r="F133" s="37">
        <f>DSUM($B$43:$X$103,F$43,$C$110:$D133)</f>
        <v>0</v>
      </c>
      <c r="G133" s="37">
        <f>DSUM($B$43:$X$103,G$43,$C$110:$D133)</f>
        <v>0</v>
      </c>
      <c r="H133" s="37">
        <f>DSUM($B$43:$X$103,H$43,$C$110:$D133)</f>
        <v>0</v>
      </c>
      <c r="I133" s="37">
        <f>DSUM($B$43:$X$103,I$43,$C$110:$D133)</f>
        <v>0</v>
      </c>
      <c r="J133" s="37">
        <f>DSUM($B$43:$X$103,J$43,$C$110:$D133)</f>
        <v>0</v>
      </c>
      <c r="K133" s="37">
        <f>DSUM($B$43:$X$103,K$43,$C$110:$D133)</f>
        <v>0</v>
      </c>
      <c r="L133" s="37">
        <f>DSUM($B$43:$X$103,L$43,$C$110:$D133)</f>
        <v>0</v>
      </c>
      <c r="M133" s="37">
        <f>DSUM($B$43:$X$103,M$43,$C$110:$D133)</f>
        <v>0</v>
      </c>
      <c r="N133" s="37">
        <f>DSUM($B$43:$X$103,N$43,$C$110:$D133)</f>
        <v>0</v>
      </c>
      <c r="O133" s="37">
        <f>DSUM($B$43:$X$103,O$43,$C$110:$D133)</f>
        <v>0</v>
      </c>
      <c r="P133" s="37">
        <f>DSUM($B$43:$X$103,P$43,$C$110:$D133)</f>
        <v>0</v>
      </c>
      <c r="Q133" s="37">
        <f>DSUM($B$43:$X$103,Q$43,$C$110:$D133)</f>
        <v>0</v>
      </c>
      <c r="R133" s="37">
        <f>DSUM($B$43:$X$103,R$43,$C$110:$D133)</f>
        <v>0</v>
      </c>
      <c r="S133" s="37">
        <f>DSUM($B$43:$X$103,S$43,$C$110:$D133)</f>
        <v>0</v>
      </c>
      <c r="T133" s="37">
        <f>DSUM($B$43:$X$103,T$43,$C$110:$D133)</f>
        <v>0</v>
      </c>
      <c r="U133" s="37">
        <f>DSUM($B$43:$X$103,U$43,$C$110:$D133)</f>
        <v>0</v>
      </c>
      <c r="V133" s="37">
        <f>DSUM($B$43:$X$103,V$43,$C$110:$D133)</f>
        <v>0</v>
      </c>
      <c r="W133" s="37">
        <f>DSUM($B$43:$X$103,W$43,$C$110:$D133)</f>
        <v>0</v>
      </c>
      <c r="X133" s="37">
        <f>DSUM($B$43:$X$103,X$43,$C$110:$D133)</f>
        <v>0</v>
      </c>
      <c r="Y133" s="37">
        <f t="shared" si="44"/>
        <v>1.3539560606244034</v>
      </c>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c r="B134" s="1" t="s">
        <v>370</v>
      </c>
      <c r="C134" s="73" t="s">
        <v>371</v>
      </c>
      <c r="D134" s="73" t="s">
        <v>372</v>
      </c>
      <c r="E134" s="37">
        <f>DSUM($B$43:$X$103,E$43,$C$110:$D134)</f>
        <v>1.3539560606244034</v>
      </c>
      <c r="F134" s="37">
        <f>DSUM($B$43:$X$103,F$43,$C$110:$D134)</f>
        <v>0</v>
      </c>
      <c r="G134" s="37">
        <f>DSUM($B$43:$X$103,G$43,$C$110:$D134)</f>
        <v>0</v>
      </c>
      <c r="H134" s="37">
        <f>DSUM($B$43:$X$103,H$43,$C$110:$D134)</f>
        <v>0</v>
      </c>
      <c r="I134" s="37">
        <f>DSUM($B$43:$X$103,I$43,$C$110:$D134)</f>
        <v>0</v>
      </c>
      <c r="J134" s="37">
        <f>DSUM($B$43:$X$103,J$43,$C$110:$D134)</f>
        <v>0</v>
      </c>
      <c r="K134" s="37">
        <f>DSUM($B$43:$X$103,K$43,$C$110:$D134)</f>
        <v>0</v>
      </c>
      <c r="L134" s="37">
        <f>DSUM($B$43:$X$103,L$43,$C$110:$D134)</f>
        <v>0</v>
      </c>
      <c r="M134" s="37">
        <f>DSUM($B$43:$X$103,M$43,$C$110:$D134)</f>
        <v>0</v>
      </c>
      <c r="N134" s="37">
        <f>DSUM($B$43:$X$103,N$43,$C$110:$D134)</f>
        <v>0</v>
      </c>
      <c r="O134" s="37">
        <f>DSUM($B$43:$X$103,O$43,$C$110:$D134)</f>
        <v>0</v>
      </c>
      <c r="P134" s="37">
        <f>DSUM($B$43:$X$103,P$43,$C$110:$D134)</f>
        <v>0</v>
      </c>
      <c r="Q134" s="37">
        <f>DSUM($B$43:$X$103,Q$43,$C$110:$D134)</f>
        <v>0</v>
      </c>
      <c r="R134" s="37">
        <f>DSUM($B$43:$X$103,R$43,$C$110:$D134)</f>
        <v>0</v>
      </c>
      <c r="S134" s="37">
        <f>DSUM($B$43:$X$103,S$43,$C$110:$D134)</f>
        <v>0</v>
      </c>
      <c r="T134" s="37">
        <f>DSUM($B$43:$X$103,T$43,$C$110:$D134)</f>
        <v>0</v>
      </c>
      <c r="U134" s="37">
        <f>DSUM($B$43:$X$103,U$43,$C$110:$D134)</f>
        <v>0</v>
      </c>
      <c r="V134" s="37">
        <f>DSUM($B$43:$X$103,V$43,$C$110:$D134)</f>
        <v>0</v>
      </c>
      <c r="W134" s="37">
        <f>DSUM($B$43:$X$103,W$43,$C$110:$D134)</f>
        <v>0</v>
      </c>
      <c r="X134" s="37">
        <f>DSUM($B$43:$X$103,X$43,$C$110:$D134)</f>
        <v>0</v>
      </c>
      <c r="Y134" s="37">
        <f t="shared" si="44"/>
        <v>1.3539560606244034</v>
      </c>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row>
    <row r="135" spans="1:80">
      <c r="B135" s="1" t="s">
        <v>373</v>
      </c>
      <c r="C135" s="73" t="s">
        <v>374</v>
      </c>
      <c r="D135" s="73" t="s">
        <v>375</v>
      </c>
      <c r="E135" s="37">
        <f>DSUM($B$43:$X$103,E$43,$C$110:$D135)</f>
        <v>1.3539560606244034</v>
      </c>
      <c r="F135" s="37">
        <f>DSUM($B$43:$X$103,F$43,$C$110:$D135)</f>
        <v>0</v>
      </c>
      <c r="G135" s="37">
        <f>DSUM($B$43:$X$103,G$43,$C$110:$D135)</f>
        <v>0</v>
      </c>
      <c r="H135" s="37">
        <f>DSUM($B$43:$X$103,H$43,$C$110:$D135)</f>
        <v>0</v>
      </c>
      <c r="I135" s="37">
        <f>DSUM($B$43:$X$103,I$43,$C$110:$D135)</f>
        <v>0</v>
      </c>
      <c r="J135" s="37">
        <f>DSUM($B$43:$X$103,J$43,$C$110:$D135)</f>
        <v>0</v>
      </c>
      <c r="K135" s="37">
        <f>DSUM($B$43:$X$103,K$43,$C$110:$D135)</f>
        <v>0</v>
      </c>
      <c r="L135" s="37">
        <f>DSUM($B$43:$X$103,L$43,$C$110:$D135)</f>
        <v>0</v>
      </c>
      <c r="M135" s="37">
        <f>DSUM($B$43:$X$103,M$43,$C$110:$D135)</f>
        <v>0</v>
      </c>
      <c r="N135" s="37">
        <f>DSUM($B$43:$X$103,N$43,$C$110:$D135)</f>
        <v>0</v>
      </c>
      <c r="O135" s="37">
        <f>DSUM($B$43:$X$103,O$43,$C$110:$D135)</f>
        <v>0</v>
      </c>
      <c r="P135" s="37">
        <f>DSUM($B$43:$X$103,P$43,$C$110:$D135)</f>
        <v>0</v>
      </c>
      <c r="Q135" s="37">
        <f>DSUM($B$43:$X$103,Q$43,$C$110:$D135)</f>
        <v>0</v>
      </c>
      <c r="R135" s="37">
        <f>DSUM($B$43:$X$103,R$43,$C$110:$D135)</f>
        <v>0</v>
      </c>
      <c r="S135" s="37">
        <f>DSUM($B$43:$X$103,S$43,$C$110:$D135)</f>
        <v>0</v>
      </c>
      <c r="T135" s="37">
        <f>DSUM($B$43:$X$103,T$43,$C$110:$D135)</f>
        <v>0</v>
      </c>
      <c r="U135" s="37">
        <f>DSUM($B$43:$X$103,U$43,$C$110:$D135)</f>
        <v>0</v>
      </c>
      <c r="V135" s="37">
        <f>DSUM($B$43:$X$103,V$43,$C$110:$D135)</f>
        <v>0</v>
      </c>
      <c r="W135" s="37">
        <f>DSUM($B$43:$X$103,W$43,$C$110:$D135)</f>
        <v>0</v>
      </c>
      <c r="X135" s="37">
        <f>DSUM($B$43:$X$103,X$43,$C$110:$D135)</f>
        <v>0</v>
      </c>
      <c r="Y135" s="37">
        <f t="shared" si="44"/>
        <v>1.3539560606244034</v>
      </c>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c r="B136" s="1" t="s">
        <v>376</v>
      </c>
      <c r="C136" s="73" t="s">
        <v>377</v>
      </c>
      <c r="D136" s="73" t="s">
        <v>378</v>
      </c>
      <c r="E136" s="37">
        <f>DSUM($B$43:$X$103,E$43,$C$110:$D136)</f>
        <v>1.3539560606244034</v>
      </c>
      <c r="F136" s="37">
        <f>DSUM($B$43:$X$103,F$43,$C$110:$D136)</f>
        <v>0</v>
      </c>
      <c r="G136" s="37">
        <f>DSUM($B$43:$X$103,G$43,$C$110:$D136)</f>
        <v>0</v>
      </c>
      <c r="H136" s="37">
        <f>DSUM($B$43:$X$103,H$43,$C$110:$D136)</f>
        <v>0</v>
      </c>
      <c r="I136" s="37">
        <f>DSUM($B$43:$X$103,I$43,$C$110:$D136)</f>
        <v>0</v>
      </c>
      <c r="J136" s="37">
        <f>DSUM($B$43:$X$103,J$43,$C$110:$D136)</f>
        <v>0</v>
      </c>
      <c r="K136" s="37">
        <f>DSUM($B$43:$X$103,K$43,$C$110:$D136)</f>
        <v>0</v>
      </c>
      <c r="L136" s="37">
        <f>DSUM($B$43:$X$103,L$43,$C$110:$D136)</f>
        <v>0</v>
      </c>
      <c r="M136" s="37">
        <f>DSUM($B$43:$X$103,M$43,$C$110:$D136)</f>
        <v>0</v>
      </c>
      <c r="N136" s="37">
        <f>DSUM($B$43:$X$103,N$43,$C$110:$D136)</f>
        <v>0</v>
      </c>
      <c r="O136" s="37">
        <f>DSUM($B$43:$X$103,O$43,$C$110:$D136)</f>
        <v>0</v>
      </c>
      <c r="P136" s="37">
        <f>DSUM($B$43:$X$103,P$43,$C$110:$D136)</f>
        <v>0</v>
      </c>
      <c r="Q136" s="37">
        <f>DSUM($B$43:$X$103,Q$43,$C$110:$D136)</f>
        <v>0</v>
      </c>
      <c r="R136" s="37">
        <f>DSUM($B$43:$X$103,R$43,$C$110:$D136)</f>
        <v>0</v>
      </c>
      <c r="S136" s="37">
        <f>DSUM($B$43:$X$103,S$43,$C$110:$D136)</f>
        <v>0</v>
      </c>
      <c r="T136" s="37">
        <f>DSUM($B$43:$X$103,T$43,$C$110:$D136)</f>
        <v>0</v>
      </c>
      <c r="U136" s="37">
        <f>DSUM($B$43:$X$103,U$43,$C$110:$D136)</f>
        <v>0</v>
      </c>
      <c r="V136" s="37">
        <f>DSUM($B$43:$X$103,V$43,$C$110:$D136)</f>
        <v>0</v>
      </c>
      <c r="W136" s="37">
        <f>DSUM($B$43:$X$103,W$43,$C$110:$D136)</f>
        <v>0</v>
      </c>
      <c r="X136" s="37">
        <f>DSUM($B$43:$X$103,X$43,$C$110:$D136)</f>
        <v>0</v>
      </c>
      <c r="Y136" s="37">
        <f t="shared" si="44"/>
        <v>1.3539560606244034</v>
      </c>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c r="B137" s="1" t="s">
        <v>379</v>
      </c>
      <c r="C137" s="73" t="s">
        <v>380</v>
      </c>
      <c r="D137" s="73" t="s">
        <v>381</v>
      </c>
      <c r="E137" s="37">
        <f>DSUM($B$43:$X$103,E$43,$C$110:$D137)</f>
        <v>1.3539560606244034</v>
      </c>
      <c r="F137" s="37">
        <f>DSUM($B$43:$X$103,F$43,$C$110:$D137)</f>
        <v>0</v>
      </c>
      <c r="G137" s="37">
        <f>DSUM($B$43:$X$103,G$43,$C$110:$D137)</f>
        <v>0</v>
      </c>
      <c r="H137" s="37">
        <f>DSUM($B$43:$X$103,H$43,$C$110:$D137)</f>
        <v>0</v>
      </c>
      <c r="I137" s="37">
        <f>DSUM($B$43:$X$103,I$43,$C$110:$D137)</f>
        <v>0</v>
      </c>
      <c r="J137" s="37">
        <f>DSUM($B$43:$X$103,J$43,$C$110:$D137)</f>
        <v>0</v>
      </c>
      <c r="K137" s="37">
        <f>DSUM($B$43:$X$103,K$43,$C$110:$D137)</f>
        <v>0</v>
      </c>
      <c r="L137" s="37">
        <f>DSUM($B$43:$X$103,L$43,$C$110:$D137)</f>
        <v>0</v>
      </c>
      <c r="M137" s="37">
        <f>DSUM($B$43:$X$103,M$43,$C$110:$D137)</f>
        <v>0</v>
      </c>
      <c r="N137" s="37">
        <f>DSUM($B$43:$X$103,N$43,$C$110:$D137)</f>
        <v>0</v>
      </c>
      <c r="O137" s="37">
        <f>DSUM($B$43:$X$103,O$43,$C$110:$D137)</f>
        <v>0</v>
      </c>
      <c r="P137" s="37">
        <f>DSUM($B$43:$X$103,P$43,$C$110:$D137)</f>
        <v>0</v>
      </c>
      <c r="Q137" s="37">
        <f>DSUM($B$43:$X$103,Q$43,$C$110:$D137)</f>
        <v>0</v>
      </c>
      <c r="R137" s="37">
        <f>DSUM($B$43:$X$103,R$43,$C$110:$D137)</f>
        <v>0</v>
      </c>
      <c r="S137" s="37">
        <f>DSUM($B$43:$X$103,S$43,$C$110:$D137)</f>
        <v>0</v>
      </c>
      <c r="T137" s="37">
        <f>DSUM($B$43:$X$103,T$43,$C$110:$D137)</f>
        <v>0</v>
      </c>
      <c r="U137" s="37">
        <f>DSUM($B$43:$X$103,U$43,$C$110:$D137)</f>
        <v>0</v>
      </c>
      <c r="V137" s="37">
        <f>DSUM($B$43:$X$103,V$43,$C$110:$D137)</f>
        <v>0</v>
      </c>
      <c r="W137" s="37">
        <f>DSUM($B$43:$X$103,W$43,$C$110:$D137)</f>
        <v>0</v>
      </c>
      <c r="X137" s="37">
        <f>DSUM($B$43:$X$103,X$43,$C$110:$D137)</f>
        <v>0</v>
      </c>
      <c r="Y137" s="37">
        <f t="shared" si="44"/>
        <v>1.3539560606244034</v>
      </c>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c r="B138" s="1" t="s">
        <v>382</v>
      </c>
      <c r="C138" s="73" t="s">
        <v>383</v>
      </c>
      <c r="D138" s="73" t="s">
        <v>384</v>
      </c>
      <c r="E138" s="37">
        <f>DSUM($B$43:$X$103,E$43,$C$110:$D138)</f>
        <v>1.3539560606244034</v>
      </c>
      <c r="F138" s="37">
        <f>DSUM($B$43:$X$103,F$43,$C$110:$D138)</f>
        <v>0</v>
      </c>
      <c r="G138" s="37">
        <f>DSUM($B$43:$X$103,G$43,$C$110:$D138)</f>
        <v>0</v>
      </c>
      <c r="H138" s="37">
        <f>DSUM($B$43:$X$103,H$43,$C$110:$D138)</f>
        <v>0</v>
      </c>
      <c r="I138" s="37">
        <f>DSUM($B$43:$X$103,I$43,$C$110:$D138)</f>
        <v>0</v>
      </c>
      <c r="J138" s="37">
        <f>DSUM($B$43:$X$103,J$43,$C$110:$D138)</f>
        <v>0</v>
      </c>
      <c r="K138" s="37">
        <f>DSUM($B$43:$X$103,K$43,$C$110:$D138)</f>
        <v>0</v>
      </c>
      <c r="L138" s="37">
        <f>DSUM($B$43:$X$103,L$43,$C$110:$D138)</f>
        <v>0</v>
      </c>
      <c r="M138" s="37">
        <f>DSUM($B$43:$X$103,M$43,$C$110:$D138)</f>
        <v>0</v>
      </c>
      <c r="N138" s="37">
        <f>DSUM($B$43:$X$103,N$43,$C$110:$D138)</f>
        <v>0</v>
      </c>
      <c r="O138" s="37">
        <f>DSUM($B$43:$X$103,O$43,$C$110:$D138)</f>
        <v>0</v>
      </c>
      <c r="P138" s="37">
        <f>DSUM($B$43:$X$103,P$43,$C$110:$D138)</f>
        <v>0</v>
      </c>
      <c r="Q138" s="37">
        <f>DSUM($B$43:$X$103,Q$43,$C$110:$D138)</f>
        <v>0</v>
      </c>
      <c r="R138" s="37">
        <f>DSUM($B$43:$X$103,R$43,$C$110:$D138)</f>
        <v>0</v>
      </c>
      <c r="S138" s="37">
        <f>DSUM($B$43:$X$103,S$43,$C$110:$D138)</f>
        <v>0</v>
      </c>
      <c r="T138" s="37">
        <f>DSUM($B$43:$X$103,T$43,$C$110:$D138)</f>
        <v>0</v>
      </c>
      <c r="U138" s="37">
        <f>DSUM($B$43:$X$103,U$43,$C$110:$D138)</f>
        <v>0</v>
      </c>
      <c r="V138" s="37">
        <f>DSUM($B$43:$X$103,V$43,$C$110:$D138)</f>
        <v>0</v>
      </c>
      <c r="W138" s="37">
        <f>DSUM($B$43:$X$103,W$43,$C$110:$D138)</f>
        <v>0</v>
      </c>
      <c r="X138" s="37">
        <f>DSUM($B$43:$X$103,X$43,$C$110:$D138)</f>
        <v>0</v>
      </c>
      <c r="Y138" s="37">
        <f t="shared" si="44"/>
        <v>1.3539560606244034</v>
      </c>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c r="B139" s="1" t="s">
        <v>385</v>
      </c>
      <c r="C139" s="73" t="s">
        <v>386</v>
      </c>
      <c r="D139" s="73" t="s">
        <v>387</v>
      </c>
      <c r="E139" s="37">
        <f>DSUM($B$43:$X$103,E$43,$C$110:$D139)</f>
        <v>1.3539560606244034</v>
      </c>
      <c r="F139" s="37">
        <f>DSUM($B$43:$X$103,F$43,$C$110:$D139)</f>
        <v>0</v>
      </c>
      <c r="G139" s="37">
        <f>DSUM($B$43:$X$103,G$43,$C$110:$D139)</f>
        <v>0</v>
      </c>
      <c r="H139" s="37">
        <f>DSUM($B$43:$X$103,H$43,$C$110:$D139)</f>
        <v>0</v>
      </c>
      <c r="I139" s="37">
        <f>DSUM($B$43:$X$103,I$43,$C$110:$D139)</f>
        <v>0</v>
      </c>
      <c r="J139" s="37">
        <f>DSUM($B$43:$X$103,J$43,$C$110:$D139)</f>
        <v>0</v>
      </c>
      <c r="K139" s="37">
        <f>DSUM($B$43:$X$103,K$43,$C$110:$D139)</f>
        <v>0</v>
      </c>
      <c r="L139" s="37">
        <f>DSUM($B$43:$X$103,L$43,$C$110:$D139)</f>
        <v>0</v>
      </c>
      <c r="M139" s="37">
        <f>DSUM($B$43:$X$103,M$43,$C$110:$D139)</f>
        <v>0</v>
      </c>
      <c r="N139" s="37">
        <f>DSUM($B$43:$X$103,N$43,$C$110:$D139)</f>
        <v>0</v>
      </c>
      <c r="O139" s="37">
        <f>DSUM($B$43:$X$103,O$43,$C$110:$D139)</f>
        <v>0</v>
      </c>
      <c r="P139" s="37">
        <f>DSUM($B$43:$X$103,P$43,$C$110:$D139)</f>
        <v>0</v>
      </c>
      <c r="Q139" s="37">
        <f>DSUM($B$43:$X$103,Q$43,$C$110:$D139)</f>
        <v>0</v>
      </c>
      <c r="R139" s="37">
        <f>DSUM($B$43:$X$103,R$43,$C$110:$D139)</f>
        <v>0</v>
      </c>
      <c r="S139" s="37">
        <f>DSUM($B$43:$X$103,S$43,$C$110:$D139)</f>
        <v>0</v>
      </c>
      <c r="T139" s="37">
        <f>DSUM($B$43:$X$103,T$43,$C$110:$D139)</f>
        <v>0</v>
      </c>
      <c r="U139" s="37">
        <f>DSUM($B$43:$X$103,U$43,$C$110:$D139)</f>
        <v>0</v>
      </c>
      <c r="V139" s="37">
        <f>DSUM($B$43:$X$103,V$43,$C$110:$D139)</f>
        <v>0</v>
      </c>
      <c r="W139" s="37">
        <f>DSUM($B$43:$X$103,W$43,$C$110:$D139)</f>
        <v>0</v>
      </c>
      <c r="X139" s="37">
        <f>DSUM($B$43:$X$103,X$43,$C$110:$D139)</f>
        <v>0</v>
      </c>
      <c r="Y139" s="37">
        <f t="shared" si="44"/>
        <v>1.3539560606244034</v>
      </c>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c r="B140" s="1" t="s">
        <v>388</v>
      </c>
      <c r="C140" s="73" t="s">
        <v>389</v>
      </c>
      <c r="D140" s="73" t="s">
        <v>390</v>
      </c>
      <c r="E140" s="37">
        <f>DSUM($B$43:$X$103,E$43,$C$110:$D140)</f>
        <v>1.3539560606244034</v>
      </c>
      <c r="F140" s="37">
        <f>DSUM($B$43:$X$103,F$43,$C$110:$D140)</f>
        <v>0</v>
      </c>
      <c r="G140" s="37">
        <f>DSUM($B$43:$X$103,G$43,$C$110:$D140)</f>
        <v>0</v>
      </c>
      <c r="H140" s="37">
        <f>DSUM($B$43:$X$103,H$43,$C$110:$D140)</f>
        <v>0</v>
      </c>
      <c r="I140" s="37">
        <f>DSUM($B$43:$X$103,I$43,$C$110:$D140)</f>
        <v>0</v>
      </c>
      <c r="J140" s="37">
        <f>DSUM($B$43:$X$103,J$43,$C$110:$D140)</f>
        <v>0</v>
      </c>
      <c r="K140" s="37">
        <f>DSUM($B$43:$X$103,K$43,$C$110:$D140)</f>
        <v>0</v>
      </c>
      <c r="L140" s="37">
        <f>DSUM($B$43:$X$103,L$43,$C$110:$D140)</f>
        <v>0</v>
      </c>
      <c r="M140" s="37">
        <f>DSUM($B$43:$X$103,M$43,$C$110:$D140)</f>
        <v>0</v>
      </c>
      <c r="N140" s="37">
        <f>DSUM($B$43:$X$103,N$43,$C$110:$D140)</f>
        <v>0</v>
      </c>
      <c r="O140" s="37">
        <f>DSUM($B$43:$X$103,O$43,$C$110:$D140)</f>
        <v>0</v>
      </c>
      <c r="P140" s="37">
        <f>DSUM($B$43:$X$103,P$43,$C$110:$D140)</f>
        <v>0</v>
      </c>
      <c r="Q140" s="37">
        <f>DSUM($B$43:$X$103,Q$43,$C$110:$D140)</f>
        <v>0</v>
      </c>
      <c r="R140" s="37">
        <f>DSUM($B$43:$X$103,R$43,$C$110:$D140)</f>
        <v>0</v>
      </c>
      <c r="S140" s="37">
        <f>DSUM($B$43:$X$103,S$43,$C$110:$D140)</f>
        <v>0</v>
      </c>
      <c r="T140" s="37">
        <f>DSUM($B$43:$X$103,T$43,$C$110:$D140)</f>
        <v>0</v>
      </c>
      <c r="U140" s="37">
        <f>DSUM($B$43:$X$103,U$43,$C$110:$D140)</f>
        <v>0</v>
      </c>
      <c r="V140" s="37">
        <f>DSUM($B$43:$X$103,V$43,$C$110:$D140)</f>
        <v>0</v>
      </c>
      <c r="W140" s="37">
        <f>DSUM($B$43:$X$103,W$43,$C$110:$D140)</f>
        <v>0</v>
      </c>
      <c r="X140" s="37">
        <f>DSUM($B$43:$X$103,X$43,$C$110:$D140)</f>
        <v>0</v>
      </c>
      <c r="Y140" s="37">
        <f t="shared" si="44"/>
        <v>1.3539560606244034</v>
      </c>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c r="B141" s="1" t="s">
        <v>391</v>
      </c>
      <c r="C141" s="73" t="s">
        <v>392</v>
      </c>
      <c r="D141" s="73" t="s">
        <v>393</v>
      </c>
      <c r="E141" s="37">
        <f>DSUM($B$43:$X$103,E$43,$C$110:$D141)</f>
        <v>1.3539560606244034</v>
      </c>
      <c r="F141" s="37">
        <f>DSUM($B$43:$X$103,F$43,$C$110:$D141)</f>
        <v>0</v>
      </c>
      <c r="G141" s="37">
        <f>DSUM($B$43:$X$103,G$43,$C$110:$D141)</f>
        <v>0</v>
      </c>
      <c r="H141" s="37">
        <f>DSUM($B$43:$X$103,H$43,$C$110:$D141)</f>
        <v>0</v>
      </c>
      <c r="I141" s="37">
        <f>DSUM($B$43:$X$103,I$43,$C$110:$D141)</f>
        <v>0</v>
      </c>
      <c r="J141" s="37">
        <f>DSUM($B$43:$X$103,J$43,$C$110:$D141)</f>
        <v>0</v>
      </c>
      <c r="K141" s="37">
        <f>DSUM($B$43:$X$103,K$43,$C$110:$D141)</f>
        <v>0</v>
      </c>
      <c r="L141" s="37">
        <f>DSUM($B$43:$X$103,L$43,$C$110:$D141)</f>
        <v>0</v>
      </c>
      <c r="M141" s="37">
        <f>DSUM($B$43:$X$103,M$43,$C$110:$D141)</f>
        <v>0</v>
      </c>
      <c r="N141" s="37">
        <f>DSUM($B$43:$X$103,N$43,$C$110:$D141)</f>
        <v>0</v>
      </c>
      <c r="O141" s="37">
        <f>DSUM($B$43:$X$103,O$43,$C$110:$D141)</f>
        <v>0</v>
      </c>
      <c r="P141" s="37">
        <f>DSUM($B$43:$X$103,P$43,$C$110:$D141)</f>
        <v>0</v>
      </c>
      <c r="Q141" s="37">
        <f>DSUM($B$43:$X$103,Q$43,$C$110:$D141)</f>
        <v>0</v>
      </c>
      <c r="R141" s="37">
        <f>DSUM($B$43:$X$103,R$43,$C$110:$D141)</f>
        <v>0</v>
      </c>
      <c r="S141" s="37">
        <f>DSUM($B$43:$X$103,S$43,$C$110:$D141)</f>
        <v>0</v>
      </c>
      <c r="T141" s="37">
        <f>DSUM($B$43:$X$103,T$43,$C$110:$D141)</f>
        <v>0</v>
      </c>
      <c r="U141" s="37">
        <f>DSUM($B$43:$X$103,U$43,$C$110:$D141)</f>
        <v>0</v>
      </c>
      <c r="V141" s="37">
        <f>DSUM($B$43:$X$103,V$43,$C$110:$D141)</f>
        <v>0</v>
      </c>
      <c r="W141" s="37">
        <f>DSUM($B$43:$X$103,W$43,$C$110:$D141)</f>
        <v>0</v>
      </c>
      <c r="X141" s="37">
        <f>DSUM($B$43:$X$103,X$43,$C$110:$D141)</f>
        <v>0</v>
      </c>
      <c r="Y141" s="37">
        <f t="shared" si="44"/>
        <v>1.3539560606244034</v>
      </c>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c r="B142" s="1" t="s">
        <v>394</v>
      </c>
      <c r="C142" s="73" t="s">
        <v>395</v>
      </c>
      <c r="D142" s="73" t="s">
        <v>143</v>
      </c>
      <c r="E142" s="37">
        <f>DSUM($B$43:$X$103,E$43,$C$110:$D142)</f>
        <v>1.354329375982686</v>
      </c>
      <c r="F142" s="37">
        <f>DSUM($B$43:$X$103,F$43,$C$110:$D142)</f>
        <v>0</v>
      </c>
      <c r="G142" s="37">
        <f>DSUM($B$43:$X$103,G$43,$C$110:$D142)</f>
        <v>0</v>
      </c>
      <c r="H142" s="37">
        <f>DSUM($B$43:$X$103,H$43,$C$110:$D142)</f>
        <v>0</v>
      </c>
      <c r="I142" s="37">
        <f>DSUM($B$43:$X$103,I$43,$C$110:$D142)</f>
        <v>0</v>
      </c>
      <c r="J142" s="37">
        <f>DSUM($B$43:$X$103,J$43,$C$110:$D142)</f>
        <v>0</v>
      </c>
      <c r="K142" s="37">
        <f>DSUM($B$43:$X$103,K$43,$C$110:$D142)</f>
        <v>0</v>
      </c>
      <c r="L142" s="37">
        <f>DSUM($B$43:$X$103,L$43,$C$110:$D142)</f>
        <v>0</v>
      </c>
      <c r="M142" s="37">
        <f>DSUM($B$43:$X$103,M$43,$C$110:$D142)</f>
        <v>0</v>
      </c>
      <c r="N142" s="37">
        <f>DSUM($B$43:$X$103,N$43,$C$110:$D142)</f>
        <v>0</v>
      </c>
      <c r="O142" s="37">
        <f>DSUM($B$43:$X$103,O$43,$C$110:$D142)</f>
        <v>0</v>
      </c>
      <c r="P142" s="37">
        <f>DSUM($B$43:$X$103,P$43,$C$110:$D142)</f>
        <v>0</v>
      </c>
      <c r="Q142" s="37">
        <f>DSUM($B$43:$X$103,Q$43,$C$110:$D142)</f>
        <v>0</v>
      </c>
      <c r="R142" s="37">
        <f>DSUM($B$43:$X$103,R$43,$C$110:$D142)</f>
        <v>0</v>
      </c>
      <c r="S142" s="37">
        <f>DSUM($B$43:$X$103,S$43,$C$110:$D142)</f>
        <v>0</v>
      </c>
      <c r="T142" s="37">
        <f>DSUM($B$43:$X$103,T$43,$C$110:$D142)</f>
        <v>0</v>
      </c>
      <c r="U142" s="37">
        <f>DSUM($B$43:$X$103,U$43,$C$110:$D142)</f>
        <v>0</v>
      </c>
      <c r="V142" s="37">
        <f>DSUM($B$43:$X$103,V$43,$C$110:$D142)</f>
        <v>0</v>
      </c>
      <c r="W142" s="37">
        <f>DSUM($B$43:$X$103,W$43,$C$110:$D142)</f>
        <v>0</v>
      </c>
      <c r="X142" s="37">
        <f>DSUM($B$43:$X$103,X$43,$C$110:$D142)</f>
        <v>0</v>
      </c>
      <c r="Y142" s="37">
        <f t="shared" si="44"/>
        <v>1.354329375982686</v>
      </c>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customFormat="1">
      <c r="A143" s="1"/>
      <c r="B143" s="1"/>
    </row>
    <row r="144" spans="1:80" customFormat="1">
      <c r="A144" s="1"/>
      <c r="B144" s="1"/>
    </row>
    <row r="145" spans="1:80" ht="15">
      <c r="A145" s="63" t="s">
        <v>144</v>
      </c>
      <c r="B145" s="63"/>
      <c r="E145" s="37"/>
      <c r="F145" s="37"/>
      <c r="G145" s="37"/>
      <c r="H145" s="37"/>
      <c r="I145" s="37"/>
      <c r="J145" s="37"/>
      <c r="K145" s="37"/>
      <c r="L145" s="37"/>
      <c r="M145" s="37"/>
      <c r="N145" s="37"/>
      <c r="O145" s="37"/>
      <c r="P145" s="37"/>
      <c r="Q145" s="37"/>
      <c r="R145" s="37"/>
      <c r="S145" s="37"/>
      <c r="T145" s="37"/>
      <c r="U145" s="37"/>
      <c r="V145" s="37"/>
      <c r="W145" s="37"/>
      <c r="X145" s="37"/>
      <c r="Y145" s="37"/>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ht="15">
      <c r="C146" s="61" t="s">
        <v>145</v>
      </c>
      <c r="E146" s="74">
        <f t="shared" ref="E146:X146" si="45">E11</f>
        <v>2016</v>
      </c>
      <c r="F146" s="67">
        <f t="shared" si="45"/>
        <v>2017</v>
      </c>
      <c r="G146" s="67">
        <f t="shared" si="45"/>
        <v>2018</v>
      </c>
      <c r="H146" s="67">
        <f t="shared" si="45"/>
        <v>2019</v>
      </c>
      <c r="I146" s="67">
        <f t="shared" si="45"/>
        <v>2020</v>
      </c>
      <c r="J146" s="67">
        <f t="shared" si="45"/>
        <v>2021</v>
      </c>
      <c r="K146" s="67">
        <f t="shared" si="45"/>
        <v>2022</v>
      </c>
      <c r="L146" s="67">
        <f t="shared" si="45"/>
        <v>2023</v>
      </c>
      <c r="M146" s="67">
        <f t="shared" si="45"/>
        <v>2024</v>
      </c>
      <c r="N146" s="67">
        <f t="shared" si="45"/>
        <v>2025</v>
      </c>
      <c r="O146" s="67">
        <f t="shared" si="45"/>
        <v>2026</v>
      </c>
      <c r="P146" s="67">
        <f t="shared" si="45"/>
        <v>2027</v>
      </c>
      <c r="Q146" s="67">
        <f t="shared" si="45"/>
        <v>2028</v>
      </c>
      <c r="R146" s="67">
        <f t="shared" si="45"/>
        <v>2029</v>
      </c>
      <c r="S146" s="67">
        <f t="shared" si="45"/>
        <v>2030</v>
      </c>
      <c r="T146" s="67">
        <f t="shared" si="45"/>
        <v>2031</v>
      </c>
      <c r="U146" s="67">
        <f t="shared" si="45"/>
        <v>2032</v>
      </c>
      <c r="V146" s="67">
        <f t="shared" si="45"/>
        <v>2033</v>
      </c>
      <c r="W146" s="67">
        <f t="shared" si="45"/>
        <v>2034</v>
      </c>
      <c r="X146" s="67">
        <f t="shared" si="45"/>
        <v>2035</v>
      </c>
      <c r="Y146" s="68" t="s">
        <v>159</v>
      </c>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ht="15">
      <c r="C147" s="61" t="str">
        <f>C8</f>
        <v>Lighting</v>
      </c>
      <c r="E147" s="69" t="str">
        <f>CONCATENATE($E$41,"_",E146)</f>
        <v>aMW_2016</v>
      </c>
      <c r="F147" s="69" t="str">
        <f t="shared" ref="F147" si="46">CONCATENATE($E$41,"_",F146)</f>
        <v>aMW_2017</v>
      </c>
      <c r="G147" s="69" t="str">
        <f t="shared" ref="G147" si="47">CONCATENATE($E$41,"_",G146)</f>
        <v>aMW_2018</v>
      </c>
      <c r="H147" s="69" t="str">
        <f t="shared" ref="H147" si="48">CONCATENATE($E$41,"_",H146)</f>
        <v>aMW_2019</v>
      </c>
      <c r="I147" s="69" t="str">
        <f t="shared" ref="I147" si="49">CONCATENATE($E$41,"_",I146)</f>
        <v>aMW_2020</v>
      </c>
      <c r="J147" s="69" t="str">
        <f t="shared" ref="J147" si="50">CONCATENATE($E$41,"_",J146)</f>
        <v>aMW_2021</v>
      </c>
      <c r="K147" s="69" t="str">
        <f t="shared" ref="K147" si="51">CONCATENATE($E$41,"_",K146)</f>
        <v>aMW_2022</v>
      </c>
      <c r="L147" s="69" t="str">
        <f t="shared" ref="L147" si="52">CONCATENATE($E$41,"_",L146)</f>
        <v>aMW_2023</v>
      </c>
      <c r="M147" s="69" t="str">
        <f t="shared" ref="M147" si="53">CONCATENATE($E$41,"_",M146)</f>
        <v>aMW_2024</v>
      </c>
      <c r="N147" s="69" t="str">
        <f t="shared" ref="N147" si="54">CONCATENATE($E$41,"_",N146)</f>
        <v>aMW_2025</v>
      </c>
      <c r="O147" s="69" t="str">
        <f t="shared" ref="O147" si="55">CONCATENATE($E$41,"_",O146)</f>
        <v>aMW_2026</v>
      </c>
      <c r="P147" s="69" t="str">
        <f t="shared" ref="P147" si="56">CONCATENATE($E$41,"_",P146)</f>
        <v>aMW_2027</v>
      </c>
      <c r="Q147" s="69" t="str">
        <f t="shared" ref="Q147" si="57">CONCATENATE($E$41,"_",Q146)</f>
        <v>aMW_2028</v>
      </c>
      <c r="R147" s="69" t="str">
        <f t="shared" ref="R147" si="58">CONCATENATE($E$41,"_",R146)</f>
        <v>aMW_2029</v>
      </c>
      <c r="S147" s="69" t="str">
        <f t="shared" ref="S147" si="59">CONCATENATE($E$41,"_",S146)</f>
        <v>aMW_2030</v>
      </c>
      <c r="T147" s="69" t="str">
        <f t="shared" ref="T147" si="60">CONCATENATE($E$41,"_",T146)</f>
        <v>aMW_2031</v>
      </c>
      <c r="U147" s="69" t="str">
        <f t="shared" ref="U147" si="61">CONCATENATE($E$41,"_",U146)</f>
        <v>aMW_2032</v>
      </c>
      <c r="V147" s="69" t="str">
        <f t="shared" ref="V147" si="62">CONCATENATE($E$41,"_",V146)</f>
        <v>aMW_2033</v>
      </c>
      <c r="W147" s="69" t="str">
        <f t="shared" ref="W147" si="63">CONCATENATE($E$41,"_",W146)</f>
        <v>aMW_2034</v>
      </c>
      <c r="X147" s="69" t="str">
        <f t="shared" ref="X147" si="64">CONCATENATE($E$41,"_",X146)</f>
        <v>aMW_2035</v>
      </c>
      <c r="Y147" s="70" t="s">
        <v>159</v>
      </c>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c r="C148" s="1" t="s">
        <v>78</v>
      </c>
      <c r="E148" s="37">
        <f t="shared" ref="E148:X148" si="65">E111</f>
        <v>0.81049126223483303</v>
      </c>
      <c r="F148" s="37">
        <f t="shared" si="65"/>
        <v>0</v>
      </c>
      <c r="G148" s="37">
        <f t="shared" si="65"/>
        <v>0</v>
      </c>
      <c r="H148" s="37">
        <f t="shared" si="65"/>
        <v>0</v>
      </c>
      <c r="I148" s="37">
        <f t="shared" si="65"/>
        <v>0</v>
      </c>
      <c r="J148" s="37">
        <f t="shared" si="65"/>
        <v>0</v>
      </c>
      <c r="K148" s="37">
        <f t="shared" si="65"/>
        <v>0</v>
      </c>
      <c r="L148" s="37">
        <f t="shared" si="65"/>
        <v>0</v>
      </c>
      <c r="M148" s="37">
        <f t="shared" si="65"/>
        <v>0</v>
      </c>
      <c r="N148" s="37">
        <f t="shared" si="65"/>
        <v>0</v>
      </c>
      <c r="O148" s="37">
        <f t="shared" si="65"/>
        <v>0</v>
      </c>
      <c r="P148" s="37">
        <f t="shared" si="65"/>
        <v>0</v>
      </c>
      <c r="Q148" s="37">
        <f t="shared" si="65"/>
        <v>0</v>
      </c>
      <c r="R148" s="37">
        <f t="shared" si="65"/>
        <v>0</v>
      </c>
      <c r="S148" s="37">
        <f t="shared" si="65"/>
        <v>0</v>
      </c>
      <c r="T148" s="37">
        <f t="shared" si="65"/>
        <v>0</v>
      </c>
      <c r="U148" s="37">
        <f t="shared" si="65"/>
        <v>0</v>
      </c>
      <c r="V148" s="37">
        <f t="shared" si="65"/>
        <v>0</v>
      </c>
      <c r="W148" s="37">
        <f t="shared" si="65"/>
        <v>0</v>
      </c>
      <c r="X148" s="37">
        <f t="shared" si="65"/>
        <v>0</v>
      </c>
      <c r="Y148" s="37">
        <f>SUM(E148:X148)</f>
        <v>0.81049126223483303</v>
      </c>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c r="C149" s="1" t="s">
        <v>785</v>
      </c>
      <c r="E149" s="31">
        <f t="shared" ref="E149:X161" si="66">E112-E111</f>
        <v>0</v>
      </c>
      <c r="F149" s="31">
        <f t="shared" si="66"/>
        <v>0</v>
      </c>
      <c r="G149" s="31">
        <f t="shared" si="66"/>
        <v>0</v>
      </c>
      <c r="H149" s="31">
        <f t="shared" si="66"/>
        <v>0</v>
      </c>
      <c r="I149" s="31">
        <f t="shared" si="66"/>
        <v>0</v>
      </c>
      <c r="J149" s="31">
        <f t="shared" si="66"/>
        <v>0</v>
      </c>
      <c r="K149" s="31">
        <f t="shared" si="66"/>
        <v>0</v>
      </c>
      <c r="L149" s="31">
        <f t="shared" si="66"/>
        <v>0</v>
      </c>
      <c r="M149" s="31">
        <f t="shared" si="66"/>
        <v>0</v>
      </c>
      <c r="N149" s="31">
        <f t="shared" si="66"/>
        <v>0</v>
      </c>
      <c r="O149" s="31">
        <f t="shared" si="66"/>
        <v>0</v>
      </c>
      <c r="P149" s="31">
        <f t="shared" si="66"/>
        <v>0</v>
      </c>
      <c r="Q149" s="31">
        <f t="shared" si="66"/>
        <v>0</v>
      </c>
      <c r="R149" s="31">
        <f t="shared" si="66"/>
        <v>0</v>
      </c>
      <c r="S149" s="31">
        <f t="shared" si="66"/>
        <v>0</v>
      </c>
      <c r="T149" s="31">
        <f t="shared" si="66"/>
        <v>0</v>
      </c>
      <c r="U149" s="31">
        <f t="shared" si="66"/>
        <v>0</v>
      </c>
      <c r="V149" s="31">
        <f t="shared" si="66"/>
        <v>0</v>
      </c>
      <c r="W149" s="31">
        <f t="shared" si="66"/>
        <v>0</v>
      </c>
      <c r="X149" s="31">
        <f t="shared" si="66"/>
        <v>0</v>
      </c>
      <c r="Y149" s="37">
        <f t="shared" ref="Y149:Y179" si="67">SUM(E149:X149)</f>
        <v>0</v>
      </c>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c r="C150" s="1" t="s">
        <v>84</v>
      </c>
      <c r="E150" s="31">
        <f t="shared" si="66"/>
        <v>0</v>
      </c>
      <c r="F150" s="31">
        <f t="shared" si="66"/>
        <v>0</v>
      </c>
      <c r="G150" s="31">
        <f t="shared" si="66"/>
        <v>0</v>
      </c>
      <c r="H150" s="31">
        <f t="shared" si="66"/>
        <v>0</v>
      </c>
      <c r="I150" s="31">
        <f t="shared" si="66"/>
        <v>0</v>
      </c>
      <c r="J150" s="31">
        <f t="shared" si="66"/>
        <v>0</v>
      </c>
      <c r="K150" s="31">
        <f t="shared" si="66"/>
        <v>0</v>
      </c>
      <c r="L150" s="31">
        <f t="shared" si="66"/>
        <v>0</v>
      </c>
      <c r="M150" s="31">
        <f t="shared" si="66"/>
        <v>0</v>
      </c>
      <c r="N150" s="31">
        <f t="shared" si="66"/>
        <v>0</v>
      </c>
      <c r="O150" s="31">
        <f t="shared" si="66"/>
        <v>0</v>
      </c>
      <c r="P150" s="31">
        <f t="shared" si="66"/>
        <v>0</v>
      </c>
      <c r="Q150" s="31">
        <f t="shared" si="66"/>
        <v>0</v>
      </c>
      <c r="R150" s="31">
        <f t="shared" si="66"/>
        <v>0</v>
      </c>
      <c r="S150" s="31">
        <f t="shared" si="66"/>
        <v>0</v>
      </c>
      <c r="T150" s="31">
        <f t="shared" si="66"/>
        <v>0</v>
      </c>
      <c r="U150" s="31">
        <f t="shared" si="66"/>
        <v>0</v>
      </c>
      <c r="V150" s="31">
        <f t="shared" si="66"/>
        <v>0</v>
      </c>
      <c r="W150" s="31">
        <f t="shared" si="66"/>
        <v>0</v>
      </c>
      <c r="X150" s="31">
        <f t="shared" si="66"/>
        <v>0</v>
      </c>
      <c r="Y150" s="37">
        <f t="shared" si="67"/>
        <v>0</v>
      </c>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c r="C151" s="1" t="s">
        <v>87</v>
      </c>
      <c r="E151" s="31">
        <f t="shared" si="66"/>
        <v>0</v>
      </c>
      <c r="F151" s="31">
        <f t="shared" si="66"/>
        <v>0</v>
      </c>
      <c r="G151" s="31">
        <f t="shared" si="66"/>
        <v>0</v>
      </c>
      <c r="H151" s="31">
        <f t="shared" si="66"/>
        <v>0</v>
      </c>
      <c r="I151" s="31">
        <f t="shared" si="66"/>
        <v>0</v>
      </c>
      <c r="J151" s="31">
        <f t="shared" si="66"/>
        <v>0</v>
      </c>
      <c r="K151" s="31">
        <f t="shared" si="66"/>
        <v>0</v>
      </c>
      <c r="L151" s="31">
        <f t="shared" si="66"/>
        <v>0</v>
      </c>
      <c r="M151" s="31">
        <f t="shared" si="66"/>
        <v>0</v>
      </c>
      <c r="N151" s="31">
        <f t="shared" si="66"/>
        <v>0</v>
      </c>
      <c r="O151" s="31">
        <f t="shared" si="66"/>
        <v>0</v>
      </c>
      <c r="P151" s="31">
        <f t="shared" si="66"/>
        <v>0</v>
      </c>
      <c r="Q151" s="31">
        <f t="shared" si="66"/>
        <v>0</v>
      </c>
      <c r="R151" s="31">
        <f t="shared" si="66"/>
        <v>0</v>
      </c>
      <c r="S151" s="31">
        <f t="shared" si="66"/>
        <v>0</v>
      </c>
      <c r="T151" s="31">
        <f t="shared" si="66"/>
        <v>0</v>
      </c>
      <c r="U151" s="31">
        <f t="shared" si="66"/>
        <v>0</v>
      </c>
      <c r="V151" s="31">
        <f t="shared" si="66"/>
        <v>0</v>
      </c>
      <c r="W151" s="31">
        <f t="shared" si="66"/>
        <v>0</v>
      </c>
      <c r="X151" s="31">
        <f t="shared" si="66"/>
        <v>0</v>
      </c>
      <c r="Y151" s="37">
        <f t="shared" si="67"/>
        <v>0</v>
      </c>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c r="C152" s="1" t="s">
        <v>90</v>
      </c>
      <c r="E152" s="31">
        <f t="shared" si="66"/>
        <v>0</v>
      </c>
      <c r="F152" s="31">
        <f t="shared" si="66"/>
        <v>0</v>
      </c>
      <c r="G152" s="31">
        <f t="shared" si="66"/>
        <v>0</v>
      </c>
      <c r="H152" s="31">
        <f t="shared" si="66"/>
        <v>0</v>
      </c>
      <c r="I152" s="31">
        <f t="shared" si="66"/>
        <v>0</v>
      </c>
      <c r="J152" s="31">
        <f t="shared" si="66"/>
        <v>0</v>
      </c>
      <c r="K152" s="31">
        <f t="shared" si="66"/>
        <v>0</v>
      </c>
      <c r="L152" s="31">
        <f t="shared" si="66"/>
        <v>0</v>
      </c>
      <c r="M152" s="31">
        <f t="shared" si="66"/>
        <v>0</v>
      </c>
      <c r="N152" s="31">
        <f t="shared" si="66"/>
        <v>0</v>
      </c>
      <c r="O152" s="31">
        <f t="shared" si="66"/>
        <v>0</v>
      </c>
      <c r="P152" s="31">
        <f t="shared" si="66"/>
        <v>0</v>
      </c>
      <c r="Q152" s="31">
        <f t="shared" si="66"/>
        <v>0</v>
      </c>
      <c r="R152" s="31">
        <f t="shared" si="66"/>
        <v>0</v>
      </c>
      <c r="S152" s="31">
        <f t="shared" si="66"/>
        <v>0</v>
      </c>
      <c r="T152" s="31">
        <f t="shared" si="66"/>
        <v>0</v>
      </c>
      <c r="U152" s="31">
        <f t="shared" si="66"/>
        <v>0</v>
      </c>
      <c r="V152" s="31">
        <f t="shared" si="66"/>
        <v>0</v>
      </c>
      <c r="W152" s="31">
        <f t="shared" si="66"/>
        <v>0</v>
      </c>
      <c r="X152" s="31">
        <f t="shared" si="66"/>
        <v>0</v>
      </c>
      <c r="Y152" s="37">
        <f t="shared" si="67"/>
        <v>0</v>
      </c>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c r="C153" s="1" t="s">
        <v>93</v>
      </c>
      <c r="E153" s="31">
        <f t="shared" si="66"/>
        <v>1.479681694781021E-2</v>
      </c>
      <c r="F153" s="31">
        <f t="shared" si="66"/>
        <v>0</v>
      </c>
      <c r="G153" s="31">
        <f t="shared" si="66"/>
        <v>0</v>
      </c>
      <c r="H153" s="31">
        <f t="shared" si="66"/>
        <v>0</v>
      </c>
      <c r="I153" s="31">
        <f t="shared" si="66"/>
        <v>0</v>
      </c>
      <c r="J153" s="31">
        <f t="shared" si="66"/>
        <v>0</v>
      </c>
      <c r="K153" s="31">
        <f t="shared" si="66"/>
        <v>0</v>
      </c>
      <c r="L153" s="31">
        <f t="shared" si="66"/>
        <v>0</v>
      </c>
      <c r="M153" s="31">
        <f t="shared" si="66"/>
        <v>0</v>
      </c>
      <c r="N153" s="31">
        <f t="shared" si="66"/>
        <v>0</v>
      </c>
      <c r="O153" s="31">
        <f t="shared" si="66"/>
        <v>0</v>
      </c>
      <c r="P153" s="31">
        <f t="shared" si="66"/>
        <v>0</v>
      </c>
      <c r="Q153" s="31">
        <f t="shared" si="66"/>
        <v>0</v>
      </c>
      <c r="R153" s="31">
        <f t="shared" si="66"/>
        <v>0</v>
      </c>
      <c r="S153" s="31">
        <f t="shared" si="66"/>
        <v>0</v>
      </c>
      <c r="T153" s="31">
        <f t="shared" si="66"/>
        <v>0</v>
      </c>
      <c r="U153" s="31">
        <f t="shared" si="66"/>
        <v>0</v>
      </c>
      <c r="V153" s="31">
        <f t="shared" si="66"/>
        <v>0</v>
      </c>
      <c r="W153" s="31">
        <f t="shared" si="66"/>
        <v>0</v>
      </c>
      <c r="X153" s="31">
        <f t="shared" si="66"/>
        <v>0</v>
      </c>
      <c r="Y153" s="37">
        <f t="shared" si="67"/>
        <v>1.479681694781021E-2</v>
      </c>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c r="C154" s="1" t="s">
        <v>96</v>
      </c>
      <c r="E154" s="31">
        <f t="shared" si="66"/>
        <v>0.44564918590175584</v>
      </c>
      <c r="F154" s="31">
        <f t="shared" si="66"/>
        <v>0</v>
      </c>
      <c r="G154" s="31">
        <f t="shared" si="66"/>
        <v>0</v>
      </c>
      <c r="H154" s="31">
        <f t="shared" si="66"/>
        <v>0</v>
      </c>
      <c r="I154" s="31">
        <f t="shared" si="66"/>
        <v>0</v>
      </c>
      <c r="J154" s="31">
        <f t="shared" si="66"/>
        <v>0</v>
      </c>
      <c r="K154" s="31">
        <f t="shared" si="66"/>
        <v>0</v>
      </c>
      <c r="L154" s="31">
        <f t="shared" si="66"/>
        <v>0</v>
      </c>
      <c r="M154" s="31">
        <f t="shared" si="66"/>
        <v>0</v>
      </c>
      <c r="N154" s="31">
        <f t="shared" si="66"/>
        <v>0</v>
      </c>
      <c r="O154" s="31">
        <f t="shared" si="66"/>
        <v>0</v>
      </c>
      <c r="P154" s="31">
        <f t="shared" si="66"/>
        <v>0</v>
      </c>
      <c r="Q154" s="31">
        <f t="shared" si="66"/>
        <v>0</v>
      </c>
      <c r="R154" s="31">
        <f t="shared" si="66"/>
        <v>0</v>
      </c>
      <c r="S154" s="31">
        <f t="shared" si="66"/>
        <v>0</v>
      </c>
      <c r="T154" s="31">
        <f t="shared" si="66"/>
        <v>0</v>
      </c>
      <c r="U154" s="31">
        <f t="shared" si="66"/>
        <v>0</v>
      </c>
      <c r="V154" s="31">
        <f t="shared" si="66"/>
        <v>0</v>
      </c>
      <c r="W154" s="31">
        <f t="shared" si="66"/>
        <v>0</v>
      </c>
      <c r="X154" s="31">
        <f t="shared" si="66"/>
        <v>0</v>
      </c>
      <c r="Y154" s="37">
        <f t="shared" si="67"/>
        <v>0.44564918590175584</v>
      </c>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c r="C155" s="1" t="s">
        <v>99</v>
      </c>
      <c r="E155" s="31">
        <f t="shared" si="66"/>
        <v>0</v>
      </c>
      <c r="F155" s="31">
        <f t="shared" si="66"/>
        <v>0</v>
      </c>
      <c r="G155" s="31">
        <f t="shared" si="66"/>
        <v>0</v>
      </c>
      <c r="H155" s="31">
        <f t="shared" si="66"/>
        <v>0</v>
      </c>
      <c r="I155" s="31">
        <f t="shared" si="66"/>
        <v>0</v>
      </c>
      <c r="J155" s="31">
        <f t="shared" si="66"/>
        <v>0</v>
      </c>
      <c r="K155" s="31">
        <f t="shared" si="66"/>
        <v>0</v>
      </c>
      <c r="L155" s="31">
        <f t="shared" si="66"/>
        <v>0</v>
      </c>
      <c r="M155" s="31">
        <f t="shared" si="66"/>
        <v>0</v>
      </c>
      <c r="N155" s="31">
        <f t="shared" si="66"/>
        <v>0</v>
      </c>
      <c r="O155" s="31">
        <f t="shared" si="66"/>
        <v>0</v>
      </c>
      <c r="P155" s="31">
        <f t="shared" si="66"/>
        <v>0</v>
      </c>
      <c r="Q155" s="31">
        <f t="shared" si="66"/>
        <v>0</v>
      </c>
      <c r="R155" s="31">
        <f t="shared" si="66"/>
        <v>0</v>
      </c>
      <c r="S155" s="31">
        <f t="shared" si="66"/>
        <v>0</v>
      </c>
      <c r="T155" s="31">
        <f t="shared" si="66"/>
        <v>0</v>
      </c>
      <c r="U155" s="31">
        <f t="shared" si="66"/>
        <v>0</v>
      </c>
      <c r="V155" s="31">
        <f t="shared" si="66"/>
        <v>0</v>
      </c>
      <c r="W155" s="31">
        <f t="shared" si="66"/>
        <v>0</v>
      </c>
      <c r="X155" s="31">
        <f t="shared" si="66"/>
        <v>0</v>
      </c>
      <c r="Y155" s="37">
        <f t="shared" si="67"/>
        <v>0</v>
      </c>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c r="C156" s="1" t="s">
        <v>102</v>
      </c>
      <c r="E156" s="31">
        <f t="shared" si="66"/>
        <v>0</v>
      </c>
      <c r="F156" s="31">
        <f t="shared" si="66"/>
        <v>0</v>
      </c>
      <c r="G156" s="31">
        <f t="shared" si="66"/>
        <v>0</v>
      </c>
      <c r="H156" s="31">
        <f t="shared" si="66"/>
        <v>0</v>
      </c>
      <c r="I156" s="31">
        <f t="shared" si="66"/>
        <v>0</v>
      </c>
      <c r="J156" s="31">
        <f t="shared" si="66"/>
        <v>0</v>
      </c>
      <c r="K156" s="31">
        <f t="shared" si="66"/>
        <v>0</v>
      </c>
      <c r="L156" s="31">
        <f t="shared" si="66"/>
        <v>0</v>
      </c>
      <c r="M156" s="31">
        <f t="shared" si="66"/>
        <v>0</v>
      </c>
      <c r="N156" s="31">
        <f t="shared" si="66"/>
        <v>0</v>
      </c>
      <c r="O156" s="31">
        <f t="shared" si="66"/>
        <v>0</v>
      </c>
      <c r="P156" s="31">
        <f t="shared" si="66"/>
        <v>0</v>
      </c>
      <c r="Q156" s="31">
        <f t="shared" si="66"/>
        <v>0</v>
      </c>
      <c r="R156" s="31">
        <f t="shared" si="66"/>
        <v>0</v>
      </c>
      <c r="S156" s="31">
        <f t="shared" si="66"/>
        <v>0</v>
      </c>
      <c r="T156" s="31">
        <f t="shared" si="66"/>
        <v>0</v>
      </c>
      <c r="U156" s="31">
        <f t="shared" si="66"/>
        <v>0</v>
      </c>
      <c r="V156" s="31">
        <f t="shared" si="66"/>
        <v>0</v>
      </c>
      <c r="W156" s="31">
        <f t="shared" si="66"/>
        <v>0</v>
      </c>
      <c r="X156" s="31">
        <f t="shared" si="66"/>
        <v>0</v>
      </c>
      <c r="Y156" s="37">
        <f t="shared" si="67"/>
        <v>0</v>
      </c>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c r="C157" s="1" t="s">
        <v>105</v>
      </c>
      <c r="E157" s="31">
        <f t="shared" si="66"/>
        <v>0</v>
      </c>
      <c r="F157" s="31">
        <f t="shared" si="66"/>
        <v>0</v>
      </c>
      <c r="G157" s="31">
        <f t="shared" si="66"/>
        <v>0</v>
      </c>
      <c r="H157" s="31">
        <f t="shared" si="66"/>
        <v>0</v>
      </c>
      <c r="I157" s="31">
        <f t="shared" si="66"/>
        <v>0</v>
      </c>
      <c r="J157" s="31">
        <f t="shared" si="66"/>
        <v>0</v>
      </c>
      <c r="K157" s="31">
        <f t="shared" si="66"/>
        <v>0</v>
      </c>
      <c r="L157" s="31">
        <f t="shared" si="66"/>
        <v>0</v>
      </c>
      <c r="M157" s="31">
        <f t="shared" si="66"/>
        <v>0</v>
      </c>
      <c r="N157" s="31">
        <f t="shared" si="66"/>
        <v>0</v>
      </c>
      <c r="O157" s="31">
        <f t="shared" si="66"/>
        <v>0</v>
      </c>
      <c r="P157" s="31">
        <f t="shared" si="66"/>
        <v>0</v>
      </c>
      <c r="Q157" s="31">
        <f t="shared" si="66"/>
        <v>0</v>
      </c>
      <c r="R157" s="31">
        <f t="shared" si="66"/>
        <v>0</v>
      </c>
      <c r="S157" s="31">
        <f t="shared" si="66"/>
        <v>0</v>
      </c>
      <c r="T157" s="31">
        <f t="shared" si="66"/>
        <v>0</v>
      </c>
      <c r="U157" s="31">
        <f t="shared" si="66"/>
        <v>0</v>
      </c>
      <c r="V157" s="31">
        <f t="shared" si="66"/>
        <v>0</v>
      </c>
      <c r="W157" s="31">
        <f t="shared" si="66"/>
        <v>0</v>
      </c>
      <c r="X157" s="31">
        <f t="shared" si="66"/>
        <v>0</v>
      </c>
      <c r="Y157" s="37">
        <f t="shared" si="67"/>
        <v>0</v>
      </c>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c r="C158" s="1" t="s">
        <v>108</v>
      </c>
      <c r="E158" s="31">
        <f t="shared" si="66"/>
        <v>8.3018795540004353E-2</v>
      </c>
      <c r="F158" s="31">
        <f t="shared" si="66"/>
        <v>0</v>
      </c>
      <c r="G158" s="31">
        <f t="shared" si="66"/>
        <v>0</v>
      </c>
      <c r="H158" s="31">
        <f t="shared" si="66"/>
        <v>0</v>
      </c>
      <c r="I158" s="31">
        <f t="shared" si="66"/>
        <v>0</v>
      </c>
      <c r="J158" s="31">
        <f t="shared" si="66"/>
        <v>0</v>
      </c>
      <c r="K158" s="31">
        <f t="shared" si="66"/>
        <v>0</v>
      </c>
      <c r="L158" s="31">
        <f t="shared" si="66"/>
        <v>0</v>
      </c>
      <c r="M158" s="31">
        <f t="shared" si="66"/>
        <v>0</v>
      </c>
      <c r="N158" s="31">
        <f t="shared" si="66"/>
        <v>0</v>
      </c>
      <c r="O158" s="31">
        <f t="shared" si="66"/>
        <v>0</v>
      </c>
      <c r="P158" s="31">
        <f t="shared" si="66"/>
        <v>0</v>
      </c>
      <c r="Q158" s="31">
        <f t="shared" si="66"/>
        <v>0</v>
      </c>
      <c r="R158" s="31">
        <f t="shared" si="66"/>
        <v>0</v>
      </c>
      <c r="S158" s="31">
        <f t="shared" si="66"/>
        <v>0</v>
      </c>
      <c r="T158" s="31">
        <f t="shared" si="66"/>
        <v>0</v>
      </c>
      <c r="U158" s="31">
        <f t="shared" si="66"/>
        <v>0</v>
      </c>
      <c r="V158" s="31">
        <f t="shared" si="66"/>
        <v>0</v>
      </c>
      <c r="W158" s="31">
        <f t="shared" si="66"/>
        <v>0</v>
      </c>
      <c r="X158" s="31">
        <f t="shared" si="66"/>
        <v>0</v>
      </c>
      <c r="Y158" s="37">
        <f t="shared" si="67"/>
        <v>8.3018795540004353E-2</v>
      </c>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c r="C159" s="1" t="s">
        <v>111</v>
      </c>
      <c r="E159" s="31">
        <f t="shared" si="66"/>
        <v>0</v>
      </c>
      <c r="F159" s="31">
        <f t="shared" si="66"/>
        <v>0</v>
      </c>
      <c r="G159" s="31">
        <f t="shared" si="66"/>
        <v>0</v>
      </c>
      <c r="H159" s="31">
        <f t="shared" si="66"/>
        <v>0</v>
      </c>
      <c r="I159" s="31">
        <f t="shared" si="66"/>
        <v>0</v>
      </c>
      <c r="J159" s="31">
        <f t="shared" si="66"/>
        <v>0</v>
      </c>
      <c r="K159" s="31">
        <f t="shared" si="66"/>
        <v>0</v>
      </c>
      <c r="L159" s="31">
        <f t="shared" si="66"/>
        <v>0</v>
      </c>
      <c r="M159" s="31">
        <f t="shared" si="66"/>
        <v>0</v>
      </c>
      <c r="N159" s="31">
        <f t="shared" si="66"/>
        <v>0</v>
      </c>
      <c r="O159" s="31">
        <f t="shared" si="66"/>
        <v>0</v>
      </c>
      <c r="P159" s="31">
        <f t="shared" si="66"/>
        <v>0</v>
      </c>
      <c r="Q159" s="31">
        <f t="shared" si="66"/>
        <v>0</v>
      </c>
      <c r="R159" s="31">
        <f t="shared" si="66"/>
        <v>0</v>
      </c>
      <c r="S159" s="31">
        <f t="shared" si="66"/>
        <v>0</v>
      </c>
      <c r="T159" s="31">
        <f t="shared" si="66"/>
        <v>0</v>
      </c>
      <c r="U159" s="31">
        <f t="shared" si="66"/>
        <v>0</v>
      </c>
      <c r="V159" s="31">
        <f t="shared" si="66"/>
        <v>0</v>
      </c>
      <c r="W159" s="31">
        <f t="shared" si="66"/>
        <v>0</v>
      </c>
      <c r="X159" s="31">
        <f t="shared" si="66"/>
        <v>0</v>
      </c>
      <c r="Y159" s="37">
        <f t="shared" si="67"/>
        <v>0</v>
      </c>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c r="C160" s="1" t="s">
        <v>114</v>
      </c>
      <c r="E160" s="31">
        <f t="shared" si="66"/>
        <v>0</v>
      </c>
      <c r="F160" s="31">
        <f t="shared" si="66"/>
        <v>0</v>
      </c>
      <c r="G160" s="31">
        <f t="shared" si="66"/>
        <v>0</v>
      </c>
      <c r="H160" s="31">
        <f t="shared" si="66"/>
        <v>0</v>
      </c>
      <c r="I160" s="31">
        <f t="shared" si="66"/>
        <v>0</v>
      </c>
      <c r="J160" s="31">
        <f t="shared" si="66"/>
        <v>0</v>
      </c>
      <c r="K160" s="31">
        <f t="shared" si="66"/>
        <v>0</v>
      </c>
      <c r="L160" s="31">
        <f t="shared" si="66"/>
        <v>0</v>
      </c>
      <c r="M160" s="31">
        <f t="shared" si="66"/>
        <v>0</v>
      </c>
      <c r="N160" s="31">
        <f t="shared" si="66"/>
        <v>0</v>
      </c>
      <c r="O160" s="31">
        <f t="shared" si="66"/>
        <v>0</v>
      </c>
      <c r="P160" s="31">
        <f t="shared" si="66"/>
        <v>0</v>
      </c>
      <c r="Q160" s="31">
        <f t="shared" si="66"/>
        <v>0</v>
      </c>
      <c r="R160" s="31">
        <f t="shared" si="66"/>
        <v>0</v>
      </c>
      <c r="S160" s="31">
        <f t="shared" si="66"/>
        <v>0</v>
      </c>
      <c r="T160" s="31">
        <f t="shared" si="66"/>
        <v>0</v>
      </c>
      <c r="U160" s="31">
        <f t="shared" si="66"/>
        <v>0</v>
      </c>
      <c r="V160" s="31">
        <f t="shared" si="66"/>
        <v>0</v>
      </c>
      <c r="W160" s="31">
        <f t="shared" si="66"/>
        <v>0</v>
      </c>
      <c r="X160" s="31">
        <f t="shared" si="66"/>
        <v>0</v>
      </c>
      <c r="Y160" s="37">
        <f t="shared" si="67"/>
        <v>0</v>
      </c>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3:80">
      <c r="C161" s="1" t="s">
        <v>117</v>
      </c>
      <c r="E161" s="31">
        <f t="shared" si="66"/>
        <v>0</v>
      </c>
      <c r="F161" s="31">
        <f t="shared" si="66"/>
        <v>0</v>
      </c>
      <c r="G161" s="31">
        <f t="shared" si="66"/>
        <v>0</v>
      </c>
      <c r="H161" s="31">
        <f t="shared" ref="H161:X161" si="68">H124-H123</f>
        <v>0</v>
      </c>
      <c r="I161" s="31">
        <f t="shared" si="68"/>
        <v>0</v>
      </c>
      <c r="J161" s="31">
        <f t="shared" si="68"/>
        <v>0</v>
      </c>
      <c r="K161" s="31">
        <f t="shared" si="68"/>
        <v>0</v>
      </c>
      <c r="L161" s="31">
        <f t="shared" si="68"/>
        <v>0</v>
      </c>
      <c r="M161" s="31">
        <f t="shared" si="68"/>
        <v>0</v>
      </c>
      <c r="N161" s="31">
        <f t="shared" si="68"/>
        <v>0</v>
      </c>
      <c r="O161" s="31">
        <f t="shared" si="68"/>
        <v>0</v>
      </c>
      <c r="P161" s="31">
        <f t="shared" si="68"/>
        <v>0</v>
      </c>
      <c r="Q161" s="31">
        <f t="shared" si="68"/>
        <v>0</v>
      </c>
      <c r="R161" s="31">
        <f t="shared" si="68"/>
        <v>0</v>
      </c>
      <c r="S161" s="31">
        <f t="shared" si="68"/>
        <v>0</v>
      </c>
      <c r="T161" s="31">
        <f t="shared" si="68"/>
        <v>0</v>
      </c>
      <c r="U161" s="31">
        <f t="shared" si="68"/>
        <v>0</v>
      </c>
      <c r="V161" s="31">
        <f t="shared" si="68"/>
        <v>0</v>
      </c>
      <c r="W161" s="31">
        <f t="shared" si="68"/>
        <v>0</v>
      </c>
      <c r="X161" s="31">
        <f t="shared" si="68"/>
        <v>0</v>
      </c>
      <c r="Y161" s="37">
        <f t="shared" si="67"/>
        <v>0</v>
      </c>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3:80">
      <c r="C162" s="1" t="s">
        <v>120</v>
      </c>
      <c r="E162" s="31">
        <f t="shared" ref="E162:X162" si="69">E125-E124</f>
        <v>0</v>
      </c>
      <c r="F162" s="31">
        <f t="shared" si="69"/>
        <v>0</v>
      </c>
      <c r="G162" s="31">
        <f t="shared" si="69"/>
        <v>0</v>
      </c>
      <c r="H162" s="31">
        <f t="shared" si="69"/>
        <v>0</v>
      </c>
      <c r="I162" s="31">
        <f t="shared" si="69"/>
        <v>0</v>
      </c>
      <c r="J162" s="31">
        <f t="shared" si="69"/>
        <v>0</v>
      </c>
      <c r="K162" s="31">
        <f t="shared" si="69"/>
        <v>0</v>
      </c>
      <c r="L162" s="31">
        <f t="shared" si="69"/>
        <v>0</v>
      </c>
      <c r="M162" s="31">
        <f t="shared" si="69"/>
        <v>0</v>
      </c>
      <c r="N162" s="31">
        <f t="shared" si="69"/>
        <v>0</v>
      </c>
      <c r="O162" s="31">
        <f t="shared" si="69"/>
        <v>0</v>
      </c>
      <c r="P162" s="31">
        <f t="shared" si="69"/>
        <v>0</v>
      </c>
      <c r="Q162" s="31">
        <f t="shared" si="69"/>
        <v>0</v>
      </c>
      <c r="R162" s="31">
        <f t="shared" si="69"/>
        <v>0</v>
      </c>
      <c r="S162" s="31">
        <f t="shared" si="69"/>
        <v>0</v>
      </c>
      <c r="T162" s="31">
        <f t="shared" si="69"/>
        <v>0</v>
      </c>
      <c r="U162" s="31">
        <f t="shared" si="69"/>
        <v>0</v>
      </c>
      <c r="V162" s="31">
        <f t="shared" si="69"/>
        <v>0</v>
      </c>
      <c r="W162" s="31">
        <f t="shared" si="69"/>
        <v>0</v>
      </c>
      <c r="X162" s="31">
        <f t="shared" si="69"/>
        <v>0</v>
      </c>
      <c r="Y162" s="37">
        <f t="shared" si="67"/>
        <v>0</v>
      </c>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3:80">
      <c r="C163" s="1" t="s">
        <v>123</v>
      </c>
      <c r="E163" s="31">
        <f t="shared" ref="E163:X163" si="70">E126-E125</f>
        <v>0</v>
      </c>
      <c r="F163" s="31">
        <f t="shared" si="70"/>
        <v>0</v>
      </c>
      <c r="G163" s="31">
        <f t="shared" si="70"/>
        <v>0</v>
      </c>
      <c r="H163" s="31">
        <f t="shared" si="70"/>
        <v>0</v>
      </c>
      <c r="I163" s="31">
        <f t="shared" si="70"/>
        <v>0</v>
      </c>
      <c r="J163" s="31">
        <f t="shared" si="70"/>
        <v>0</v>
      </c>
      <c r="K163" s="31">
        <f t="shared" si="70"/>
        <v>0</v>
      </c>
      <c r="L163" s="31">
        <f t="shared" si="70"/>
        <v>0</v>
      </c>
      <c r="M163" s="31">
        <f t="shared" si="70"/>
        <v>0</v>
      </c>
      <c r="N163" s="31">
        <f t="shared" si="70"/>
        <v>0</v>
      </c>
      <c r="O163" s="31">
        <f t="shared" si="70"/>
        <v>0</v>
      </c>
      <c r="P163" s="31">
        <f t="shared" si="70"/>
        <v>0</v>
      </c>
      <c r="Q163" s="31">
        <f t="shared" si="70"/>
        <v>0</v>
      </c>
      <c r="R163" s="31">
        <f t="shared" si="70"/>
        <v>0</v>
      </c>
      <c r="S163" s="31">
        <f t="shared" si="70"/>
        <v>0</v>
      </c>
      <c r="T163" s="31">
        <f t="shared" si="70"/>
        <v>0</v>
      </c>
      <c r="U163" s="31">
        <f t="shared" si="70"/>
        <v>0</v>
      </c>
      <c r="V163" s="31">
        <f t="shared" si="70"/>
        <v>0</v>
      </c>
      <c r="W163" s="31">
        <f t="shared" si="70"/>
        <v>0</v>
      </c>
      <c r="X163" s="31">
        <f t="shared" si="70"/>
        <v>0</v>
      </c>
      <c r="Y163" s="37">
        <f t="shared" si="67"/>
        <v>0</v>
      </c>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3:80">
      <c r="C164" s="1" t="s">
        <v>126</v>
      </c>
      <c r="E164" s="31">
        <f t="shared" ref="E164:X164" si="71">E127-E126</f>
        <v>0</v>
      </c>
      <c r="F164" s="31">
        <f t="shared" si="71"/>
        <v>0</v>
      </c>
      <c r="G164" s="31">
        <f t="shared" si="71"/>
        <v>0</v>
      </c>
      <c r="H164" s="31">
        <f t="shared" si="71"/>
        <v>0</v>
      </c>
      <c r="I164" s="31">
        <f t="shared" si="71"/>
        <v>0</v>
      </c>
      <c r="J164" s="31">
        <f t="shared" si="71"/>
        <v>0</v>
      </c>
      <c r="K164" s="31">
        <f t="shared" si="71"/>
        <v>0</v>
      </c>
      <c r="L164" s="31">
        <f t="shared" si="71"/>
        <v>0</v>
      </c>
      <c r="M164" s="31">
        <f t="shared" si="71"/>
        <v>0</v>
      </c>
      <c r="N164" s="31">
        <f t="shared" si="71"/>
        <v>0</v>
      </c>
      <c r="O164" s="31">
        <f t="shared" si="71"/>
        <v>0</v>
      </c>
      <c r="P164" s="31">
        <f t="shared" si="71"/>
        <v>0</v>
      </c>
      <c r="Q164" s="31">
        <f t="shared" si="71"/>
        <v>0</v>
      </c>
      <c r="R164" s="31">
        <f t="shared" si="71"/>
        <v>0</v>
      </c>
      <c r="S164" s="31">
        <f t="shared" si="71"/>
        <v>0</v>
      </c>
      <c r="T164" s="31">
        <f t="shared" si="71"/>
        <v>0</v>
      </c>
      <c r="U164" s="31">
        <f t="shared" si="71"/>
        <v>0</v>
      </c>
      <c r="V164" s="31">
        <f t="shared" si="71"/>
        <v>0</v>
      </c>
      <c r="W164" s="31">
        <f t="shared" si="71"/>
        <v>0</v>
      </c>
      <c r="X164" s="31">
        <f t="shared" si="71"/>
        <v>0</v>
      </c>
      <c r="Y164" s="37">
        <f t="shared" si="67"/>
        <v>0</v>
      </c>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3:80">
      <c r="C165" s="1" t="s">
        <v>129</v>
      </c>
      <c r="E165" s="31">
        <f t="shared" ref="E165:X165" si="72">E128-E127</f>
        <v>0</v>
      </c>
      <c r="F165" s="31">
        <f t="shared" si="72"/>
        <v>0</v>
      </c>
      <c r="G165" s="31">
        <f t="shared" si="72"/>
        <v>0</v>
      </c>
      <c r="H165" s="31">
        <f t="shared" si="72"/>
        <v>0</v>
      </c>
      <c r="I165" s="31">
        <f t="shared" si="72"/>
        <v>0</v>
      </c>
      <c r="J165" s="31">
        <f t="shared" si="72"/>
        <v>0</v>
      </c>
      <c r="K165" s="31">
        <f t="shared" si="72"/>
        <v>0</v>
      </c>
      <c r="L165" s="31">
        <f t="shared" si="72"/>
        <v>0</v>
      </c>
      <c r="M165" s="31">
        <f t="shared" si="72"/>
        <v>0</v>
      </c>
      <c r="N165" s="31">
        <f t="shared" si="72"/>
        <v>0</v>
      </c>
      <c r="O165" s="31">
        <f t="shared" si="72"/>
        <v>0</v>
      </c>
      <c r="P165" s="31">
        <f t="shared" si="72"/>
        <v>0</v>
      </c>
      <c r="Q165" s="31">
        <f t="shared" si="72"/>
        <v>0</v>
      </c>
      <c r="R165" s="31">
        <f t="shared" si="72"/>
        <v>0</v>
      </c>
      <c r="S165" s="31">
        <f t="shared" si="72"/>
        <v>0</v>
      </c>
      <c r="T165" s="31">
        <f t="shared" si="72"/>
        <v>0</v>
      </c>
      <c r="U165" s="31">
        <f t="shared" si="72"/>
        <v>0</v>
      </c>
      <c r="V165" s="31">
        <f t="shared" si="72"/>
        <v>0</v>
      </c>
      <c r="W165" s="31">
        <f t="shared" si="72"/>
        <v>0</v>
      </c>
      <c r="X165" s="31">
        <f t="shared" si="72"/>
        <v>0</v>
      </c>
      <c r="Y165" s="37">
        <f t="shared" si="67"/>
        <v>0</v>
      </c>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3:80">
      <c r="C166" s="1" t="s">
        <v>132</v>
      </c>
      <c r="E166" s="31">
        <f t="shared" ref="E166:X166" si="73">E129-E128</f>
        <v>0</v>
      </c>
      <c r="F166" s="31">
        <f t="shared" si="73"/>
        <v>0</v>
      </c>
      <c r="G166" s="31">
        <f t="shared" si="73"/>
        <v>0</v>
      </c>
      <c r="H166" s="31">
        <f t="shared" si="73"/>
        <v>0</v>
      </c>
      <c r="I166" s="31">
        <f t="shared" si="73"/>
        <v>0</v>
      </c>
      <c r="J166" s="31">
        <f t="shared" si="73"/>
        <v>0</v>
      </c>
      <c r="K166" s="31">
        <f t="shared" si="73"/>
        <v>0</v>
      </c>
      <c r="L166" s="31">
        <f t="shared" si="73"/>
        <v>0</v>
      </c>
      <c r="M166" s="31">
        <f t="shared" si="73"/>
        <v>0</v>
      </c>
      <c r="N166" s="31">
        <f t="shared" si="73"/>
        <v>0</v>
      </c>
      <c r="O166" s="31">
        <f t="shared" si="73"/>
        <v>0</v>
      </c>
      <c r="P166" s="31">
        <f t="shared" si="73"/>
        <v>0</v>
      </c>
      <c r="Q166" s="31">
        <f t="shared" si="73"/>
        <v>0</v>
      </c>
      <c r="R166" s="31">
        <f t="shared" si="73"/>
        <v>0</v>
      </c>
      <c r="S166" s="31">
        <f t="shared" si="73"/>
        <v>0</v>
      </c>
      <c r="T166" s="31">
        <f t="shared" si="73"/>
        <v>0</v>
      </c>
      <c r="U166" s="31">
        <f t="shared" si="73"/>
        <v>0</v>
      </c>
      <c r="V166" s="31">
        <f t="shared" si="73"/>
        <v>0</v>
      </c>
      <c r="W166" s="31">
        <f t="shared" si="73"/>
        <v>0</v>
      </c>
      <c r="X166" s="31">
        <f t="shared" si="73"/>
        <v>0</v>
      </c>
      <c r="Y166" s="37">
        <f t="shared" si="67"/>
        <v>0</v>
      </c>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3:80">
      <c r="C167" s="1" t="s">
        <v>135</v>
      </c>
      <c r="E167" s="31">
        <f t="shared" ref="E167:X167" si="74">E130-E129</f>
        <v>0</v>
      </c>
      <c r="F167" s="31">
        <f t="shared" si="74"/>
        <v>0</v>
      </c>
      <c r="G167" s="31">
        <f t="shared" si="74"/>
        <v>0</v>
      </c>
      <c r="H167" s="31">
        <f t="shared" si="74"/>
        <v>0</v>
      </c>
      <c r="I167" s="31">
        <f t="shared" si="74"/>
        <v>0</v>
      </c>
      <c r="J167" s="31">
        <f t="shared" si="74"/>
        <v>0</v>
      </c>
      <c r="K167" s="31">
        <f t="shared" si="74"/>
        <v>0</v>
      </c>
      <c r="L167" s="31">
        <f t="shared" si="74"/>
        <v>0</v>
      </c>
      <c r="M167" s="31">
        <f t="shared" si="74"/>
        <v>0</v>
      </c>
      <c r="N167" s="31">
        <f t="shared" si="74"/>
        <v>0</v>
      </c>
      <c r="O167" s="31">
        <f t="shared" si="74"/>
        <v>0</v>
      </c>
      <c r="P167" s="31">
        <f t="shared" si="74"/>
        <v>0</v>
      </c>
      <c r="Q167" s="31">
        <f t="shared" si="74"/>
        <v>0</v>
      </c>
      <c r="R167" s="31">
        <f t="shared" si="74"/>
        <v>0</v>
      </c>
      <c r="S167" s="31">
        <f t="shared" si="74"/>
        <v>0</v>
      </c>
      <c r="T167" s="31">
        <f t="shared" si="74"/>
        <v>0</v>
      </c>
      <c r="U167" s="31">
        <f t="shared" si="74"/>
        <v>0</v>
      </c>
      <c r="V167" s="31">
        <f t="shared" si="74"/>
        <v>0</v>
      </c>
      <c r="W167" s="31">
        <f t="shared" si="74"/>
        <v>0</v>
      </c>
      <c r="X167" s="31">
        <f t="shared" si="74"/>
        <v>0</v>
      </c>
      <c r="Y167" s="37">
        <f t="shared" si="67"/>
        <v>0</v>
      </c>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3:80">
      <c r="C168" s="1" t="s">
        <v>138</v>
      </c>
      <c r="E168" s="31">
        <f t="shared" ref="E168:X168" si="75">E131-E130</f>
        <v>0</v>
      </c>
      <c r="F168" s="31">
        <f t="shared" si="75"/>
        <v>0</v>
      </c>
      <c r="G168" s="31">
        <f t="shared" si="75"/>
        <v>0</v>
      </c>
      <c r="H168" s="31">
        <f t="shared" si="75"/>
        <v>0</v>
      </c>
      <c r="I168" s="31">
        <f t="shared" si="75"/>
        <v>0</v>
      </c>
      <c r="J168" s="31">
        <f t="shared" si="75"/>
        <v>0</v>
      </c>
      <c r="K168" s="31">
        <f t="shared" si="75"/>
        <v>0</v>
      </c>
      <c r="L168" s="31">
        <f t="shared" si="75"/>
        <v>0</v>
      </c>
      <c r="M168" s="31">
        <f t="shared" si="75"/>
        <v>0</v>
      </c>
      <c r="N168" s="31">
        <f t="shared" si="75"/>
        <v>0</v>
      </c>
      <c r="O168" s="31">
        <f t="shared" si="75"/>
        <v>0</v>
      </c>
      <c r="P168" s="31">
        <f t="shared" si="75"/>
        <v>0</v>
      </c>
      <c r="Q168" s="31">
        <f t="shared" si="75"/>
        <v>0</v>
      </c>
      <c r="R168" s="31">
        <f t="shared" si="75"/>
        <v>0</v>
      </c>
      <c r="S168" s="31">
        <f t="shared" si="75"/>
        <v>0</v>
      </c>
      <c r="T168" s="31">
        <f t="shared" si="75"/>
        <v>0</v>
      </c>
      <c r="U168" s="31">
        <f t="shared" si="75"/>
        <v>0</v>
      </c>
      <c r="V168" s="31">
        <f t="shared" si="75"/>
        <v>0</v>
      </c>
      <c r="W168" s="31">
        <f t="shared" si="75"/>
        <v>0</v>
      </c>
      <c r="X168" s="31">
        <f t="shared" si="75"/>
        <v>0</v>
      </c>
      <c r="Y168" s="37">
        <f t="shared" si="67"/>
        <v>0</v>
      </c>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3:80">
      <c r="C169" s="1" t="s">
        <v>365</v>
      </c>
      <c r="E169" s="31">
        <f t="shared" ref="E169:X169" si="76">E132-E131</f>
        <v>0</v>
      </c>
      <c r="F169" s="31">
        <f t="shared" si="76"/>
        <v>0</v>
      </c>
      <c r="G169" s="31">
        <f t="shared" si="76"/>
        <v>0</v>
      </c>
      <c r="H169" s="31">
        <f t="shared" si="76"/>
        <v>0</v>
      </c>
      <c r="I169" s="31">
        <f t="shared" si="76"/>
        <v>0</v>
      </c>
      <c r="J169" s="31">
        <f t="shared" si="76"/>
        <v>0</v>
      </c>
      <c r="K169" s="31">
        <f t="shared" si="76"/>
        <v>0</v>
      </c>
      <c r="L169" s="31">
        <f t="shared" si="76"/>
        <v>0</v>
      </c>
      <c r="M169" s="31">
        <f t="shared" si="76"/>
        <v>0</v>
      </c>
      <c r="N169" s="31">
        <f t="shared" si="76"/>
        <v>0</v>
      </c>
      <c r="O169" s="31">
        <f t="shared" si="76"/>
        <v>0</v>
      </c>
      <c r="P169" s="31">
        <f t="shared" si="76"/>
        <v>0</v>
      </c>
      <c r="Q169" s="31">
        <f t="shared" si="76"/>
        <v>0</v>
      </c>
      <c r="R169" s="31">
        <f t="shared" si="76"/>
        <v>0</v>
      </c>
      <c r="S169" s="31">
        <f t="shared" si="76"/>
        <v>0</v>
      </c>
      <c r="T169" s="31">
        <f t="shared" si="76"/>
        <v>0</v>
      </c>
      <c r="U169" s="31">
        <f t="shared" si="76"/>
        <v>0</v>
      </c>
      <c r="V169" s="31">
        <f t="shared" si="76"/>
        <v>0</v>
      </c>
      <c r="W169" s="31">
        <f t="shared" si="76"/>
        <v>0</v>
      </c>
      <c r="X169" s="31">
        <f t="shared" si="76"/>
        <v>0</v>
      </c>
      <c r="Y169" s="37">
        <f t="shared" si="67"/>
        <v>0</v>
      </c>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3:80">
      <c r="C170" s="1" t="s">
        <v>367</v>
      </c>
      <c r="E170" s="31">
        <f t="shared" ref="E170:X170" si="77">E133-E132</f>
        <v>0</v>
      </c>
      <c r="F170" s="31">
        <f t="shared" si="77"/>
        <v>0</v>
      </c>
      <c r="G170" s="31">
        <f t="shared" si="77"/>
        <v>0</v>
      </c>
      <c r="H170" s="31">
        <f t="shared" si="77"/>
        <v>0</v>
      </c>
      <c r="I170" s="31">
        <f t="shared" si="77"/>
        <v>0</v>
      </c>
      <c r="J170" s="31">
        <f t="shared" si="77"/>
        <v>0</v>
      </c>
      <c r="K170" s="31">
        <f t="shared" si="77"/>
        <v>0</v>
      </c>
      <c r="L170" s="31">
        <f t="shared" si="77"/>
        <v>0</v>
      </c>
      <c r="M170" s="31">
        <f t="shared" si="77"/>
        <v>0</v>
      </c>
      <c r="N170" s="31">
        <f t="shared" si="77"/>
        <v>0</v>
      </c>
      <c r="O170" s="31">
        <f t="shared" si="77"/>
        <v>0</v>
      </c>
      <c r="P170" s="31">
        <f t="shared" si="77"/>
        <v>0</v>
      </c>
      <c r="Q170" s="31">
        <f t="shared" si="77"/>
        <v>0</v>
      </c>
      <c r="R170" s="31">
        <f t="shared" si="77"/>
        <v>0</v>
      </c>
      <c r="S170" s="31">
        <f t="shared" si="77"/>
        <v>0</v>
      </c>
      <c r="T170" s="31">
        <f t="shared" si="77"/>
        <v>0</v>
      </c>
      <c r="U170" s="31">
        <f t="shared" si="77"/>
        <v>0</v>
      </c>
      <c r="V170" s="31">
        <f t="shared" si="77"/>
        <v>0</v>
      </c>
      <c r="W170" s="31">
        <f t="shared" si="77"/>
        <v>0</v>
      </c>
      <c r="X170" s="31">
        <f t="shared" si="77"/>
        <v>0</v>
      </c>
      <c r="Y170" s="37">
        <f t="shared" si="67"/>
        <v>0</v>
      </c>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3:80">
      <c r="C171" s="1" t="s">
        <v>370</v>
      </c>
      <c r="E171" s="31">
        <f t="shared" ref="E171:X171" si="78">E134-E133</f>
        <v>0</v>
      </c>
      <c r="F171" s="31">
        <f t="shared" si="78"/>
        <v>0</v>
      </c>
      <c r="G171" s="31">
        <f t="shared" si="78"/>
        <v>0</v>
      </c>
      <c r="H171" s="31">
        <f t="shared" si="78"/>
        <v>0</v>
      </c>
      <c r="I171" s="31">
        <f t="shared" si="78"/>
        <v>0</v>
      </c>
      <c r="J171" s="31">
        <f t="shared" si="78"/>
        <v>0</v>
      </c>
      <c r="K171" s="31">
        <f t="shared" si="78"/>
        <v>0</v>
      </c>
      <c r="L171" s="31">
        <f t="shared" si="78"/>
        <v>0</v>
      </c>
      <c r="M171" s="31">
        <f t="shared" si="78"/>
        <v>0</v>
      </c>
      <c r="N171" s="31">
        <f t="shared" si="78"/>
        <v>0</v>
      </c>
      <c r="O171" s="31">
        <f t="shared" si="78"/>
        <v>0</v>
      </c>
      <c r="P171" s="31">
        <f t="shared" si="78"/>
        <v>0</v>
      </c>
      <c r="Q171" s="31">
        <f t="shared" si="78"/>
        <v>0</v>
      </c>
      <c r="R171" s="31">
        <f t="shared" si="78"/>
        <v>0</v>
      </c>
      <c r="S171" s="31">
        <f t="shared" si="78"/>
        <v>0</v>
      </c>
      <c r="T171" s="31">
        <f t="shared" si="78"/>
        <v>0</v>
      </c>
      <c r="U171" s="31">
        <f t="shared" si="78"/>
        <v>0</v>
      </c>
      <c r="V171" s="31">
        <f t="shared" si="78"/>
        <v>0</v>
      </c>
      <c r="W171" s="31">
        <f t="shared" si="78"/>
        <v>0</v>
      </c>
      <c r="X171" s="31">
        <f t="shared" si="78"/>
        <v>0</v>
      </c>
      <c r="Y171" s="37">
        <f t="shared" si="67"/>
        <v>0</v>
      </c>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3:80">
      <c r="C172" s="1" t="s">
        <v>373</v>
      </c>
      <c r="E172" s="31">
        <f t="shared" ref="E172:X172" si="79">E135-E134</f>
        <v>0</v>
      </c>
      <c r="F172" s="31">
        <f t="shared" si="79"/>
        <v>0</v>
      </c>
      <c r="G172" s="31">
        <f t="shared" si="79"/>
        <v>0</v>
      </c>
      <c r="H172" s="31">
        <f t="shared" si="79"/>
        <v>0</v>
      </c>
      <c r="I172" s="31">
        <f t="shared" si="79"/>
        <v>0</v>
      </c>
      <c r="J172" s="31">
        <f t="shared" si="79"/>
        <v>0</v>
      </c>
      <c r="K172" s="31">
        <f t="shared" si="79"/>
        <v>0</v>
      </c>
      <c r="L172" s="31">
        <f t="shared" si="79"/>
        <v>0</v>
      </c>
      <c r="M172" s="31">
        <f t="shared" si="79"/>
        <v>0</v>
      </c>
      <c r="N172" s="31">
        <f t="shared" si="79"/>
        <v>0</v>
      </c>
      <c r="O172" s="31">
        <f t="shared" si="79"/>
        <v>0</v>
      </c>
      <c r="P172" s="31">
        <f t="shared" si="79"/>
        <v>0</v>
      </c>
      <c r="Q172" s="31">
        <f t="shared" si="79"/>
        <v>0</v>
      </c>
      <c r="R172" s="31">
        <f t="shared" si="79"/>
        <v>0</v>
      </c>
      <c r="S172" s="31">
        <f t="shared" si="79"/>
        <v>0</v>
      </c>
      <c r="T172" s="31">
        <f t="shared" si="79"/>
        <v>0</v>
      </c>
      <c r="U172" s="31">
        <f t="shared" si="79"/>
        <v>0</v>
      </c>
      <c r="V172" s="31">
        <f t="shared" si="79"/>
        <v>0</v>
      </c>
      <c r="W172" s="31">
        <f t="shared" si="79"/>
        <v>0</v>
      </c>
      <c r="X172" s="31">
        <f t="shared" si="79"/>
        <v>0</v>
      </c>
      <c r="Y172" s="37">
        <f t="shared" si="67"/>
        <v>0</v>
      </c>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3:80">
      <c r="C173" s="1" t="s">
        <v>376</v>
      </c>
      <c r="E173" s="31">
        <f t="shared" ref="E173:X173" si="80">E136-E135</f>
        <v>0</v>
      </c>
      <c r="F173" s="31">
        <f t="shared" si="80"/>
        <v>0</v>
      </c>
      <c r="G173" s="31">
        <f t="shared" si="80"/>
        <v>0</v>
      </c>
      <c r="H173" s="31">
        <f t="shared" si="80"/>
        <v>0</v>
      </c>
      <c r="I173" s="31">
        <f t="shared" si="80"/>
        <v>0</v>
      </c>
      <c r="J173" s="31">
        <f t="shared" si="80"/>
        <v>0</v>
      </c>
      <c r="K173" s="31">
        <f t="shared" si="80"/>
        <v>0</v>
      </c>
      <c r="L173" s="31">
        <f t="shared" si="80"/>
        <v>0</v>
      </c>
      <c r="M173" s="31">
        <f t="shared" si="80"/>
        <v>0</v>
      </c>
      <c r="N173" s="31">
        <f t="shared" si="80"/>
        <v>0</v>
      </c>
      <c r="O173" s="31">
        <f t="shared" si="80"/>
        <v>0</v>
      </c>
      <c r="P173" s="31">
        <f t="shared" si="80"/>
        <v>0</v>
      </c>
      <c r="Q173" s="31">
        <f t="shared" si="80"/>
        <v>0</v>
      </c>
      <c r="R173" s="31">
        <f t="shared" si="80"/>
        <v>0</v>
      </c>
      <c r="S173" s="31">
        <f t="shared" si="80"/>
        <v>0</v>
      </c>
      <c r="T173" s="31">
        <f t="shared" si="80"/>
        <v>0</v>
      </c>
      <c r="U173" s="31">
        <f t="shared" si="80"/>
        <v>0</v>
      </c>
      <c r="V173" s="31">
        <f t="shared" si="80"/>
        <v>0</v>
      </c>
      <c r="W173" s="31">
        <f t="shared" si="80"/>
        <v>0</v>
      </c>
      <c r="X173" s="31">
        <f t="shared" si="80"/>
        <v>0</v>
      </c>
      <c r="Y173" s="37">
        <f t="shared" si="67"/>
        <v>0</v>
      </c>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3:80">
      <c r="C174" s="1" t="s">
        <v>379</v>
      </c>
      <c r="E174" s="31">
        <f t="shared" ref="E174:X174" si="81">E137-E136</f>
        <v>0</v>
      </c>
      <c r="F174" s="31">
        <f t="shared" si="81"/>
        <v>0</v>
      </c>
      <c r="G174" s="31">
        <f t="shared" si="81"/>
        <v>0</v>
      </c>
      <c r="H174" s="31">
        <f t="shared" si="81"/>
        <v>0</v>
      </c>
      <c r="I174" s="31">
        <f t="shared" si="81"/>
        <v>0</v>
      </c>
      <c r="J174" s="31">
        <f t="shared" si="81"/>
        <v>0</v>
      </c>
      <c r="K174" s="31">
        <f t="shared" si="81"/>
        <v>0</v>
      </c>
      <c r="L174" s="31">
        <f t="shared" si="81"/>
        <v>0</v>
      </c>
      <c r="M174" s="31">
        <f t="shared" si="81"/>
        <v>0</v>
      </c>
      <c r="N174" s="31">
        <f t="shared" si="81"/>
        <v>0</v>
      </c>
      <c r="O174" s="31">
        <f t="shared" si="81"/>
        <v>0</v>
      </c>
      <c r="P174" s="31">
        <f t="shared" si="81"/>
        <v>0</v>
      </c>
      <c r="Q174" s="31">
        <f t="shared" si="81"/>
        <v>0</v>
      </c>
      <c r="R174" s="31">
        <f t="shared" si="81"/>
        <v>0</v>
      </c>
      <c r="S174" s="31">
        <f t="shared" si="81"/>
        <v>0</v>
      </c>
      <c r="T174" s="31">
        <f t="shared" si="81"/>
        <v>0</v>
      </c>
      <c r="U174" s="31">
        <f t="shared" si="81"/>
        <v>0</v>
      </c>
      <c r="V174" s="31">
        <f t="shared" si="81"/>
        <v>0</v>
      </c>
      <c r="W174" s="31">
        <f t="shared" si="81"/>
        <v>0</v>
      </c>
      <c r="X174" s="31">
        <f t="shared" si="81"/>
        <v>0</v>
      </c>
      <c r="Y174" s="37">
        <f t="shared" si="67"/>
        <v>0</v>
      </c>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3:80">
      <c r="C175" s="1" t="s">
        <v>382</v>
      </c>
      <c r="E175" s="31">
        <f t="shared" ref="E175:X175" si="82">E138-E137</f>
        <v>0</v>
      </c>
      <c r="F175" s="31">
        <f t="shared" si="82"/>
        <v>0</v>
      </c>
      <c r="G175" s="31">
        <f t="shared" si="82"/>
        <v>0</v>
      </c>
      <c r="H175" s="31">
        <f t="shared" si="82"/>
        <v>0</v>
      </c>
      <c r="I175" s="31">
        <f t="shared" si="82"/>
        <v>0</v>
      </c>
      <c r="J175" s="31">
        <f t="shared" si="82"/>
        <v>0</v>
      </c>
      <c r="K175" s="31">
        <f t="shared" si="82"/>
        <v>0</v>
      </c>
      <c r="L175" s="31">
        <f t="shared" si="82"/>
        <v>0</v>
      </c>
      <c r="M175" s="31">
        <f t="shared" si="82"/>
        <v>0</v>
      </c>
      <c r="N175" s="31">
        <f t="shared" si="82"/>
        <v>0</v>
      </c>
      <c r="O175" s="31">
        <f t="shared" si="82"/>
        <v>0</v>
      </c>
      <c r="P175" s="31">
        <f t="shared" si="82"/>
        <v>0</v>
      </c>
      <c r="Q175" s="31">
        <f t="shared" si="82"/>
        <v>0</v>
      </c>
      <c r="R175" s="31">
        <f t="shared" si="82"/>
        <v>0</v>
      </c>
      <c r="S175" s="31">
        <f t="shared" si="82"/>
        <v>0</v>
      </c>
      <c r="T175" s="31">
        <f t="shared" si="82"/>
        <v>0</v>
      </c>
      <c r="U175" s="31">
        <f t="shared" si="82"/>
        <v>0</v>
      </c>
      <c r="V175" s="31">
        <f t="shared" si="82"/>
        <v>0</v>
      </c>
      <c r="W175" s="31">
        <f t="shared" si="82"/>
        <v>0</v>
      </c>
      <c r="X175" s="31">
        <f t="shared" si="82"/>
        <v>0</v>
      </c>
      <c r="Y175" s="37">
        <f t="shared" si="67"/>
        <v>0</v>
      </c>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3:80">
      <c r="C176" s="1" t="s">
        <v>385</v>
      </c>
      <c r="E176" s="31">
        <f t="shared" ref="E176:X176" si="83">E139-E138</f>
        <v>0</v>
      </c>
      <c r="F176" s="31">
        <f t="shared" si="83"/>
        <v>0</v>
      </c>
      <c r="G176" s="31">
        <f t="shared" si="83"/>
        <v>0</v>
      </c>
      <c r="H176" s="31">
        <f t="shared" si="83"/>
        <v>0</v>
      </c>
      <c r="I176" s="31">
        <f t="shared" si="83"/>
        <v>0</v>
      </c>
      <c r="J176" s="31">
        <f t="shared" si="83"/>
        <v>0</v>
      </c>
      <c r="K176" s="31">
        <f t="shared" si="83"/>
        <v>0</v>
      </c>
      <c r="L176" s="31">
        <f t="shared" si="83"/>
        <v>0</v>
      </c>
      <c r="M176" s="31">
        <f t="shared" si="83"/>
        <v>0</v>
      </c>
      <c r="N176" s="31">
        <f t="shared" si="83"/>
        <v>0</v>
      </c>
      <c r="O176" s="31">
        <f t="shared" si="83"/>
        <v>0</v>
      </c>
      <c r="P176" s="31">
        <f t="shared" si="83"/>
        <v>0</v>
      </c>
      <c r="Q176" s="31">
        <f t="shared" si="83"/>
        <v>0</v>
      </c>
      <c r="R176" s="31">
        <f t="shared" si="83"/>
        <v>0</v>
      </c>
      <c r="S176" s="31">
        <f t="shared" si="83"/>
        <v>0</v>
      </c>
      <c r="T176" s="31">
        <f t="shared" si="83"/>
        <v>0</v>
      </c>
      <c r="U176" s="31">
        <f t="shared" si="83"/>
        <v>0</v>
      </c>
      <c r="V176" s="31">
        <f t="shared" si="83"/>
        <v>0</v>
      </c>
      <c r="W176" s="31">
        <f t="shared" si="83"/>
        <v>0</v>
      </c>
      <c r="X176" s="31">
        <f t="shared" si="83"/>
        <v>0</v>
      </c>
      <c r="Y176" s="37">
        <f t="shared" si="67"/>
        <v>0</v>
      </c>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c r="C177" s="1" t="s">
        <v>388</v>
      </c>
      <c r="E177" s="31">
        <f t="shared" ref="E177:X177" si="84">E140-E139</f>
        <v>0</v>
      </c>
      <c r="F177" s="31">
        <f t="shared" si="84"/>
        <v>0</v>
      </c>
      <c r="G177" s="31">
        <f t="shared" si="84"/>
        <v>0</v>
      </c>
      <c r="H177" s="31">
        <f t="shared" si="84"/>
        <v>0</v>
      </c>
      <c r="I177" s="31">
        <f t="shared" si="84"/>
        <v>0</v>
      </c>
      <c r="J177" s="31">
        <f t="shared" si="84"/>
        <v>0</v>
      </c>
      <c r="K177" s="31">
        <f t="shared" si="84"/>
        <v>0</v>
      </c>
      <c r="L177" s="31">
        <f t="shared" si="84"/>
        <v>0</v>
      </c>
      <c r="M177" s="31">
        <f t="shared" si="84"/>
        <v>0</v>
      </c>
      <c r="N177" s="31">
        <f t="shared" si="84"/>
        <v>0</v>
      </c>
      <c r="O177" s="31">
        <f t="shared" si="84"/>
        <v>0</v>
      </c>
      <c r="P177" s="31">
        <f t="shared" si="84"/>
        <v>0</v>
      </c>
      <c r="Q177" s="31">
        <f t="shared" si="84"/>
        <v>0</v>
      </c>
      <c r="R177" s="31">
        <f t="shared" si="84"/>
        <v>0</v>
      </c>
      <c r="S177" s="31">
        <f t="shared" si="84"/>
        <v>0</v>
      </c>
      <c r="T177" s="31">
        <f t="shared" si="84"/>
        <v>0</v>
      </c>
      <c r="U177" s="31">
        <f t="shared" si="84"/>
        <v>0</v>
      </c>
      <c r="V177" s="31">
        <f t="shared" si="84"/>
        <v>0</v>
      </c>
      <c r="W177" s="31">
        <f t="shared" si="84"/>
        <v>0</v>
      </c>
      <c r="X177" s="31">
        <f t="shared" si="84"/>
        <v>0</v>
      </c>
      <c r="Y177" s="37">
        <f t="shared" si="67"/>
        <v>0</v>
      </c>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c r="C178" s="1" t="s">
        <v>391</v>
      </c>
      <c r="E178" s="31">
        <f t="shared" ref="E178:X178" si="85">E141-E140</f>
        <v>0</v>
      </c>
      <c r="F178" s="31">
        <f t="shared" si="85"/>
        <v>0</v>
      </c>
      <c r="G178" s="31">
        <f t="shared" si="85"/>
        <v>0</v>
      </c>
      <c r="H178" s="31">
        <f t="shared" si="85"/>
        <v>0</v>
      </c>
      <c r="I178" s="31">
        <f t="shared" si="85"/>
        <v>0</v>
      </c>
      <c r="J178" s="31">
        <f t="shared" si="85"/>
        <v>0</v>
      </c>
      <c r="K178" s="31">
        <f t="shared" si="85"/>
        <v>0</v>
      </c>
      <c r="L178" s="31">
        <f t="shared" si="85"/>
        <v>0</v>
      </c>
      <c r="M178" s="31">
        <f t="shared" si="85"/>
        <v>0</v>
      </c>
      <c r="N178" s="31">
        <f t="shared" si="85"/>
        <v>0</v>
      </c>
      <c r="O178" s="31">
        <f t="shared" si="85"/>
        <v>0</v>
      </c>
      <c r="P178" s="31">
        <f t="shared" si="85"/>
        <v>0</v>
      </c>
      <c r="Q178" s="31">
        <f t="shared" si="85"/>
        <v>0</v>
      </c>
      <c r="R178" s="31">
        <f t="shared" si="85"/>
        <v>0</v>
      </c>
      <c r="S178" s="31">
        <f t="shared" si="85"/>
        <v>0</v>
      </c>
      <c r="T178" s="31">
        <f t="shared" si="85"/>
        <v>0</v>
      </c>
      <c r="U178" s="31">
        <f t="shared" si="85"/>
        <v>0</v>
      </c>
      <c r="V178" s="31">
        <f t="shared" si="85"/>
        <v>0</v>
      </c>
      <c r="W178" s="31">
        <f t="shared" si="85"/>
        <v>0</v>
      </c>
      <c r="X178" s="31">
        <f t="shared" si="85"/>
        <v>0</v>
      </c>
      <c r="Y178" s="37">
        <f t="shared" si="67"/>
        <v>0</v>
      </c>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c r="C179" s="1" t="s">
        <v>394</v>
      </c>
      <c r="E179" s="31">
        <f t="shared" ref="E179:X179" si="86">E142-E131</f>
        <v>3.7331535828255547E-4</v>
      </c>
      <c r="F179" s="31">
        <f t="shared" si="86"/>
        <v>0</v>
      </c>
      <c r="G179" s="31">
        <f t="shared" si="86"/>
        <v>0</v>
      </c>
      <c r="H179" s="31">
        <f t="shared" si="86"/>
        <v>0</v>
      </c>
      <c r="I179" s="31">
        <f t="shared" si="86"/>
        <v>0</v>
      </c>
      <c r="J179" s="31">
        <f t="shared" si="86"/>
        <v>0</v>
      </c>
      <c r="K179" s="31">
        <f t="shared" si="86"/>
        <v>0</v>
      </c>
      <c r="L179" s="31">
        <f t="shared" si="86"/>
        <v>0</v>
      </c>
      <c r="M179" s="31">
        <f t="shared" si="86"/>
        <v>0</v>
      </c>
      <c r="N179" s="31">
        <f t="shared" si="86"/>
        <v>0</v>
      </c>
      <c r="O179" s="31">
        <f t="shared" si="86"/>
        <v>0</v>
      </c>
      <c r="P179" s="31">
        <f t="shared" si="86"/>
        <v>0</v>
      </c>
      <c r="Q179" s="31">
        <f t="shared" si="86"/>
        <v>0</v>
      </c>
      <c r="R179" s="31">
        <f t="shared" si="86"/>
        <v>0</v>
      </c>
      <c r="S179" s="31">
        <f t="shared" si="86"/>
        <v>0</v>
      </c>
      <c r="T179" s="31">
        <f t="shared" si="86"/>
        <v>0</v>
      </c>
      <c r="U179" s="31">
        <f t="shared" si="86"/>
        <v>0</v>
      </c>
      <c r="V179" s="31">
        <f t="shared" si="86"/>
        <v>0</v>
      </c>
      <c r="W179" s="31">
        <f t="shared" si="86"/>
        <v>0</v>
      </c>
      <c r="X179" s="31">
        <f t="shared" si="86"/>
        <v>0</v>
      </c>
      <c r="Y179" s="37">
        <f t="shared" si="67"/>
        <v>3.7331535828255547E-4</v>
      </c>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ht="15">
      <c r="C181" s="76" t="s">
        <v>146</v>
      </c>
      <c r="D181" s="76"/>
      <c r="E181" s="77">
        <f t="shared" ref="E181:X181" si="87">SUM(E148:E179)</f>
        <v>1.354329375982686</v>
      </c>
      <c r="F181" s="77">
        <f t="shared" si="87"/>
        <v>0</v>
      </c>
      <c r="G181" s="77">
        <f t="shared" si="87"/>
        <v>0</v>
      </c>
      <c r="H181" s="77">
        <f t="shared" si="87"/>
        <v>0</v>
      </c>
      <c r="I181" s="77">
        <f t="shared" si="87"/>
        <v>0</v>
      </c>
      <c r="J181" s="77">
        <f t="shared" si="87"/>
        <v>0</v>
      </c>
      <c r="K181" s="77">
        <f t="shared" si="87"/>
        <v>0</v>
      </c>
      <c r="L181" s="77">
        <f t="shared" si="87"/>
        <v>0</v>
      </c>
      <c r="M181" s="77">
        <f t="shared" si="87"/>
        <v>0</v>
      </c>
      <c r="N181" s="77">
        <f t="shared" si="87"/>
        <v>0</v>
      </c>
      <c r="O181" s="77">
        <f t="shared" si="87"/>
        <v>0</v>
      </c>
      <c r="P181" s="77">
        <f t="shared" si="87"/>
        <v>0</v>
      </c>
      <c r="Q181" s="77">
        <f t="shared" si="87"/>
        <v>0</v>
      </c>
      <c r="R181" s="77">
        <f t="shared" si="87"/>
        <v>0</v>
      </c>
      <c r="S181" s="77">
        <f t="shared" si="87"/>
        <v>0</v>
      </c>
      <c r="T181" s="77">
        <f t="shared" si="87"/>
        <v>0</v>
      </c>
      <c r="U181" s="77">
        <f t="shared" si="87"/>
        <v>0</v>
      </c>
      <c r="V181" s="77">
        <f t="shared" si="87"/>
        <v>0</v>
      </c>
      <c r="W181" s="77">
        <f t="shared" si="87"/>
        <v>0</v>
      </c>
      <c r="X181" s="77">
        <f t="shared" si="87"/>
        <v>0</v>
      </c>
      <c r="Y181" s="77">
        <f>SUM(Y148:Y179)</f>
        <v>1.354329375982686</v>
      </c>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ht="15">
      <c r="C182" s="76" t="s">
        <v>147</v>
      </c>
      <c r="D182" s="76"/>
      <c r="E182" s="77">
        <f>E181</f>
        <v>1.354329375982686</v>
      </c>
      <c r="F182" s="77">
        <f t="shared" ref="F182:X182" si="88">E182+F181</f>
        <v>1.354329375982686</v>
      </c>
      <c r="G182" s="77">
        <f t="shared" si="88"/>
        <v>1.354329375982686</v>
      </c>
      <c r="H182" s="77">
        <f t="shared" si="88"/>
        <v>1.354329375982686</v>
      </c>
      <c r="I182" s="77">
        <f t="shared" si="88"/>
        <v>1.354329375982686</v>
      </c>
      <c r="J182" s="77">
        <f t="shared" si="88"/>
        <v>1.354329375982686</v>
      </c>
      <c r="K182" s="77">
        <f t="shared" si="88"/>
        <v>1.354329375982686</v>
      </c>
      <c r="L182" s="77">
        <f t="shared" si="88"/>
        <v>1.354329375982686</v>
      </c>
      <c r="M182" s="77">
        <f t="shared" si="88"/>
        <v>1.354329375982686</v>
      </c>
      <c r="N182" s="77">
        <f t="shared" si="88"/>
        <v>1.354329375982686</v>
      </c>
      <c r="O182" s="77">
        <f t="shared" si="88"/>
        <v>1.354329375982686</v>
      </c>
      <c r="P182" s="77">
        <f t="shared" si="88"/>
        <v>1.354329375982686</v>
      </c>
      <c r="Q182" s="77">
        <f t="shared" si="88"/>
        <v>1.354329375982686</v>
      </c>
      <c r="R182" s="77">
        <f t="shared" si="88"/>
        <v>1.354329375982686</v>
      </c>
      <c r="S182" s="77">
        <f t="shared" si="88"/>
        <v>1.354329375982686</v>
      </c>
      <c r="T182" s="77">
        <f t="shared" si="88"/>
        <v>1.354329375982686</v>
      </c>
      <c r="U182" s="77">
        <f t="shared" si="88"/>
        <v>1.354329375982686</v>
      </c>
      <c r="V182" s="77">
        <f t="shared" si="88"/>
        <v>1.354329375982686</v>
      </c>
      <c r="W182" s="77">
        <f t="shared" si="88"/>
        <v>1.354329375982686</v>
      </c>
      <c r="X182" s="77">
        <f t="shared" si="88"/>
        <v>1.354329375982686</v>
      </c>
      <c r="Y182" s="77"/>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4" spans="1:80">
      <c r="E184" s="31"/>
      <c r="F184" s="31"/>
      <c r="G184" s="31"/>
      <c r="H184" s="31"/>
      <c r="I184" s="31"/>
      <c r="J184" s="31"/>
      <c r="K184" s="31"/>
      <c r="L184" s="31"/>
      <c r="M184" s="31"/>
      <c r="N184" s="31"/>
      <c r="O184" s="31"/>
      <c r="P184" s="31"/>
      <c r="Q184" s="31"/>
      <c r="R184" s="31"/>
      <c r="S184" s="31"/>
      <c r="T184" s="31"/>
      <c r="U184" s="31"/>
      <c r="V184" s="31"/>
      <c r="W184" s="31"/>
      <c r="X184" s="31"/>
      <c r="Y184" s="31"/>
    </row>
    <row r="185" spans="1:80">
      <c r="A185" s="1" t="s">
        <v>148</v>
      </c>
      <c r="E185" s="31"/>
      <c r="F185" s="31"/>
      <c r="G185" s="31"/>
      <c r="H185" s="31"/>
      <c r="I185" s="31"/>
      <c r="J185" s="31"/>
      <c r="K185" s="31"/>
      <c r="L185" s="31"/>
      <c r="M185" s="31"/>
      <c r="N185" s="31"/>
      <c r="O185" s="31"/>
      <c r="P185" s="31"/>
      <c r="Q185" s="31"/>
      <c r="R185" s="31"/>
      <c r="S185" s="31"/>
      <c r="T185" s="31"/>
      <c r="U185" s="31"/>
      <c r="V185" s="31"/>
      <c r="W185" s="31"/>
      <c r="X185" s="31"/>
      <c r="Y185" s="31"/>
    </row>
    <row r="186" spans="1:80" customFormat="1"/>
    <row r="187" spans="1:80" customFormat="1"/>
    <row r="188" spans="1:80" customFormat="1"/>
    <row r="189" spans="1:80" ht="15">
      <c r="A189" s="63" t="s">
        <v>149</v>
      </c>
      <c r="B189" s="63"/>
      <c r="E189" s="31"/>
      <c r="F189" s="31"/>
      <c r="G189" s="31"/>
      <c r="H189" s="31"/>
      <c r="I189" s="31"/>
      <c r="J189" s="31"/>
      <c r="K189" s="31"/>
      <c r="L189" s="31"/>
      <c r="M189" s="31"/>
      <c r="N189" s="31"/>
      <c r="O189" s="31"/>
      <c r="P189" s="31"/>
      <c r="Q189" s="31"/>
      <c r="R189" s="31"/>
      <c r="S189" s="31"/>
      <c r="T189" s="31"/>
      <c r="U189" s="31"/>
      <c r="V189" s="31"/>
      <c r="W189" s="31"/>
      <c r="X189" s="31"/>
      <c r="Y189" s="31"/>
      <c r="AA189" s="31"/>
    </row>
    <row r="190" spans="1:80">
      <c r="A190" s="1" t="s">
        <v>150</v>
      </c>
      <c r="C190"/>
      <c r="E190" s="31" t="s">
        <v>151</v>
      </c>
      <c r="F190" s="31"/>
      <c r="G190" s="31"/>
      <c r="H190" s="31"/>
      <c r="I190" s="31"/>
      <c r="J190" s="31"/>
      <c r="K190" s="31"/>
      <c r="L190" s="31"/>
      <c r="M190" s="31"/>
      <c r="N190" s="31"/>
      <c r="O190" s="31"/>
      <c r="P190" s="31"/>
      <c r="Q190" s="31"/>
      <c r="R190" s="31"/>
      <c r="S190" s="31"/>
      <c r="T190" s="31"/>
      <c r="U190" s="31"/>
      <c r="V190" s="31"/>
      <c r="W190" s="31"/>
      <c r="X190" s="31"/>
      <c r="Y190" s="31"/>
      <c r="AA190" s="31"/>
    </row>
    <row r="191" spans="1:80" ht="15">
      <c r="E191" s="78">
        <v>2016</v>
      </c>
      <c r="F191" s="79">
        <v>2017</v>
      </c>
      <c r="G191" s="79">
        <v>2018</v>
      </c>
      <c r="H191" s="79">
        <v>2019</v>
      </c>
      <c r="I191" s="79">
        <v>2020</v>
      </c>
      <c r="J191" s="79">
        <v>2021</v>
      </c>
      <c r="K191" s="79">
        <v>2022</v>
      </c>
      <c r="L191" s="79">
        <v>2023</v>
      </c>
      <c r="M191" s="79">
        <v>2024</v>
      </c>
      <c r="N191" s="79">
        <v>2025</v>
      </c>
      <c r="O191" s="79">
        <v>2026</v>
      </c>
      <c r="P191" s="79">
        <v>2027</v>
      </c>
      <c r="Q191" s="79">
        <v>2028</v>
      </c>
      <c r="R191" s="79">
        <v>2029</v>
      </c>
      <c r="S191" s="79">
        <v>2030</v>
      </c>
      <c r="T191" s="79">
        <v>2031</v>
      </c>
      <c r="U191" s="79">
        <v>2032</v>
      </c>
      <c r="V191" s="79">
        <v>2033</v>
      </c>
      <c r="W191" s="79">
        <v>2034</v>
      </c>
      <c r="X191" s="79">
        <v>2035</v>
      </c>
      <c r="Y191" s="80"/>
      <c r="AA191" s="31"/>
    </row>
    <row r="192" spans="1:80">
      <c r="C192" s="1" t="str">
        <f>C13</f>
        <v>Single Family</v>
      </c>
      <c r="E192" s="31">
        <f>E13-E33/$B23</f>
        <v>50899.624317131558</v>
      </c>
      <c r="F192" s="31">
        <f t="shared" ref="F192:X195" si="89">F13-F33/$B23</f>
        <v>0</v>
      </c>
      <c r="G192" s="31">
        <f t="shared" si="89"/>
        <v>0</v>
      </c>
      <c r="H192" s="31">
        <f t="shared" si="89"/>
        <v>0</v>
      </c>
      <c r="I192" s="31">
        <f t="shared" si="89"/>
        <v>0</v>
      </c>
      <c r="J192" s="31">
        <f t="shared" si="89"/>
        <v>0</v>
      </c>
      <c r="K192" s="31">
        <f t="shared" si="89"/>
        <v>0</v>
      </c>
      <c r="L192" s="31">
        <f t="shared" si="89"/>
        <v>0</v>
      </c>
      <c r="M192" s="31">
        <f t="shared" si="89"/>
        <v>0</v>
      </c>
      <c r="N192" s="31">
        <f t="shared" si="89"/>
        <v>0</v>
      </c>
      <c r="O192" s="31">
        <f t="shared" si="89"/>
        <v>0</v>
      </c>
      <c r="P192" s="31">
        <f t="shared" si="89"/>
        <v>0</v>
      </c>
      <c r="Q192" s="31">
        <f t="shared" si="89"/>
        <v>0</v>
      </c>
      <c r="R192" s="31">
        <f t="shared" si="89"/>
        <v>0</v>
      </c>
      <c r="S192" s="31">
        <f t="shared" si="89"/>
        <v>0</v>
      </c>
      <c r="T192" s="31">
        <f t="shared" si="89"/>
        <v>0</v>
      </c>
      <c r="U192" s="31">
        <f t="shared" si="89"/>
        <v>0</v>
      </c>
      <c r="V192" s="31">
        <f t="shared" si="89"/>
        <v>0</v>
      </c>
      <c r="W192" s="31">
        <f t="shared" si="89"/>
        <v>0</v>
      </c>
      <c r="X192" s="31">
        <f t="shared" si="89"/>
        <v>0</v>
      </c>
      <c r="Y192" s="31"/>
      <c r="AA192" s="31">
        <f t="shared" ref="AA192:AA195" si="90">SUM(E192:Y192)</f>
        <v>50899.624317131558</v>
      </c>
    </row>
    <row r="193" spans="3:27">
      <c r="C193" s="1" t="str">
        <f>C14</f>
        <v>Multifamily - Low Rise</v>
      </c>
      <c r="E193" s="31">
        <f t="shared" ref="E193:T195" si="91">E14-E34/$B24</f>
        <v>18903.191734640481</v>
      </c>
      <c r="F193" s="31">
        <f t="shared" si="91"/>
        <v>0</v>
      </c>
      <c r="G193" s="31">
        <f t="shared" si="91"/>
        <v>0</v>
      </c>
      <c r="H193" s="31">
        <f t="shared" si="91"/>
        <v>0</v>
      </c>
      <c r="I193" s="31">
        <f t="shared" si="91"/>
        <v>0</v>
      </c>
      <c r="J193" s="31">
        <f t="shared" si="91"/>
        <v>0</v>
      </c>
      <c r="K193" s="31">
        <f t="shared" si="91"/>
        <v>0</v>
      </c>
      <c r="L193" s="31">
        <f t="shared" si="91"/>
        <v>0</v>
      </c>
      <c r="M193" s="31">
        <f t="shared" si="91"/>
        <v>0</v>
      </c>
      <c r="N193" s="31">
        <f t="shared" si="91"/>
        <v>0</v>
      </c>
      <c r="O193" s="31">
        <f t="shared" si="91"/>
        <v>0</v>
      </c>
      <c r="P193" s="31">
        <f t="shared" si="91"/>
        <v>0</v>
      </c>
      <c r="Q193" s="31">
        <f t="shared" si="91"/>
        <v>0</v>
      </c>
      <c r="R193" s="31">
        <f t="shared" si="91"/>
        <v>0</v>
      </c>
      <c r="S193" s="31">
        <f t="shared" si="91"/>
        <v>0</v>
      </c>
      <c r="T193" s="31">
        <f t="shared" si="91"/>
        <v>0</v>
      </c>
      <c r="U193" s="31">
        <f t="shared" si="89"/>
        <v>0</v>
      </c>
      <c r="V193" s="31">
        <f t="shared" si="89"/>
        <v>0</v>
      </c>
      <c r="W193" s="31">
        <f t="shared" si="89"/>
        <v>0</v>
      </c>
      <c r="X193" s="31">
        <f t="shared" si="89"/>
        <v>0</v>
      </c>
      <c r="Y193" s="31"/>
      <c r="AA193" s="1">
        <f t="shared" si="90"/>
        <v>18903.191734640481</v>
      </c>
    </row>
    <row r="194" spans="3:27">
      <c r="C194" s="1" t="str">
        <f>C15</f>
        <v>Multifamily - High Rise</v>
      </c>
      <c r="E194" s="31">
        <f t="shared" si="91"/>
        <v>4243.6048116843558</v>
      </c>
      <c r="F194" s="31">
        <f t="shared" si="89"/>
        <v>0</v>
      </c>
      <c r="G194" s="31">
        <f t="shared" si="89"/>
        <v>0</v>
      </c>
      <c r="H194" s="31">
        <f t="shared" si="89"/>
        <v>0</v>
      </c>
      <c r="I194" s="31">
        <f t="shared" si="89"/>
        <v>0</v>
      </c>
      <c r="J194" s="31">
        <f t="shared" si="89"/>
        <v>0</v>
      </c>
      <c r="K194" s="31">
        <f t="shared" si="89"/>
        <v>0</v>
      </c>
      <c r="L194" s="31">
        <f t="shared" si="89"/>
        <v>0</v>
      </c>
      <c r="M194" s="31">
        <f t="shared" si="89"/>
        <v>0</v>
      </c>
      <c r="N194" s="31">
        <f t="shared" si="89"/>
        <v>0</v>
      </c>
      <c r="O194" s="31">
        <f t="shared" si="89"/>
        <v>0</v>
      </c>
      <c r="P194" s="31">
        <f t="shared" si="89"/>
        <v>0</v>
      </c>
      <c r="Q194" s="31">
        <f t="shared" si="89"/>
        <v>0</v>
      </c>
      <c r="R194" s="31">
        <f t="shared" si="89"/>
        <v>0</v>
      </c>
      <c r="S194" s="31">
        <f t="shared" si="89"/>
        <v>0</v>
      </c>
      <c r="T194" s="31">
        <f t="shared" si="89"/>
        <v>0</v>
      </c>
      <c r="U194" s="31">
        <f t="shared" si="89"/>
        <v>0</v>
      </c>
      <c r="V194" s="31">
        <f t="shared" si="89"/>
        <v>0</v>
      </c>
      <c r="W194" s="31">
        <f t="shared" si="89"/>
        <v>0</v>
      </c>
      <c r="X194" s="31">
        <f t="shared" si="89"/>
        <v>0</v>
      </c>
      <c r="Y194" s="31"/>
      <c r="AA194" s="31">
        <f t="shared" si="90"/>
        <v>4243.6048116843558</v>
      </c>
    </row>
    <row r="195" spans="3:27">
      <c r="C195" s="1" t="str">
        <f>C16</f>
        <v>Manufactured</v>
      </c>
      <c r="E195" s="31">
        <f t="shared" si="91"/>
        <v>1518.0590818364665</v>
      </c>
      <c r="F195" s="31">
        <f t="shared" si="89"/>
        <v>0</v>
      </c>
      <c r="G195" s="31">
        <f t="shared" si="89"/>
        <v>0</v>
      </c>
      <c r="H195" s="31">
        <f t="shared" si="89"/>
        <v>0</v>
      </c>
      <c r="I195" s="31">
        <f t="shared" si="89"/>
        <v>0</v>
      </c>
      <c r="J195" s="31">
        <f t="shared" si="89"/>
        <v>0</v>
      </c>
      <c r="K195" s="31">
        <f t="shared" si="89"/>
        <v>0</v>
      </c>
      <c r="L195" s="31">
        <f t="shared" si="89"/>
        <v>0</v>
      </c>
      <c r="M195" s="31">
        <f t="shared" si="89"/>
        <v>0</v>
      </c>
      <c r="N195" s="31">
        <f t="shared" si="89"/>
        <v>0</v>
      </c>
      <c r="O195" s="31">
        <f t="shared" si="89"/>
        <v>0</v>
      </c>
      <c r="P195" s="31">
        <f t="shared" si="89"/>
        <v>0</v>
      </c>
      <c r="Q195" s="31">
        <f t="shared" si="89"/>
        <v>0</v>
      </c>
      <c r="R195" s="31">
        <f t="shared" si="89"/>
        <v>0</v>
      </c>
      <c r="S195" s="31">
        <f t="shared" si="89"/>
        <v>0</v>
      </c>
      <c r="T195" s="31">
        <f t="shared" si="89"/>
        <v>0</v>
      </c>
      <c r="U195" s="31">
        <f t="shared" si="89"/>
        <v>0</v>
      </c>
      <c r="V195" s="31">
        <f t="shared" si="89"/>
        <v>0</v>
      </c>
      <c r="W195" s="31">
        <f t="shared" si="89"/>
        <v>0</v>
      </c>
      <c r="X195" s="31">
        <f t="shared" si="89"/>
        <v>0</v>
      </c>
      <c r="Y195" s="31"/>
      <c r="AA195" s="31">
        <f t="shared" si="90"/>
        <v>1518.0590818364665</v>
      </c>
    </row>
    <row r="196" spans="3:27">
      <c r="E196" s="31"/>
      <c r="F196" s="31"/>
      <c r="G196" s="31"/>
      <c r="H196" s="31"/>
      <c r="I196" s="31"/>
      <c r="J196" s="31"/>
      <c r="K196" s="31"/>
      <c r="L196" s="31"/>
      <c r="M196" s="31"/>
      <c r="N196" s="31"/>
      <c r="O196" s="31"/>
      <c r="P196" s="31"/>
      <c r="Q196" s="31"/>
      <c r="R196" s="31"/>
      <c r="S196" s="31"/>
      <c r="T196" s="31"/>
      <c r="U196" s="31"/>
      <c r="V196" s="31"/>
      <c r="W196" s="31"/>
      <c r="X196" s="31"/>
      <c r="Y196" s="31"/>
    </row>
    <row r="197" spans="3:27">
      <c r="C197" s="1" t="s">
        <v>152</v>
      </c>
      <c r="E197" s="31">
        <f t="shared" ref="E197:X197" si="92">SUM(E192:E195)</f>
        <v>75564.479945292871</v>
      </c>
      <c r="F197" s="31">
        <f t="shared" si="92"/>
        <v>0</v>
      </c>
      <c r="G197" s="31">
        <f t="shared" si="92"/>
        <v>0</v>
      </c>
      <c r="H197" s="31">
        <f t="shared" si="92"/>
        <v>0</v>
      </c>
      <c r="I197" s="31">
        <f t="shared" si="92"/>
        <v>0</v>
      </c>
      <c r="J197" s="31">
        <f t="shared" si="92"/>
        <v>0</v>
      </c>
      <c r="K197" s="31">
        <f t="shared" si="92"/>
        <v>0</v>
      </c>
      <c r="L197" s="31">
        <f t="shared" si="92"/>
        <v>0</v>
      </c>
      <c r="M197" s="31">
        <f t="shared" si="92"/>
        <v>0</v>
      </c>
      <c r="N197" s="31">
        <f t="shared" si="92"/>
        <v>0</v>
      </c>
      <c r="O197" s="31">
        <f t="shared" si="92"/>
        <v>0</v>
      </c>
      <c r="P197" s="31">
        <f t="shared" si="92"/>
        <v>0</v>
      </c>
      <c r="Q197" s="31">
        <f t="shared" si="92"/>
        <v>0</v>
      </c>
      <c r="R197" s="31">
        <f t="shared" si="92"/>
        <v>0</v>
      </c>
      <c r="S197" s="31">
        <f t="shared" si="92"/>
        <v>0</v>
      </c>
      <c r="T197" s="31">
        <f t="shared" si="92"/>
        <v>0</v>
      </c>
      <c r="U197" s="31">
        <f t="shared" si="92"/>
        <v>0</v>
      </c>
      <c r="V197" s="31">
        <f t="shared" si="92"/>
        <v>0</v>
      </c>
      <c r="W197" s="31">
        <f t="shared" si="92"/>
        <v>0</v>
      </c>
      <c r="X197" s="31">
        <f t="shared" si="92"/>
        <v>0</v>
      </c>
      <c r="Y197" s="31"/>
      <c r="AA197" s="31">
        <f>SUM(E197:Y197)</f>
        <v>75564.479945292871</v>
      </c>
    </row>
  </sheetData>
  <mergeCells count="1">
    <mergeCell ref="B1:T6"/>
  </mergeCell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9"/>
  <dimension ref="A1:CB197"/>
  <sheetViews>
    <sheetView topLeftCell="B8" workbookViewId="0">
      <selection activeCell="F13" sqref="F13:X16"/>
    </sheetView>
  </sheetViews>
  <sheetFormatPr defaultRowHeight="12.75"/>
  <cols>
    <col min="1" max="1" width="35" style="1" customWidth="1"/>
    <col min="2" max="2" width="29.28515625" style="1" customWidth="1"/>
    <col min="3" max="3" width="19.85546875" style="1" customWidth="1"/>
    <col min="4" max="4" width="27.28515625" style="1" customWidth="1"/>
    <col min="5" max="5" width="10.7109375" style="1" customWidth="1"/>
    <col min="6" max="25" width="9.5703125" style="1" bestFit="1" customWidth="1"/>
    <col min="26" max="28" width="9.140625" style="1"/>
    <col min="29" max="29" width="21.7109375" style="1" customWidth="1"/>
    <col min="30" max="30" width="35.85546875" style="1" customWidth="1"/>
    <col min="31" max="31" width="35.28515625" style="1" customWidth="1"/>
    <col min="32" max="32" width="15" style="1" customWidth="1"/>
    <col min="33" max="33" width="17.7109375" style="1" customWidth="1"/>
    <col min="34" max="34" width="15.140625" style="1" customWidth="1"/>
    <col min="35" max="35" width="15.7109375" style="1" customWidth="1"/>
    <col min="36" max="36" width="21.28515625" style="1" customWidth="1"/>
    <col min="37" max="37" width="17.7109375" style="1" bestFit="1" customWidth="1"/>
    <col min="38" max="38" width="15.42578125" style="1" bestFit="1" customWidth="1"/>
    <col min="39" max="39" width="14.28515625" style="1" bestFit="1" customWidth="1"/>
    <col min="40" max="40" width="14.28515625" style="1" customWidth="1"/>
    <col min="41" max="41" width="12.5703125" style="1" customWidth="1"/>
    <col min="42" max="42" width="14" style="1" bestFit="1" customWidth="1"/>
    <col min="43" max="44" width="10.85546875" style="1" bestFit="1" customWidth="1"/>
    <col min="45" max="45" width="13.42578125" style="1" customWidth="1"/>
    <col min="46" max="46" width="11.85546875" style="1" bestFit="1" customWidth="1"/>
    <col min="47" max="47" width="11" style="1" bestFit="1" customWidth="1"/>
    <col min="48" max="48" width="14.28515625" style="1" bestFit="1" customWidth="1"/>
    <col min="49" max="49" width="10.7109375" style="1" customWidth="1"/>
    <col min="50" max="50" width="13.85546875" style="1" bestFit="1" customWidth="1"/>
    <col min="51" max="51" width="11.7109375" style="1" bestFit="1" customWidth="1"/>
    <col min="52" max="52" width="15.28515625" style="1" bestFit="1" customWidth="1"/>
    <col min="53" max="55" width="12.28515625" style="1" bestFit="1" customWidth="1"/>
    <col min="56" max="56" width="12.5703125" style="1" bestFit="1" customWidth="1"/>
    <col min="57" max="59" width="14.28515625" style="1" bestFit="1" customWidth="1"/>
    <col min="60" max="60" width="13.7109375" style="1" bestFit="1" customWidth="1"/>
    <col min="61" max="61" width="14" style="1" bestFit="1" customWidth="1"/>
    <col min="62" max="62" width="12.85546875" style="1" bestFit="1" customWidth="1"/>
    <col min="63" max="63" width="15.28515625" style="1" bestFit="1" customWidth="1"/>
    <col min="64" max="64" width="12.28515625" style="1" bestFit="1" customWidth="1"/>
    <col min="65" max="65" width="10.85546875" style="1" bestFit="1" customWidth="1"/>
    <col min="66" max="66" width="12.28515625" style="1" bestFit="1" customWidth="1"/>
    <col min="67" max="67" width="12.5703125" style="1" bestFit="1" customWidth="1"/>
    <col min="68" max="16384" width="9.140625" style="1"/>
  </cols>
  <sheetData>
    <row r="1" spans="1:69">
      <c r="A1" s="54" t="s">
        <v>59</v>
      </c>
      <c r="B1" s="518" t="s">
        <v>60</v>
      </c>
      <c r="C1" s="518"/>
      <c r="D1" s="518"/>
      <c r="E1" s="518"/>
      <c r="F1" s="518"/>
      <c r="G1" s="518"/>
      <c r="H1" s="518"/>
      <c r="I1" s="518"/>
      <c r="J1" s="518"/>
      <c r="K1" s="518"/>
      <c r="L1" s="518"/>
      <c r="M1" s="518"/>
      <c r="N1" s="518"/>
      <c r="O1" s="518"/>
      <c r="P1" s="518"/>
      <c r="Q1" s="518"/>
      <c r="R1" s="518"/>
      <c r="S1" s="518"/>
      <c r="T1" s="518"/>
    </row>
    <row r="2" spans="1:69">
      <c r="A2" s="55" t="s">
        <v>61</v>
      </c>
      <c r="B2" s="518"/>
      <c r="C2" s="518"/>
      <c r="D2" s="518"/>
      <c r="E2" s="518"/>
      <c r="F2" s="518"/>
      <c r="G2" s="518"/>
      <c r="H2" s="518"/>
      <c r="I2" s="518"/>
      <c r="J2" s="518"/>
      <c r="K2" s="518"/>
      <c r="L2" s="518"/>
      <c r="M2" s="518"/>
      <c r="N2" s="518"/>
      <c r="O2" s="518"/>
      <c r="P2" s="518"/>
      <c r="Q2" s="518"/>
      <c r="R2" s="518"/>
      <c r="S2" s="518"/>
      <c r="T2" s="518"/>
    </row>
    <row r="3" spans="1:69">
      <c r="B3" s="518"/>
      <c r="C3" s="518"/>
      <c r="D3" s="518"/>
      <c r="E3" s="518"/>
      <c r="F3" s="518"/>
      <c r="G3" s="518"/>
      <c r="H3" s="518"/>
      <c r="I3" s="518"/>
      <c r="J3" s="518"/>
      <c r="K3" s="518"/>
      <c r="L3" s="518"/>
      <c r="M3" s="518"/>
      <c r="N3" s="518"/>
      <c r="O3" s="518"/>
      <c r="P3" s="518"/>
      <c r="Q3" s="518"/>
      <c r="R3" s="518"/>
      <c r="S3" s="518"/>
      <c r="T3" s="518"/>
    </row>
    <row r="4" spans="1:69">
      <c r="B4" s="518"/>
      <c r="C4" s="518"/>
      <c r="D4" s="518"/>
      <c r="E4" s="518"/>
      <c r="F4" s="518"/>
      <c r="G4" s="518"/>
      <c r="H4" s="518"/>
      <c r="I4" s="518"/>
      <c r="J4" s="518"/>
      <c r="K4" s="518"/>
      <c r="L4" s="518"/>
      <c r="M4" s="518"/>
      <c r="N4" s="518"/>
      <c r="O4" s="518"/>
      <c r="P4" s="518"/>
      <c r="Q4" s="518"/>
      <c r="R4" s="518"/>
      <c r="S4" s="518"/>
      <c r="T4" s="518"/>
    </row>
    <row r="5" spans="1:69">
      <c r="B5" s="518"/>
      <c r="C5" s="518"/>
      <c r="D5" s="518"/>
      <c r="E5" s="518"/>
      <c r="F5" s="518"/>
      <c r="G5" s="518"/>
      <c r="H5" s="518"/>
      <c r="I5" s="518"/>
      <c r="J5" s="518"/>
      <c r="K5" s="518"/>
      <c r="L5" s="518"/>
      <c r="M5" s="518"/>
      <c r="N5" s="518"/>
      <c r="O5" s="518"/>
      <c r="P5" s="518"/>
      <c r="Q5" s="518"/>
      <c r="R5" s="518"/>
      <c r="S5" s="518"/>
      <c r="T5" s="518"/>
    </row>
    <row r="6" spans="1:69">
      <c r="B6" s="518"/>
      <c r="C6" s="518"/>
      <c r="D6" s="518"/>
      <c r="E6" s="518"/>
      <c r="F6" s="518"/>
      <c r="G6" s="518"/>
      <c r="H6" s="518"/>
      <c r="I6" s="518"/>
      <c r="J6" s="518"/>
      <c r="K6" s="518"/>
      <c r="L6" s="518"/>
      <c r="M6" s="518"/>
      <c r="N6" s="518"/>
      <c r="O6" s="518"/>
      <c r="P6" s="518"/>
      <c r="Q6" s="518"/>
      <c r="R6" s="518"/>
      <c r="S6" s="518"/>
      <c r="T6" s="518"/>
    </row>
    <row r="7" spans="1:69">
      <c r="A7" s="481"/>
      <c r="B7" s="481" t="s">
        <v>62</v>
      </c>
      <c r="C7" s="56" t="s">
        <v>63</v>
      </c>
      <c r="D7" s="56" t="s">
        <v>63</v>
      </c>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row>
    <row r="8" spans="1:69">
      <c r="A8" s="481" t="s">
        <v>810</v>
      </c>
      <c r="B8" s="481" t="s">
        <v>64</v>
      </c>
      <c r="C8" s="56" t="str">
        <f>[2]MLIST!$B$9</f>
        <v>Lighting</v>
      </c>
      <c r="D8" s="56" t="str">
        <f>[1]!switch_ForecastState</f>
        <v>Region</v>
      </c>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row>
    <row r="9" spans="1:69">
      <c r="A9" s="481" t="str">
        <f>INDEX([2]ACHIEV!$A$19:$B$100,MATCH(CONCATENATE($C$8," - ",$C$7),[2]ACHIEV!$B$19:$B$100,0),1)</f>
        <v>Lighting</v>
      </c>
      <c r="B9" s="482" t="s">
        <v>65</v>
      </c>
      <c r="C9" s="56">
        <f>[2]FILES!$H$4</f>
        <v>2035</v>
      </c>
      <c r="D9" s="56" t="str">
        <f>[1]!switch_ForecastScenario</f>
        <v>Base</v>
      </c>
      <c r="E9" s="58"/>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row>
    <row r="10" spans="1:69">
      <c r="A10" s="481"/>
      <c r="B10" s="481" t="s">
        <v>813</v>
      </c>
      <c r="C10" s="483">
        <f>MIN(SUM(E105:X105),Y105)</f>
        <v>80.597154902305064</v>
      </c>
      <c r="D10" s="59"/>
      <c r="E10" s="58"/>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row>
    <row r="11" spans="1:69" ht="15">
      <c r="A11" s="60" t="str">
        <f>CONCATENATE("# HOMES AVAILABLE FOR MEASURE -",$C$8)</f>
        <v># HOMES AVAILABLE FOR MEASURE -Lighting</v>
      </c>
      <c r="B11" s="60"/>
      <c r="C11" s="1" t="s">
        <v>66</v>
      </c>
      <c r="E11" s="67">
        <v>2016</v>
      </c>
      <c r="F11" s="67">
        <v>2017</v>
      </c>
      <c r="G11" s="67">
        <v>2018</v>
      </c>
      <c r="H11" s="67">
        <v>2019</v>
      </c>
      <c r="I11" s="67">
        <v>2020</v>
      </c>
      <c r="J11" s="67">
        <v>2021</v>
      </c>
      <c r="K11" s="67">
        <v>2022</v>
      </c>
      <c r="L11" s="67">
        <v>2023</v>
      </c>
      <c r="M11" s="67">
        <v>2024</v>
      </c>
      <c r="N11" s="67">
        <v>2025</v>
      </c>
      <c r="O11" s="67">
        <v>2026</v>
      </c>
      <c r="P11" s="67">
        <v>2027</v>
      </c>
      <c r="Q11" s="67">
        <v>2028</v>
      </c>
      <c r="R11" s="67">
        <v>2029</v>
      </c>
      <c r="S11" s="67">
        <v>2030</v>
      </c>
      <c r="T11" s="67">
        <v>2031</v>
      </c>
      <c r="U11" s="67">
        <v>2032</v>
      </c>
      <c r="V11" s="67">
        <v>2033</v>
      </c>
      <c r="W11" s="67">
        <v>2034</v>
      </c>
      <c r="X11" s="67">
        <v>2035</v>
      </c>
      <c r="Y11" s="67"/>
      <c r="Z11" s="67"/>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row>
    <row r="12" spans="1:69" ht="15">
      <c r="E12" s="69" t="str">
        <f>CONCATENATE("Homes_",E11)</f>
        <v>Homes_2016</v>
      </c>
      <c r="F12" s="69" t="str">
        <f t="shared" ref="F12:X12" si="0">CONCATENATE("Homes_",F11)</f>
        <v>Homes_2017</v>
      </c>
      <c r="G12" s="69" t="str">
        <f t="shared" si="0"/>
        <v>Homes_2018</v>
      </c>
      <c r="H12" s="69" t="str">
        <f t="shared" si="0"/>
        <v>Homes_2019</v>
      </c>
      <c r="I12" s="69" t="str">
        <f t="shared" si="0"/>
        <v>Homes_2020</v>
      </c>
      <c r="J12" s="69" t="str">
        <f t="shared" si="0"/>
        <v>Homes_2021</v>
      </c>
      <c r="K12" s="69" t="str">
        <f t="shared" si="0"/>
        <v>Homes_2022</v>
      </c>
      <c r="L12" s="69" t="str">
        <f t="shared" si="0"/>
        <v>Homes_2023</v>
      </c>
      <c r="M12" s="69" t="str">
        <f t="shared" si="0"/>
        <v>Homes_2024</v>
      </c>
      <c r="N12" s="69" t="str">
        <f t="shared" si="0"/>
        <v>Homes_2025</v>
      </c>
      <c r="O12" s="69" t="str">
        <f t="shared" si="0"/>
        <v>Homes_2026</v>
      </c>
      <c r="P12" s="69" t="str">
        <f t="shared" si="0"/>
        <v>Homes_2027</v>
      </c>
      <c r="Q12" s="69" t="str">
        <f t="shared" si="0"/>
        <v>Homes_2028</v>
      </c>
      <c r="R12" s="69" t="str">
        <f t="shared" si="0"/>
        <v>Homes_2029</v>
      </c>
      <c r="S12" s="69" t="str">
        <f t="shared" si="0"/>
        <v>Homes_2030</v>
      </c>
      <c r="T12" s="69" t="str">
        <f t="shared" si="0"/>
        <v>Homes_2031</v>
      </c>
      <c r="U12" s="69" t="str">
        <f t="shared" si="0"/>
        <v>Homes_2032</v>
      </c>
      <c r="V12" s="69" t="str">
        <f t="shared" si="0"/>
        <v>Homes_2033</v>
      </c>
      <c r="W12" s="69" t="str">
        <f t="shared" si="0"/>
        <v>Homes_2034</v>
      </c>
      <c r="X12" s="69" t="str">
        <f t="shared" si="0"/>
        <v>Homes_2035</v>
      </c>
      <c r="Y12" s="70"/>
      <c r="Z12" s="69"/>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row>
    <row r="13" spans="1:69">
      <c r="B13" s="1" t="s">
        <v>63</v>
      </c>
      <c r="C13" s="1" t="s">
        <v>29</v>
      </c>
      <c r="E13" s="31"/>
      <c r="F13" s="31">
        <f>INDEX([1]!tbl_Forecast,MATCH($D$8&amp;$C13&amp;$D$7,[1]!rng_ForecastRowLookup,0),MATCH(F$11,[1]!rng_ForecastColumnLookup,0))</f>
        <v>59961.781000000003</v>
      </c>
      <c r="G13" s="31">
        <f>INDEX([1]!tbl_Forecast,MATCH($D$8&amp;$C13&amp;$D$7,[1]!rng_ForecastRowLookup,0),MATCH(G$11,[1]!rng_ForecastColumnLookup,0))</f>
        <v>56834.012000000002</v>
      </c>
      <c r="H13" s="31">
        <f>INDEX([1]!tbl_Forecast,MATCH($D$8&amp;$C13&amp;$D$7,[1]!rng_ForecastRowLookup,0),MATCH(H$11,[1]!rng_ForecastColumnLookup,0))</f>
        <v>54985.192999999999</v>
      </c>
      <c r="I13" s="31">
        <f>INDEX([1]!tbl_Forecast,MATCH($D$8&amp;$C13&amp;$D$7,[1]!rng_ForecastRowLookup,0),MATCH(I$11,[1]!rng_ForecastColumnLookup,0))</f>
        <v>53507.474000000002</v>
      </c>
      <c r="J13" s="31">
        <f>INDEX([1]!tbl_Forecast,MATCH($D$8&amp;$C13&amp;$D$7,[1]!rng_ForecastRowLookup,0),MATCH(J$11,[1]!rng_ForecastColumnLookup,0))</f>
        <v>50982.05</v>
      </c>
      <c r="K13" s="31">
        <f>INDEX([1]!tbl_Forecast,MATCH($D$8&amp;$C13&amp;$D$7,[1]!rng_ForecastRowLookup,0),MATCH(K$11,[1]!rng_ForecastColumnLookup,0))</f>
        <v>49561.669000000002</v>
      </c>
      <c r="L13" s="31">
        <f>INDEX([1]!tbl_Forecast,MATCH($D$8&amp;$C13&amp;$D$7,[1]!rng_ForecastRowLookup,0),MATCH(L$11,[1]!rng_ForecastColumnLookup,0))</f>
        <v>49324.517999999996</v>
      </c>
      <c r="M13" s="31">
        <f>INDEX([1]!tbl_Forecast,MATCH($D$8&amp;$C13&amp;$D$7,[1]!rng_ForecastRowLookup,0),MATCH(M$11,[1]!rng_ForecastColumnLookup,0))</f>
        <v>48815.77</v>
      </c>
      <c r="N13" s="31">
        <f>INDEX([1]!tbl_Forecast,MATCH($D$8&amp;$C13&amp;$D$7,[1]!rng_ForecastRowLookup,0),MATCH(N$11,[1]!rng_ForecastColumnLookup,0))</f>
        <v>49683.252</v>
      </c>
      <c r="O13" s="31">
        <f>INDEX([1]!tbl_Forecast,MATCH($D$8&amp;$C13&amp;$D$7,[1]!rng_ForecastRowLookup,0),MATCH(O$11,[1]!rng_ForecastColumnLookup,0))</f>
        <v>50030.137000000002</v>
      </c>
      <c r="P13" s="31">
        <f>INDEX([1]!tbl_Forecast,MATCH($D$8&amp;$C13&amp;$D$7,[1]!rng_ForecastRowLookup,0),MATCH(P$11,[1]!rng_ForecastColumnLookup,0))</f>
        <v>49387.762999999999</v>
      </c>
      <c r="Q13" s="31">
        <f>INDEX([1]!tbl_Forecast,MATCH($D$8&amp;$C13&amp;$D$7,[1]!rng_ForecastRowLookup,0),MATCH(Q$11,[1]!rng_ForecastColumnLookup,0))</f>
        <v>48079.345999999998</v>
      </c>
      <c r="R13" s="31">
        <f>INDEX([1]!tbl_Forecast,MATCH($D$8&amp;$C13&amp;$D$7,[1]!rng_ForecastRowLookup,0),MATCH(R$11,[1]!rng_ForecastColumnLookup,0))</f>
        <v>48129.050999999999</v>
      </c>
      <c r="S13" s="31">
        <f>INDEX([1]!tbl_Forecast,MATCH($D$8&amp;$C13&amp;$D$7,[1]!rng_ForecastRowLookup,0),MATCH(S$11,[1]!rng_ForecastColumnLookup,0))</f>
        <v>48690.569000000003</v>
      </c>
      <c r="T13" s="31">
        <f>INDEX([1]!tbl_Forecast,MATCH($D$8&amp;$C13&amp;$D$7,[1]!rng_ForecastRowLookup,0),MATCH(T$11,[1]!rng_ForecastColumnLookup,0))</f>
        <v>48482.864000000001</v>
      </c>
      <c r="U13" s="31">
        <f>INDEX([1]!tbl_Forecast,MATCH($D$8&amp;$C13&amp;$D$7,[1]!rng_ForecastRowLookup,0),MATCH(U$11,[1]!rng_ForecastColumnLookup,0))</f>
        <v>46879.000999999997</v>
      </c>
      <c r="V13" s="31">
        <f>INDEX([1]!tbl_Forecast,MATCH($D$8&amp;$C13&amp;$D$7,[1]!rng_ForecastRowLookup,0),MATCH(V$11,[1]!rng_ForecastColumnLookup,0))</f>
        <v>46798.777999999998</v>
      </c>
      <c r="W13" s="31">
        <f>INDEX([1]!tbl_Forecast,MATCH($D$8&amp;$C13&amp;$D$7,[1]!rng_ForecastRowLookup,0),MATCH(W$11,[1]!rng_ForecastColumnLookup,0))</f>
        <v>46917.627</v>
      </c>
      <c r="X13" s="31">
        <f>INDEX([1]!tbl_Forecast,MATCH($D$8&amp;$C13&amp;$D$7,[1]!rng_ForecastRowLookup,0),MATCH(X$11,[1]!rng_ForecastColumnLookup,0))</f>
        <v>47236.144999999997</v>
      </c>
      <c r="Y13" s="31"/>
      <c r="Z13" s="31"/>
      <c r="AA13" s="31">
        <f>SUM(E13:X13)</f>
        <v>954287.00000000012</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row>
    <row r="14" spans="1:69">
      <c r="B14" s="1" t="s">
        <v>63</v>
      </c>
      <c r="C14" s="1" t="s">
        <v>32</v>
      </c>
      <c r="E14" s="31"/>
      <c r="F14" s="31">
        <f>INDEX([1]!tbl_Forecast,MATCH($D$8&amp;$C14&amp;$D$7,[1]!rng_ForecastRowLookup,0),MATCH(F$11,[1]!rng_ForecastColumnLookup,0))</f>
        <v>23017.418106038647</v>
      </c>
      <c r="G14" s="31">
        <f>INDEX([1]!tbl_Forecast,MATCH($D$8&amp;$C14&amp;$D$7,[1]!rng_ForecastRowLookup,0),MATCH(G$11,[1]!rng_ForecastColumnLookup,0))</f>
        <v>22811.60852767331</v>
      </c>
      <c r="H14" s="31">
        <f>INDEX([1]!tbl_Forecast,MATCH($D$8&amp;$C14&amp;$D$7,[1]!rng_ForecastRowLookup,0),MATCH(H$11,[1]!rng_ForecastColumnLookup,0))</f>
        <v>22085.916378202593</v>
      </c>
      <c r="I14" s="31">
        <f>INDEX([1]!tbl_Forecast,MATCH($D$8&amp;$C14&amp;$D$7,[1]!rng_ForecastRowLookup,0),MATCH(I$11,[1]!rng_ForecastColumnLookup,0))</f>
        <v>20817.853908138593</v>
      </c>
      <c r="J14" s="31">
        <f>INDEX([1]!tbl_Forecast,MATCH($D$8&amp;$C14&amp;$D$7,[1]!rng_ForecastRowLookup,0),MATCH(J$11,[1]!rng_ForecastColumnLookup,0))</f>
        <v>20070.279329962508</v>
      </c>
      <c r="K14" s="31">
        <f>INDEX([1]!tbl_Forecast,MATCH($D$8&amp;$C14&amp;$D$7,[1]!rng_ForecastRowLookup,0),MATCH(K$11,[1]!rng_ForecastColumnLookup,0))</f>
        <v>19887.831284331631</v>
      </c>
      <c r="L14" s="31">
        <f>INDEX([1]!tbl_Forecast,MATCH($D$8&amp;$C14&amp;$D$7,[1]!rng_ForecastRowLookup,0),MATCH(L$11,[1]!rng_ForecastColumnLookup,0))</f>
        <v>20257.583209811291</v>
      </c>
      <c r="M14" s="31">
        <f>INDEX([1]!tbl_Forecast,MATCH($D$8&amp;$C14&amp;$D$7,[1]!rng_ForecastRowLookup,0),MATCH(M$11,[1]!rng_ForecastColumnLookup,0))</f>
        <v>20750.368029493613</v>
      </c>
      <c r="N14" s="31">
        <f>INDEX([1]!tbl_Forecast,MATCH($D$8&amp;$C14&amp;$D$7,[1]!rng_ForecastRowLookup,0),MATCH(N$11,[1]!rng_ForecastColumnLookup,0))</f>
        <v>21314.334279744231</v>
      </c>
      <c r="O14" s="31">
        <f>INDEX([1]!tbl_Forecast,MATCH($D$8&amp;$C14&amp;$D$7,[1]!rng_ForecastRowLookup,0),MATCH(O$11,[1]!rng_ForecastColumnLookup,0))</f>
        <v>21403.286239774712</v>
      </c>
      <c r="P14" s="31">
        <f>INDEX([1]!tbl_Forecast,MATCH($D$8&amp;$C14&amp;$D$7,[1]!rng_ForecastRowLookup,0),MATCH(P$11,[1]!rng_ForecastColumnLookup,0))</f>
        <v>21409.137516518917</v>
      </c>
      <c r="Q14" s="31">
        <f>INDEX([1]!tbl_Forecast,MATCH($D$8&amp;$C14&amp;$D$7,[1]!rng_ForecastRowLookup,0),MATCH(Q$11,[1]!rng_ForecastColumnLookup,0))</f>
        <v>21443.358292282628</v>
      </c>
      <c r="R14" s="31">
        <f>INDEX([1]!tbl_Forecast,MATCH($D$8&amp;$C14&amp;$D$7,[1]!rng_ForecastRowLookup,0),MATCH(R$11,[1]!rng_ForecastColumnLookup,0))</f>
        <v>21209.865626522758</v>
      </c>
      <c r="S14" s="31">
        <f>INDEX([1]!tbl_Forecast,MATCH($D$8&amp;$C14&amp;$D$7,[1]!rng_ForecastRowLookup,0),MATCH(S$11,[1]!rng_ForecastColumnLookup,0))</f>
        <v>20954.17798283829</v>
      </c>
      <c r="T14" s="31">
        <f>INDEX([1]!tbl_Forecast,MATCH($D$8&amp;$C14&amp;$D$7,[1]!rng_ForecastRowLookup,0),MATCH(T$11,[1]!rng_ForecastColumnLookup,0))</f>
        <v>20525.44023202754</v>
      </c>
      <c r="U14" s="31">
        <f>INDEX([1]!tbl_Forecast,MATCH($D$8&amp;$C14&amp;$D$7,[1]!rng_ForecastRowLookup,0),MATCH(U$11,[1]!rng_ForecastColumnLookup,0))</f>
        <v>20175.505597554071</v>
      </c>
      <c r="V14" s="31">
        <f>INDEX([1]!tbl_Forecast,MATCH($D$8&amp;$C14&amp;$D$7,[1]!rng_ForecastRowLookup,0),MATCH(V$11,[1]!rng_ForecastColumnLookup,0))</f>
        <v>19919.723927484571</v>
      </c>
      <c r="W14" s="31">
        <f>INDEX([1]!tbl_Forecast,MATCH($D$8&amp;$C14&amp;$D$7,[1]!rng_ForecastRowLookup,0),MATCH(W$11,[1]!rng_ForecastColumnLookup,0))</f>
        <v>19536.194066416414</v>
      </c>
      <c r="X14" s="31">
        <f>INDEX([1]!tbl_Forecast,MATCH($D$8&amp;$C14&amp;$D$7,[1]!rng_ForecastRowLookup,0),MATCH(X$11,[1]!rng_ForecastColumnLookup,0))</f>
        <v>19462.287131015248</v>
      </c>
      <c r="Y14" s="31"/>
      <c r="Z14" s="31"/>
      <c r="AA14" s="31">
        <f t="shared" ref="AA14:AA16" si="1">SUM(E14:X14)</f>
        <v>397052.16966583167</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row>
    <row r="15" spans="1:69">
      <c r="B15" s="1" t="s">
        <v>63</v>
      </c>
      <c r="C15" s="1" t="s">
        <v>33</v>
      </c>
      <c r="E15" s="31"/>
      <c r="F15" s="31">
        <f>INDEX([1]!tbl_Forecast,MATCH($D$8&amp;$C15&amp;$D$7,[1]!rng_ForecastRowLookup,0),MATCH(F$11,[1]!rng_ForecastColumnLookup,0))</f>
        <v>5239.95312759432</v>
      </c>
      <c r="G15" s="31">
        <f>INDEX([1]!tbl_Forecast,MATCH($D$8&amp;$C15&amp;$D$7,[1]!rng_ForecastRowLookup,0),MATCH(G$11,[1]!rng_ForecastColumnLookup,0))</f>
        <v>5271.2612760989568</v>
      </c>
      <c r="H15" s="31">
        <f>INDEX([1]!tbl_Forecast,MATCH($D$8&amp;$C15&amp;$D$7,[1]!rng_ForecastRowLookup,0),MATCH(H$11,[1]!rng_ForecastColumnLookup,0))</f>
        <v>4985.883552972361</v>
      </c>
      <c r="I15" s="31">
        <f>INDEX([1]!tbl_Forecast,MATCH($D$8&amp;$C15&amp;$D$7,[1]!rng_ForecastRowLookup,0),MATCH(I$11,[1]!rng_ForecastColumnLookup,0))</f>
        <v>4608.5912035798974</v>
      </c>
      <c r="J15" s="31">
        <f>INDEX([1]!tbl_Forecast,MATCH($D$8&amp;$C15&amp;$D$7,[1]!rng_ForecastRowLookup,0),MATCH(J$11,[1]!rng_ForecastColumnLookup,0))</f>
        <v>4509.6375960361838</v>
      </c>
      <c r="K15" s="31">
        <f>INDEX([1]!tbl_Forecast,MATCH($D$8&amp;$C15&amp;$D$7,[1]!rng_ForecastRowLookup,0),MATCH(K$11,[1]!rng_ForecastColumnLookup,0))</f>
        <v>4481.760351096189</v>
      </c>
      <c r="L15" s="31">
        <f>INDEX([1]!tbl_Forecast,MATCH($D$8&amp;$C15&amp;$D$7,[1]!rng_ForecastRowLookup,0),MATCH(L$11,[1]!rng_ForecastColumnLookup,0))</f>
        <v>4621.8312800578688</v>
      </c>
      <c r="M15" s="31">
        <f>INDEX([1]!tbl_Forecast,MATCH($D$8&amp;$C15&amp;$D$7,[1]!rng_ForecastRowLookup,0),MATCH(M$11,[1]!rng_ForecastColumnLookup,0))</f>
        <v>4700.9782942419988</v>
      </c>
      <c r="N15" s="31">
        <f>INDEX([1]!tbl_Forecast,MATCH($D$8&amp;$C15&amp;$D$7,[1]!rng_ForecastRowLookup,0),MATCH(N$11,[1]!rng_ForecastColumnLookup,0))</f>
        <v>4828.2391631488581</v>
      </c>
      <c r="O15" s="31">
        <f>INDEX([1]!tbl_Forecast,MATCH($D$8&amp;$C15&amp;$D$7,[1]!rng_ForecastRowLookup,0),MATCH(O$11,[1]!rng_ForecastColumnLookup,0))</f>
        <v>4790.0249139778334</v>
      </c>
      <c r="P15" s="31">
        <f>INDEX([1]!tbl_Forecast,MATCH($D$8&amp;$C15&amp;$D$7,[1]!rng_ForecastRowLookup,0),MATCH(P$11,[1]!rng_ForecastColumnLookup,0))</f>
        <v>4782.0649962402858</v>
      </c>
      <c r="Q15" s="31">
        <f>INDEX([1]!tbl_Forecast,MATCH($D$8&amp;$C15&amp;$D$7,[1]!rng_ForecastRowLookup,0),MATCH(Q$11,[1]!rng_ForecastColumnLookup,0))</f>
        <v>4748.3908346265653</v>
      </c>
      <c r="R15" s="31">
        <f>INDEX([1]!tbl_Forecast,MATCH($D$8&amp;$C15&amp;$D$7,[1]!rng_ForecastRowLookup,0),MATCH(R$11,[1]!rng_ForecastColumnLookup,0))</f>
        <v>4733.4823682495089</v>
      </c>
      <c r="S15" s="31">
        <f>INDEX([1]!tbl_Forecast,MATCH($D$8&amp;$C15&amp;$D$7,[1]!rng_ForecastRowLookup,0),MATCH(S$11,[1]!rng_ForecastColumnLookup,0))</f>
        <v>4698.697177079107</v>
      </c>
      <c r="T15" s="31">
        <f>INDEX([1]!tbl_Forecast,MATCH($D$8&amp;$C15&amp;$D$7,[1]!rng_ForecastRowLookup,0),MATCH(T$11,[1]!rng_ForecastColumnLookup,0))</f>
        <v>4599.2987885998937</v>
      </c>
      <c r="U15" s="31">
        <f>INDEX([1]!tbl_Forecast,MATCH($D$8&amp;$C15&amp;$D$7,[1]!rng_ForecastRowLookup,0),MATCH(U$11,[1]!rng_ForecastColumnLookup,0))</f>
        <v>4526.3104216428001</v>
      </c>
      <c r="V15" s="31">
        <f>INDEX([1]!tbl_Forecast,MATCH($D$8&amp;$C15&amp;$D$7,[1]!rng_ForecastRowLookup,0),MATCH(V$11,[1]!rng_ForecastColumnLookup,0))</f>
        <v>4422.0600452822764</v>
      </c>
      <c r="W15" s="31">
        <f>INDEX([1]!tbl_Forecast,MATCH($D$8&amp;$C15&amp;$D$7,[1]!rng_ForecastRowLookup,0),MATCH(W$11,[1]!rng_ForecastColumnLookup,0))</f>
        <v>4405.182362066379</v>
      </c>
      <c r="X15" s="31">
        <f>INDEX([1]!tbl_Forecast,MATCH($D$8&amp;$C15&amp;$D$7,[1]!rng_ForecastRowLookup,0),MATCH(X$11,[1]!rng_ForecastColumnLookup,0))</f>
        <v>4385.1136986120664</v>
      </c>
      <c r="Y15" s="31"/>
      <c r="Z15" s="31"/>
      <c r="AA15" s="31">
        <f t="shared" si="1"/>
        <v>89338.761451203362</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row>
    <row r="16" spans="1:69">
      <c r="B16" s="1" t="s">
        <v>63</v>
      </c>
      <c r="C16" s="1" t="s">
        <v>30</v>
      </c>
      <c r="E16" s="31"/>
      <c r="F16" s="31">
        <f>INDEX([1]!tbl_Forecast,MATCH($D$8&amp;$C16&amp;$D$7,[1]!rng_ForecastRowLookup,0),MATCH(F$11,[1]!rng_ForecastColumnLookup,0))</f>
        <v>1881.796305941358</v>
      </c>
      <c r="G16" s="31">
        <f>INDEX([1]!tbl_Forecast,MATCH($D$8&amp;$C16&amp;$D$7,[1]!rng_ForecastRowLookup,0),MATCH(G$11,[1]!rng_ForecastColumnLookup,0))</f>
        <v>1949.1340235982509</v>
      </c>
      <c r="H16" s="31">
        <f>INDEX([1]!tbl_Forecast,MATCH($D$8&amp;$C16&amp;$D$7,[1]!rng_ForecastRowLookup,0),MATCH(H$11,[1]!rng_ForecastColumnLookup,0))</f>
        <v>2021.1963608646258</v>
      </c>
      <c r="I16" s="31">
        <f>INDEX([1]!tbl_Forecast,MATCH($D$8&amp;$C16&amp;$D$7,[1]!rng_ForecastRowLookup,0),MATCH(I$11,[1]!rng_ForecastColumnLookup,0))</f>
        <v>1959.5061710087307</v>
      </c>
      <c r="J16" s="31">
        <f>INDEX([1]!tbl_Forecast,MATCH($D$8&amp;$C16&amp;$D$7,[1]!rng_ForecastRowLookup,0),MATCH(J$11,[1]!rng_ForecastColumnLookup,0))</f>
        <v>1928.5764356212967</v>
      </c>
      <c r="K16" s="31">
        <f>INDEX([1]!tbl_Forecast,MATCH($D$8&amp;$C16&amp;$D$7,[1]!rng_ForecastRowLookup,0),MATCH(K$11,[1]!rng_ForecastColumnLookup,0))</f>
        <v>1934.9641170211423</v>
      </c>
      <c r="L16" s="31">
        <f>INDEX([1]!tbl_Forecast,MATCH($D$8&amp;$C16&amp;$D$7,[1]!rng_ForecastRowLookup,0),MATCH(L$11,[1]!rng_ForecastColumnLookup,0))</f>
        <v>1945.862235675901</v>
      </c>
      <c r="M16" s="31">
        <f>INDEX([1]!tbl_Forecast,MATCH($D$8&amp;$C16&amp;$D$7,[1]!rng_ForecastRowLookup,0),MATCH(M$11,[1]!rng_ForecastColumnLookup,0))</f>
        <v>1956.539890631658</v>
      </c>
      <c r="N16" s="31">
        <f>INDEX([1]!tbl_Forecast,MATCH($D$8&amp;$C16&amp;$D$7,[1]!rng_ForecastRowLookup,0),MATCH(N$11,[1]!rng_ForecastColumnLookup,0))</f>
        <v>1957.7742018038925</v>
      </c>
      <c r="O16" s="31">
        <f>INDEX([1]!tbl_Forecast,MATCH($D$8&amp;$C16&amp;$D$7,[1]!rng_ForecastRowLookup,0),MATCH(O$11,[1]!rng_ForecastColumnLookup,0))</f>
        <v>1947.2038419604366</v>
      </c>
      <c r="P16" s="31">
        <f>INDEX([1]!tbl_Forecast,MATCH($D$8&amp;$C16&amp;$D$7,[1]!rng_ForecastRowLookup,0),MATCH(P$11,[1]!rng_ForecastColumnLookup,0))</f>
        <v>1945.153453785721</v>
      </c>
      <c r="Q16" s="31">
        <f>INDEX([1]!tbl_Forecast,MATCH($D$8&amp;$C16&amp;$D$7,[1]!rng_ForecastRowLookup,0),MATCH(Q$11,[1]!rng_ForecastColumnLookup,0))</f>
        <v>1947.9162901464586</v>
      </c>
      <c r="R16" s="31">
        <f>INDEX([1]!tbl_Forecast,MATCH($D$8&amp;$C16&amp;$D$7,[1]!rng_ForecastRowLookup,0),MATCH(R$11,[1]!rng_ForecastColumnLookup,0))</f>
        <v>1950.0749856673444</v>
      </c>
      <c r="S16" s="31">
        <f>INDEX([1]!tbl_Forecast,MATCH($D$8&amp;$C16&amp;$D$7,[1]!rng_ForecastRowLookup,0),MATCH(S$11,[1]!rng_ForecastColumnLookup,0))</f>
        <v>1950.7771106659191</v>
      </c>
      <c r="T16" s="31">
        <f>INDEX([1]!tbl_Forecast,MATCH($D$8&amp;$C16&amp;$D$7,[1]!rng_ForecastRowLookup,0),MATCH(T$11,[1]!rng_ForecastColumnLookup,0))</f>
        <v>1949.8166473382953</v>
      </c>
      <c r="U16" s="31">
        <f>INDEX([1]!tbl_Forecast,MATCH($D$8&amp;$C16&amp;$D$7,[1]!rng_ForecastRowLookup,0),MATCH(U$11,[1]!rng_ForecastColumnLookup,0))</f>
        <v>1948.4903882606959</v>
      </c>
      <c r="V16" s="31">
        <f>INDEX([1]!tbl_Forecast,MATCH($D$8&amp;$C16&amp;$D$7,[1]!rng_ForecastRowLookup,0),MATCH(V$11,[1]!rng_ForecastColumnLookup,0))</f>
        <v>1948.7048126440727</v>
      </c>
      <c r="W16" s="31">
        <f>INDEX([1]!tbl_Forecast,MATCH($D$8&amp;$C16&amp;$D$7,[1]!rng_ForecastRowLookup,0),MATCH(W$11,[1]!rng_ForecastColumnLookup,0))</f>
        <v>1949.296705787131</v>
      </c>
      <c r="X16" s="31">
        <f>INDEX([1]!tbl_Forecast,MATCH($D$8&amp;$C16&amp;$D$7,[1]!rng_ForecastRowLookup,0),MATCH(X$11,[1]!rng_ForecastColumnLookup,0))</f>
        <v>1949.5267750605763</v>
      </c>
      <c r="Y16" s="31"/>
      <c r="Z16" s="31"/>
      <c r="AA16" s="31">
        <f t="shared" si="1"/>
        <v>37022.310753483507</v>
      </c>
    </row>
    <row r="17" spans="1:27">
      <c r="E17" s="31"/>
      <c r="F17" s="31"/>
      <c r="G17" s="31"/>
      <c r="H17" s="31"/>
      <c r="I17" s="31"/>
      <c r="J17" s="31"/>
      <c r="K17" s="31"/>
      <c r="L17" s="31"/>
      <c r="M17" s="31"/>
      <c r="N17" s="31"/>
      <c r="O17" s="31"/>
      <c r="P17" s="31"/>
      <c r="Q17" s="31"/>
      <c r="R17" s="31"/>
      <c r="S17" s="31"/>
      <c r="T17" s="31"/>
      <c r="U17" s="31"/>
      <c r="V17" s="31"/>
      <c r="W17" s="31"/>
      <c r="X17" s="31"/>
      <c r="Y17" s="31"/>
    </row>
    <row r="18" spans="1:27">
      <c r="B18" s="1" t="s">
        <v>67</v>
      </c>
      <c r="C18" s="1" t="s">
        <v>68</v>
      </c>
      <c r="E18" s="31">
        <f t="shared" ref="E18:X18" si="2">SUM(E13:E16)</f>
        <v>0</v>
      </c>
      <c r="F18" s="31">
        <f t="shared" si="2"/>
        <v>90100.948539574325</v>
      </c>
      <c r="G18" s="31">
        <f t="shared" si="2"/>
        <v>86866.015827370516</v>
      </c>
      <c r="H18" s="31">
        <f t="shared" si="2"/>
        <v>84078.189292039577</v>
      </c>
      <c r="I18" s="31">
        <f t="shared" si="2"/>
        <v>80893.425282727228</v>
      </c>
      <c r="J18" s="31">
        <f t="shared" si="2"/>
        <v>77490.543361619988</v>
      </c>
      <c r="K18" s="31">
        <f t="shared" si="2"/>
        <v>75866.224752448965</v>
      </c>
      <c r="L18" s="31">
        <f t="shared" si="2"/>
        <v>76149.794725545056</v>
      </c>
      <c r="M18" s="31">
        <f t="shared" si="2"/>
        <v>76223.656214367264</v>
      </c>
      <c r="N18" s="31">
        <f t="shared" si="2"/>
        <v>77783.59964469698</v>
      </c>
      <c r="O18" s="31">
        <f t="shared" si="2"/>
        <v>78170.651995712979</v>
      </c>
      <c r="P18" s="31">
        <f t="shared" si="2"/>
        <v>77524.11896654492</v>
      </c>
      <c r="Q18" s="31">
        <f t="shared" si="2"/>
        <v>76219.011417055648</v>
      </c>
      <c r="R18" s="31">
        <f t="shared" si="2"/>
        <v>76022.473980439609</v>
      </c>
      <c r="S18" s="31">
        <f t="shared" si="2"/>
        <v>76294.221270583323</v>
      </c>
      <c r="T18" s="31">
        <f t="shared" si="2"/>
        <v>75557.419667965733</v>
      </c>
      <c r="U18" s="31">
        <f t="shared" si="2"/>
        <v>73529.307407457556</v>
      </c>
      <c r="V18" s="31">
        <f t="shared" si="2"/>
        <v>73089.266785410931</v>
      </c>
      <c r="W18" s="31">
        <f t="shared" si="2"/>
        <v>72808.300134269928</v>
      </c>
      <c r="X18" s="31">
        <f t="shared" si="2"/>
        <v>73033.072604687884</v>
      </c>
      <c r="Y18" s="31"/>
      <c r="AA18" s="31">
        <f>SUM(E18:X18)</f>
        <v>1477700.2418705183</v>
      </c>
    </row>
    <row r="19" spans="1:27">
      <c r="E19" s="31"/>
      <c r="F19" s="31"/>
      <c r="G19" s="31"/>
      <c r="H19" s="31"/>
      <c r="I19" s="31"/>
      <c r="J19" s="31"/>
      <c r="K19" s="31"/>
      <c r="L19" s="31"/>
      <c r="M19" s="31"/>
      <c r="N19" s="31"/>
      <c r="O19" s="31"/>
      <c r="P19" s="31"/>
      <c r="Q19" s="31"/>
      <c r="R19" s="31"/>
      <c r="S19" s="31"/>
      <c r="T19" s="31"/>
      <c r="U19" s="31"/>
      <c r="V19" s="31"/>
      <c r="W19" s="31"/>
      <c r="X19" s="31"/>
      <c r="Y19" s="31"/>
    </row>
    <row r="20" spans="1:27">
      <c r="E20" s="31"/>
      <c r="F20" s="31"/>
      <c r="G20" s="31"/>
      <c r="H20" s="31"/>
      <c r="I20" s="31"/>
      <c r="J20" s="31"/>
      <c r="K20" s="31"/>
      <c r="L20" s="31"/>
      <c r="M20" s="31"/>
      <c r="N20" s="31"/>
      <c r="O20" s="31"/>
      <c r="P20" s="31"/>
      <c r="Q20" s="31"/>
      <c r="R20" s="31"/>
      <c r="S20" s="31"/>
      <c r="T20" s="31"/>
      <c r="U20" s="31"/>
      <c r="V20" s="31"/>
      <c r="W20" s="31"/>
      <c r="X20" s="31"/>
      <c r="Y20" s="31"/>
    </row>
    <row r="21" spans="1:27" ht="15">
      <c r="A21" s="60" t="str">
        <f>CONCATENATE("# HOMES APPLICABLE BY YEAR FOR MEASURE - ",C22)</f>
        <v># HOMES APPLICABLE BY YEAR FOR MEASURE - Lighting - New</v>
      </c>
      <c r="B21" s="60"/>
      <c r="E21" s="31"/>
      <c r="F21" s="31"/>
      <c r="G21" s="31"/>
      <c r="H21" s="31"/>
      <c r="I21" s="31"/>
      <c r="J21" s="31"/>
      <c r="K21" s="31"/>
      <c r="L21" s="31"/>
      <c r="M21" s="31"/>
      <c r="N21" s="31"/>
      <c r="O21" s="31"/>
      <c r="P21" s="31"/>
      <c r="Q21" s="31"/>
      <c r="R21" s="31"/>
      <c r="S21" s="31"/>
      <c r="T21" s="31"/>
      <c r="U21" s="31"/>
      <c r="V21" s="31"/>
      <c r="W21" s="31"/>
      <c r="X21" s="31"/>
      <c r="Y21" s="31"/>
    </row>
    <row r="22" spans="1:27" ht="15">
      <c r="A22" s="61" t="s">
        <v>69</v>
      </c>
      <c r="B22" s="61" t="s">
        <v>70</v>
      </c>
      <c r="C22" s="61" t="str">
        <f>CONCATENATE(C8," - ",C7)</f>
        <v>Lighting - New</v>
      </c>
      <c r="D22" s="61"/>
    </row>
    <row r="23" spans="1:27">
      <c r="A23" s="62">
        <f>INDEX([2]!ResApplic,MATCH($C$22,[2]APPLIC!$B$9:$B$120,0)+1,MATCH($C23,[2]APPLIC!$C$8:$F$8,0)+1)</f>
        <v>1</v>
      </c>
      <c r="B23" s="139">
        <f>VLOOKUP($C$8,[2]!NewSat,MATCH($C23,[2]SATS!$C$10:$F$10,0)+1,FALSE)</f>
        <v>77</v>
      </c>
      <c r="C23" s="1" t="str">
        <f>C13</f>
        <v>Single Family</v>
      </c>
      <c r="E23" s="31">
        <f>E13*$A23*$B23</f>
        <v>0</v>
      </c>
      <c r="F23" s="31">
        <f t="shared" ref="F23:X26" si="3">F13*$A23*$B23</f>
        <v>4617057.1370000001</v>
      </c>
      <c r="G23" s="31">
        <f t="shared" si="3"/>
        <v>4376218.9240000006</v>
      </c>
      <c r="H23" s="31">
        <f t="shared" si="3"/>
        <v>4233859.8609999996</v>
      </c>
      <c r="I23" s="31">
        <f t="shared" si="3"/>
        <v>4120075.4980000001</v>
      </c>
      <c r="J23" s="31">
        <f t="shared" si="3"/>
        <v>3925617.85</v>
      </c>
      <c r="K23" s="31">
        <f t="shared" si="3"/>
        <v>3816248.5130000003</v>
      </c>
      <c r="L23" s="31">
        <f t="shared" si="3"/>
        <v>3797987.8859999999</v>
      </c>
      <c r="M23" s="31">
        <f t="shared" si="3"/>
        <v>3758814.2899999996</v>
      </c>
      <c r="N23" s="31">
        <f t="shared" si="3"/>
        <v>3825610.4040000001</v>
      </c>
      <c r="O23" s="31">
        <f t="shared" si="3"/>
        <v>3852320.5490000001</v>
      </c>
      <c r="P23" s="31">
        <f t="shared" si="3"/>
        <v>3802857.7509999997</v>
      </c>
      <c r="Q23" s="31">
        <f t="shared" si="3"/>
        <v>3702109.642</v>
      </c>
      <c r="R23" s="31">
        <f t="shared" si="3"/>
        <v>3705936.9270000001</v>
      </c>
      <c r="S23" s="31">
        <f t="shared" si="3"/>
        <v>3749173.8130000001</v>
      </c>
      <c r="T23" s="31">
        <f t="shared" si="3"/>
        <v>3733180.5279999999</v>
      </c>
      <c r="U23" s="31">
        <f t="shared" si="3"/>
        <v>3609683.0769999996</v>
      </c>
      <c r="V23" s="31">
        <f t="shared" si="3"/>
        <v>3603505.906</v>
      </c>
      <c r="W23" s="31">
        <f t="shared" si="3"/>
        <v>3612657.2790000001</v>
      </c>
      <c r="X23" s="31">
        <f t="shared" si="3"/>
        <v>3637183.1649999996</v>
      </c>
      <c r="Y23" s="31"/>
      <c r="AA23" s="31">
        <f t="shared" ref="AA23:AA26" si="4">SUM(E23:Y23)</f>
        <v>73480099.000000015</v>
      </c>
    </row>
    <row r="24" spans="1:27">
      <c r="A24" s="62">
        <f>INDEX([2]!ResApplic,MATCH($C$22,[2]APPLIC!$B$9:$B$120,0)+1,MATCH($C24,[2]APPLIC!$C$8:$F$8,0)+1)</f>
        <v>1</v>
      </c>
      <c r="B24" s="139">
        <f>VLOOKUP($C$8,[2]!NewSat,MATCH($C24,[2]SATS!$C$10:$F$10,0)+1,FALSE)</f>
        <v>23</v>
      </c>
      <c r="C24" s="1" t="str">
        <f>C14</f>
        <v>Multifamily - Low Rise</v>
      </c>
      <c r="E24" s="31">
        <f t="shared" ref="E24:T26" si="5">E14*$A24*$B24</f>
        <v>0</v>
      </c>
      <c r="F24" s="31">
        <f t="shared" si="5"/>
        <v>529400.61643888894</v>
      </c>
      <c r="G24" s="31">
        <f t="shared" si="5"/>
        <v>524666.99613648618</v>
      </c>
      <c r="H24" s="31">
        <f t="shared" si="5"/>
        <v>507976.07669865963</v>
      </c>
      <c r="I24" s="31">
        <f t="shared" si="5"/>
        <v>478810.63988718763</v>
      </c>
      <c r="J24" s="31">
        <f t="shared" si="5"/>
        <v>461616.42458913766</v>
      </c>
      <c r="K24" s="31">
        <f t="shared" si="5"/>
        <v>457420.11953962751</v>
      </c>
      <c r="L24" s="31">
        <f t="shared" si="5"/>
        <v>465924.41382565972</v>
      </c>
      <c r="M24" s="31">
        <f t="shared" si="5"/>
        <v>477258.46467835311</v>
      </c>
      <c r="N24" s="31">
        <f t="shared" si="5"/>
        <v>490229.6884341173</v>
      </c>
      <c r="O24" s="31">
        <f t="shared" si="5"/>
        <v>492275.5835148184</v>
      </c>
      <c r="P24" s="31">
        <f t="shared" si="5"/>
        <v>492410.16287993506</v>
      </c>
      <c r="Q24" s="31">
        <f t="shared" si="5"/>
        <v>493197.24072250043</v>
      </c>
      <c r="R24" s="31">
        <f t="shared" si="5"/>
        <v>487826.90941002342</v>
      </c>
      <c r="S24" s="31">
        <f t="shared" si="5"/>
        <v>481946.09360528068</v>
      </c>
      <c r="T24" s="31">
        <f t="shared" si="5"/>
        <v>472085.12533663341</v>
      </c>
      <c r="U24" s="31">
        <f t="shared" si="3"/>
        <v>464036.62874374364</v>
      </c>
      <c r="V24" s="31">
        <f t="shared" si="3"/>
        <v>458153.6503321451</v>
      </c>
      <c r="W24" s="31">
        <f t="shared" si="3"/>
        <v>449332.46352757752</v>
      </c>
      <c r="X24" s="31">
        <f t="shared" si="3"/>
        <v>447632.60401335068</v>
      </c>
      <c r="Y24" s="31"/>
      <c r="AA24" s="31">
        <f t="shared" si="4"/>
        <v>9132199.9023141246</v>
      </c>
    </row>
    <row r="25" spans="1:27">
      <c r="A25" s="62">
        <f>INDEX([2]!ResApplic,MATCH($C$22,[2]APPLIC!$B$9:$B$120,0)+1,MATCH($C25,[2]APPLIC!$C$8:$F$8,0)+1)</f>
        <v>1</v>
      </c>
      <c r="B25" s="139">
        <f>VLOOKUP($C$8,[2]!NewSat,MATCH($C25,[2]SATS!$C$10:$F$10,0)+1,FALSE)</f>
        <v>23</v>
      </c>
      <c r="C25" s="1" t="str">
        <f>C15</f>
        <v>Multifamily - High Rise</v>
      </c>
      <c r="E25" s="31">
        <f t="shared" si="5"/>
        <v>0</v>
      </c>
      <c r="F25" s="31">
        <f t="shared" si="3"/>
        <v>120518.92193466936</v>
      </c>
      <c r="G25" s="31">
        <f t="shared" si="3"/>
        <v>121239.00935027601</v>
      </c>
      <c r="H25" s="31">
        <f t="shared" si="3"/>
        <v>114675.3217183643</v>
      </c>
      <c r="I25" s="31">
        <f t="shared" si="3"/>
        <v>105997.59768233764</v>
      </c>
      <c r="J25" s="31">
        <f t="shared" si="3"/>
        <v>103721.66470883222</v>
      </c>
      <c r="K25" s="31">
        <f t="shared" si="3"/>
        <v>103080.48807521234</v>
      </c>
      <c r="L25" s="31">
        <f t="shared" si="3"/>
        <v>106302.11944133099</v>
      </c>
      <c r="M25" s="31">
        <f t="shared" si="3"/>
        <v>108122.50076756597</v>
      </c>
      <c r="N25" s="31">
        <f t="shared" si="3"/>
        <v>111049.50075242373</v>
      </c>
      <c r="O25" s="31">
        <f t="shared" si="3"/>
        <v>110170.57302149017</v>
      </c>
      <c r="P25" s="31">
        <f t="shared" si="3"/>
        <v>109987.49491352658</v>
      </c>
      <c r="Q25" s="31">
        <f t="shared" si="3"/>
        <v>109212.989196411</v>
      </c>
      <c r="R25" s="31">
        <f t="shared" si="3"/>
        <v>108870.0944697387</v>
      </c>
      <c r="S25" s="31">
        <f t="shared" si="3"/>
        <v>108070.03507281946</v>
      </c>
      <c r="T25" s="31">
        <f t="shared" si="3"/>
        <v>105783.87213779756</v>
      </c>
      <c r="U25" s="31">
        <f t="shared" si="3"/>
        <v>104105.1396977844</v>
      </c>
      <c r="V25" s="31">
        <f t="shared" si="3"/>
        <v>101707.38104149236</v>
      </c>
      <c r="W25" s="31">
        <f t="shared" si="3"/>
        <v>101319.19432752671</v>
      </c>
      <c r="X25" s="31">
        <f t="shared" si="3"/>
        <v>100857.61506807753</v>
      </c>
      <c r="Y25" s="31"/>
      <c r="AA25" s="31">
        <f t="shared" si="4"/>
        <v>2054791.5133776772</v>
      </c>
    </row>
    <row r="26" spans="1:27">
      <c r="A26" s="62">
        <f>INDEX([2]!ResApplic,MATCH($C$22,[2]APPLIC!$B$9:$B$120,0)+1,MATCH($C26,[2]APPLIC!$C$8:$F$8,0)+1)</f>
        <v>1</v>
      </c>
      <c r="B26" s="139">
        <f>VLOOKUP($C$8,[2]!NewSat,MATCH($C26,[2]SATS!$C$10:$F$10,0)+1,FALSE)</f>
        <v>34.5</v>
      </c>
      <c r="C26" t="s">
        <v>30</v>
      </c>
      <c r="D26"/>
      <c r="E26" s="31">
        <f t="shared" si="5"/>
        <v>0</v>
      </c>
      <c r="F26" s="31">
        <f t="shared" si="3"/>
        <v>64921.972554976848</v>
      </c>
      <c r="G26" s="31">
        <f t="shared" si="3"/>
        <v>67245.123814139661</v>
      </c>
      <c r="H26" s="31">
        <f t="shared" si="3"/>
        <v>69731.274449829594</v>
      </c>
      <c r="I26" s="31">
        <f t="shared" si="3"/>
        <v>67602.962899801205</v>
      </c>
      <c r="J26" s="31">
        <f t="shared" si="3"/>
        <v>66535.88702893474</v>
      </c>
      <c r="K26" s="31">
        <f t="shared" si="3"/>
        <v>66756.262037229404</v>
      </c>
      <c r="L26" s="31">
        <f t="shared" si="3"/>
        <v>67132.247130818592</v>
      </c>
      <c r="M26" s="31">
        <f t="shared" si="3"/>
        <v>67500.626226792199</v>
      </c>
      <c r="N26" s="31">
        <f t="shared" si="3"/>
        <v>67543.209962234294</v>
      </c>
      <c r="O26" s="31">
        <f t="shared" si="3"/>
        <v>67178.53254763507</v>
      </c>
      <c r="P26" s="31">
        <f t="shared" si="3"/>
        <v>67107.794155607378</v>
      </c>
      <c r="Q26" s="31">
        <f t="shared" si="3"/>
        <v>67203.112010052821</v>
      </c>
      <c r="R26" s="31">
        <f t="shared" si="3"/>
        <v>67277.587005523383</v>
      </c>
      <c r="S26" s="31">
        <f t="shared" si="3"/>
        <v>67301.810317974203</v>
      </c>
      <c r="T26" s="31">
        <f t="shared" si="3"/>
        <v>67268.674333171191</v>
      </c>
      <c r="U26" s="31">
        <f t="shared" si="3"/>
        <v>67222.918394994005</v>
      </c>
      <c r="V26" s="31">
        <f t="shared" si="3"/>
        <v>67230.316036220509</v>
      </c>
      <c r="W26" s="31">
        <f t="shared" si="3"/>
        <v>67250.736349656014</v>
      </c>
      <c r="X26" s="31">
        <f t="shared" si="3"/>
        <v>67258.673739589882</v>
      </c>
      <c r="Y26" s="31"/>
      <c r="AA26" s="31">
        <f t="shared" si="4"/>
        <v>1277269.7209951808</v>
      </c>
    </row>
    <row r="27" spans="1:27">
      <c r="E27" s="31"/>
      <c r="F27" s="31"/>
      <c r="G27" s="31"/>
      <c r="H27" s="31"/>
      <c r="I27" s="31"/>
      <c r="J27" s="31"/>
      <c r="K27" s="31"/>
      <c r="L27" s="31"/>
      <c r="M27" s="31"/>
      <c r="N27" s="31"/>
      <c r="O27" s="31"/>
      <c r="P27" s="31"/>
      <c r="Q27" s="31"/>
      <c r="R27" s="31"/>
      <c r="S27" s="31"/>
      <c r="T27" s="31"/>
      <c r="U27" s="31"/>
      <c r="V27" s="31"/>
      <c r="W27" s="31"/>
      <c r="X27" s="31"/>
      <c r="Y27" s="31"/>
    </row>
    <row r="28" spans="1:27">
      <c r="E28" s="31">
        <f t="shared" ref="E28:X28" si="6">SUM(E23:E26)</f>
        <v>0</v>
      </c>
      <c r="F28" s="31">
        <f t="shared" si="6"/>
        <v>5331898.647928535</v>
      </c>
      <c r="G28" s="31">
        <f t="shared" si="6"/>
        <v>5089370.0533009022</v>
      </c>
      <c r="H28" s="31">
        <f t="shared" si="6"/>
        <v>4926242.5338668535</v>
      </c>
      <c r="I28" s="31">
        <f t="shared" si="6"/>
        <v>4772486.6984693259</v>
      </c>
      <c r="J28" s="31">
        <f t="shared" si="6"/>
        <v>4557491.8263269048</v>
      </c>
      <c r="K28" s="31">
        <f t="shared" si="6"/>
        <v>4443505.3826520704</v>
      </c>
      <c r="L28" s="31">
        <f t="shared" si="6"/>
        <v>4437346.66639781</v>
      </c>
      <c r="M28" s="31">
        <f t="shared" si="6"/>
        <v>4411695.8816727111</v>
      </c>
      <c r="N28" s="31">
        <f t="shared" si="6"/>
        <v>4494432.8031487754</v>
      </c>
      <c r="O28" s="31">
        <f t="shared" si="6"/>
        <v>4521945.2380839437</v>
      </c>
      <c r="P28" s="31">
        <f t="shared" si="6"/>
        <v>4472363.2029490685</v>
      </c>
      <c r="Q28" s="31">
        <f t="shared" si="6"/>
        <v>4371722.9839289645</v>
      </c>
      <c r="R28" s="31">
        <f t="shared" si="6"/>
        <v>4369911.5178852854</v>
      </c>
      <c r="S28" s="31">
        <f t="shared" si="6"/>
        <v>4406491.7519960748</v>
      </c>
      <c r="T28" s="31">
        <f t="shared" si="6"/>
        <v>4378318.199807602</v>
      </c>
      <c r="U28" s="31">
        <f t="shared" si="6"/>
        <v>4245047.7638365217</v>
      </c>
      <c r="V28" s="31">
        <f t="shared" si="6"/>
        <v>4230597.2534098579</v>
      </c>
      <c r="W28" s="31">
        <f t="shared" si="6"/>
        <v>4230559.6732047601</v>
      </c>
      <c r="X28" s="31">
        <f t="shared" si="6"/>
        <v>4252932.0578210177</v>
      </c>
      <c r="Y28" s="31"/>
      <c r="AA28" s="31">
        <f>SUM(E28:Y28)</f>
        <v>85944360.136686996</v>
      </c>
    </row>
    <row r="29" spans="1:27">
      <c r="E29" s="31"/>
      <c r="F29" s="31"/>
      <c r="G29" s="31"/>
      <c r="H29" s="31"/>
      <c r="I29" s="31"/>
      <c r="J29" s="31"/>
      <c r="K29" s="31"/>
      <c r="L29" s="31"/>
      <c r="M29" s="31"/>
      <c r="N29" s="31"/>
      <c r="O29" s="31"/>
      <c r="P29" s="31"/>
      <c r="Q29" s="31"/>
      <c r="R29" s="31"/>
      <c r="S29" s="31"/>
      <c r="T29" s="31"/>
      <c r="U29" s="31"/>
      <c r="V29" s="31"/>
      <c r="W29" s="31"/>
      <c r="X29" s="31"/>
      <c r="Y29" s="31"/>
    </row>
    <row r="31" spans="1:27" ht="15.75" thickBot="1">
      <c r="A31" s="63" t="str">
        <f>CONCATENATE("# UNITS ACHIEVABLE BY YEAR FOR MEASURE - ",C32)</f>
        <v># UNITS ACHIEVABLE BY YEAR FOR MEASURE - Lighting - New</v>
      </c>
      <c r="B31" s="63"/>
      <c r="D31" s="64" t="s">
        <v>71</v>
      </c>
      <c r="E31" s="1">
        <v>3</v>
      </c>
      <c r="F31" s="1">
        <v>4</v>
      </c>
      <c r="G31" s="1">
        <v>5</v>
      </c>
      <c r="H31" s="1">
        <v>6</v>
      </c>
      <c r="I31" s="1">
        <v>7</v>
      </c>
      <c r="J31" s="1">
        <v>8</v>
      </c>
      <c r="K31" s="1">
        <v>9</v>
      </c>
      <c r="L31" s="1">
        <v>10</v>
      </c>
      <c r="M31" s="1">
        <v>11</v>
      </c>
      <c r="N31" s="1">
        <v>12</v>
      </c>
      <c r="O31" s="1">
        <v>13</v>
      </c>
      <c r="P31" s="1">
        <v>14</v>
      </c>
      <c r="Q31" s="1">
        <v>15</v>
      </c>
      <c r="R31" s="1">
        <v>16</v>
      </c>
      <c r="S31" s="1">
        <v>17</v>
      </c>
      <c r="T31" s="1">
        <v>18</v>
      </c>
      <c r="U31" s="1">
        <v>19</v>
      </c>
      <c r="V31" s="1">
        <v>20</v>
      </c>
      <c r="W31" s="1">
        <v>21</v>
      </c>
      <c r="X31" s="1">
        <v>22</v>
      </c>
    </row>
    <row r="32" spans="1:27" ht="15.75" thickBot="1">
      <c r="C32" s="61" t="str">
        <f>CONCATENATE(C8," - ",C7)</f>
        <v>Lighting - New</v>
      </c>
      <c r="D32" s="61"/>
      <c r="E32" s="65">
        <f>VLOOKUP($C$32,[2]ACHIEV!$B$9:$X$79,MATCH(E$11,$E$11:$Y$11,0)+2,FALSE)</f>
        <v>0.22119921692859512</v>
      </c>
      <c r="F32" s="65">
        <f>VLOOKUP($C$32,[2]ACHIEV!$B$9:$X$79,MATCH(F$11,$E$11:$Y$11,0)+2,FALSE)</f>
        <v>0.37624232795148943</v>
      </c>
      <c r="G32" s="65">
        <f>VLOOKUP($C$32,[2]ACHIEV!$B$9:$X$79,MATCH(G$11,$E$11:$Y$11,0)+2,FALSE)</f>
        <v>0.48357361352878442</v>
      </c>
      <c r="H32" s="65">
        <f>VLOOKUP($C$32,[2]ACHIEV!$B$9:$X$79,MATCH(H$11,$E$11:$Y$11,0)+2,FALSE)</f>
        <v>0.56716330278444227</v>
      </c>
      <c r="I32" s="65">
        <f>VLOOKUP($C$32,[2]ACHIEV!$B$9:$X$79,MATCH(I$11,$E$11:$Y$11,0)+2,FALSE)</f>
        <v>0.64040048266456928</v>
      </c>
      <c r="J32" s="65">
        <f>VLOOKUP($C$32,[2]ACHIEV!$B$9:$X$79,MATCH(J$11,$E$11:$Y$11,0)+2,FALSE)</f>
        <v>0.70377511937632964</v>
      </c>
      <c r="K32" s="65">
        <f>VLOOKUP($C$32,[2]ACHIEV!$B$9:$X$79,MATCH(K$11,$E$11:$Y$11,0)+2,FALSE)</f>
        <v>0.7580669577441127</v>
      </c>
      <c r="L32" s="65">
        <f>VLOOKUP($C$32,[2]ACHIEV!$B$9:$X$79,MATCH(L$11,$E$11:$Y$11,0)+2,FALSE)</f>
        <v>0.80419335000071168</v>
      </c>
      <c r="M32" s="65">
        <f>VLOOKUP($C$32,[2]ACHIEV!$B$9:$X$79,MATCH(M$11,$E$11:$Y$11,0)+2,FALSE)</f>
        <v>0.84311022627788457</v>
      </c>
      <c r="N32" s="65">
        <f>VLOOKUP($C$32,[2]ACHIEV!$B$9:$X$79,MATCH(N$11,$E$11:$Y$11,0)+2,FALSE)</f>
        <v>0.87575014259103623</v>
      </c>
      <c r="O32" s="65">
        <f>VLOOKUP($C$32,[2]ACHIEV!$B$9:$X$79,MATCH(O$11,$E$11:$Y$11,0)+2,FALSE)</f>
        <v>0.90298584871682319</v>
      </c>
      <c r="P32" s="65">
        <f>VLOOKUP($C$32,[2]ACHIEV!$B$9:$X$79,MATCH(P$11,$E$11:$Y$11,0)+2,FALSE)</f>
        <v>0.92419703797508856</v>
      </c>
      <c r="Q32" s="65">
        <f>VLOOKUP($C$32,[2]ACHIEV!$B$9:$X$79,MATCH(Q$11,$E$11:$Y$11,0)+2,FALSE)</f>
        <v>0.94071632877930145</v>
      </c>
      <c r="R32" s="65">
        <f>VLOOKUP($C$32,[2]ACHIEV!$B$9:$X$79,MATCH(R$11,$E$11:$Y$11,0)+2,FALSE)</f>
        <v>0.95358156539340677</v>
      </c>
      <c r="S32" s="65">
        <f>VLOOKUP($C$32,[2]ACHIEV!$B$9:$X$79,MATCH(S$11,$E$11:$Y$11,0)+2,FALSE)</f>
        <v>0.96360102174287088</v>
      </c>
      <c r="T32" s="65">
        <f>VLOOKUP($C$32,[2]ACHIEV!$B$9:$X$79,MATCH(T$11,$E$11:$Y$11,0)+2,FALSE)</f>
        <v>0.97140418219378311</v>
      </c>
      <c r="U32" s="65">
        <f>VLOOKUP($C$32,[2]ACHIEV!$B$9:$X$79,MATCH(U$11,$E$11:$Y$11,0)+2,FALSE)</f>
        <v>0.97748128966338554</v>
      </c>
      <c r="V32" s="65">
        <f>VLOOKUP($C$32,[2]ACHIEV!$B$9:$X$79,MATCH(V$11,$E$11:$Y$11,0)+2,FALSE)</f>
        <v>0.98221414571952104</v>
      </c>
      <c r="W32" s="65">
        <f>VLOOKUP($C$32,[2]ACHIEV!$B$9:$X$79,MATCH(W$11,$E$11:$Y$11,0)+2,FALSE)</f>
        <v>0.98590009772220355</v>
      </c>
      <c r="X32" s="65">
        <f>VLOOKUP($C$32,[2]ACHIEV!$B$9:$X$79,MATCH(X$11,$E$11:$Y$11,0)+2,FALSE)</f>
        <v>0.98877072002825628</v>
      </c>
      <c r="Y32" s="65"/>
      <c r="AA32" s="137">
        <v>0.85</v>
      </c>
    </row>
    <row r="33" spans="1:80">
      <c r="C33" s="1" t="str">
        <f>C23</f>
        <v>Single Family</v>
      </c>
      <c r="E33" s="31">
        <f>E23*E$32*$AA$32</f>
        <v>0</v>
      </c>
      <c r="F33" s="31">
        <f t="shared" ref="F33:X33" si="7">F23*F$32*$AA$32</f>
        <v>1476562.4766834311</v>
      </c>
      <c r="G33" s="31">
        <f t="shared" si="7"/>
        <v>1798790.3988709697</v>
      </c>
      <c r="H33" s="31">
        <f t="shared" si="7"/>
        <v>2041096.4509475534</v>
      </c>
      <c r="I33" s="31">
        <f t="shared" si="7"/>
        <v>2242723.5869036159</v>
      </c>
      <c r="J33" s="31">
        <f t="shared" si="7"/>
        <v>2348339.3453581603</v>
      </c>
      <c r="K33" s="31">
        <f t="shared" si="7"/>
        <v>2459026.1152085937</v>
      </c>
      <c r="L33" s="31">
        <f t="shared" si="7"/>
        <v>2596169.1111087915</v>
      </c>
      <c r="M33" s="31">
        <f t="shared" si="7"/>
        <v>2693730.5515916785</v>
      </c>
      <c r="N33" s="31">
        <f t="shared" si="7"/>
        <v>2847737.0282806391</v>
      </c>
      <c r="O33" s="31">
        <f t="shared" si="7"/>
        <v>2956802.2993978201</v>
      </c>
      <c r="P33" s="31">
        <f t="shared" si="7"/>
        <v>2987401.3889175854</v>
      </c>
      <c r="Q33" s="31">
        <f t="shared" si="7"/>
        <v>2960239.7424865901</v>
      </c>
      <c r="R33" s="31">
        <f t="shared" si="7"/>
        <v>3003826.165683208</v>
      </c>
      <c r="S33" s="31">
        <f t="shared" si="7"/>
        <v>3070801.559363653</v>
      </c>
      <c r="T33" s="31">
        <f t="shared" si="7"/>
        <v>3082463.1011160561</v>
      </c>
      <c r="U33" s="31">
        <f t="shared" si="7"/>
        <v>2999138.0189747489</v>
      </c>
      <c r="V33" s="31">
        <f t="shared" si="7"/>
        <v>3008502.3037984828</v>
      </c>
      <c r="W33" s="31">
        <f t="shared" si="7"/>
        <v>3027461.2897424903</v>
      </c>
      <c r="X33" s="31">
        <f t="shared" si="7"/>
        <v>3056889.1843919465</v>
      </c>
      <c r="Y33" s="31"/>
      <c r="AA33" s="31">
        <f t="shared" ref="AA33:AA36" si="8">SUM(E33:Y33)</f>
        <v>50657700.118826009</v>
      </c>
    </row>
    <row r="34" spans="1:80">
      <c r="C34" s="1" t="str">
        <f>C24</f>
        <v>Multifamily - Low Rise</v>
      </c>
      <c r="E34" s="31">
        <f t="shared" ref="E34:X36" si="9">E24*E$32*$AA$32</f>
        <v>0</v>
      </c>
      <c r="F34" s="31">
        <f t="shared" si="9"/>
        <v>169305.48229573295</v>
      </c>
      <c r="G34" s="31">
        <f t="shared" si="9"/>
        <v>215657.8479378614</v>
      </c>
      <c r="H34" s="31">
        <f t="shared" si="9"/>
        <v>244889.5809865107</v>
      </c>
      <c r="I34" s="31">
        <f t="shared" si="9"/>
        <v>260635.98015538329</v>
      </c>
      <c r="J34" s="31">
        <f t="shared" si="9"/>
        <v>276143.03117310058</v>
      </c>
      <c r="K34" s="31">
        <f t="shared" si="9"/>
        <v>294741.8166658007</v>
      </c>
      <c r="L34" s="31">
        <f t="shared" si="9"/>
        <v>318489.31792133889</v>
      </c>
      <c r="M34" s="31">
        <f t="shared" si="9"/>
        <v>342024.26832580176</v>
      </c>
      <c r="N34" s="31">
        <f t="shared" si="9"/>
        <v>364920.91161625687</v>
      </c>
      <c r="O34" s="31">
        <f t="shared" si="9"/>
        <v>377840.20274529303</v>
      </c>
      <c r="P34" s="31">
        <f t="shared" si="9"/>
        <v>386821.41190209682</v>
      </c>
      <c r="Q34" s="31">
        <f t="shared" si="9"/>
        <v>394364.89300806919</v>
      </c>
      <c r="R34" s="31">
        <f t="shared" si="9"/>
        <v>395405.33572880208</v>
      </c>
      <c r="S34" s="31">
        <f t="shared" si="9"/>
        <v>394743.18598957866</v>
      </c>
      <c r="T34" s="31">
        <f t="shared" si="9"/>
        <v>389797.64533795964</v>
      </c>
      <c r="U34" s="31">
        <f t="shared" si="9"/>
        <v>385549.05396816152</v>
      </c>
      <c r="V34" s="31">
        <f t="shared" si="9"/>
        <v>382504.24682887783</v>
      </c>
      <c r="W34" s="31">
        <f t="shared" si="9"/>
        <v>376547.38174635754</v>
      </c>
      <c r="X34" s="31">
        <f t="shared" si="9"/>
        <v>376215.11035164347</v>
      </c>
      <c r="Y34" s="31"/>
      <c r="AA34" s="31">
        <f t="shared" si="8"/>
        <v>6346596.7046846272</v>
      </c>
    </row>
    <row r="35" spans="1:80">
      <c r="C35" s="1" t="s">
        <v>33</v>
      </c>
      <c r="E35" s="31">
        <f t="shared" si="9"/>
        <v>0</v>
      </c>
      <c r="F35" s="31">
        <f t="shared" si="9"/>
        <v>38542.67178826825</v>
      </c>
      <c r="G35" s="31">
        <f t="shared" si="9"/>
        <v>49833.787974338593</v>
      </c>
      <c r="H35" s="31">
        <f t="shared" si="9"/>
        <v>55283.689081607576</v>
      </c>
      <c r="I35" s="31">
        <f t="shared" si="9"/>
        <v>57698.775809495775</v>
      </c>
      <c r="J35" s="31">
        <f t="shared" si="9"/>
        <v>62047.217918014518</v>
      </c>
      <c r="K35" s="31">
        <f t="shared" si="9"/>
        <v>66420.625198261332</v>
      </c>
      <c r="L35" s="31">
        <f t="shared" si="9"/>
        <v>72664.338913844782</v>
      </c>
      <c r="M35" s="31">
        <f t="shared" si="9"/>
        <v>77485.308174692298</v>
      </c>
      <c r="N35" s="31">
        <f t="shared" si="9"/>
        <v>82663.87370080869</v>
      </c>
      <c r="O35" s="31">
        <f t="shared" si="9"/>
        <v>84560.098125914694</v>
      </c>
      <c r="P35" s="31">
        <f t="shared" si="9"/>
        <v>86402.599461374179</v>
      </c>
      <c r="Q35" s="31">
        <f t="shared" si="9"/>
        <v>87327.67591408208</v>
      </c>
      <c r="R35" s="31">
        <f t="shared" si="9"/>
        <v>88244.03784263428</v>
      </c>
      <c r="S35" s="31">
        <f t="shared" si="9"/>
        <v>88515.9367835632</v>
      </c>
      <c r="T35" s="31">
        <f t="shared" si="9"/>
        <v>87345.06143281261</v>
      </c>
      <c r="U35" s="31">
        <f t="shared" si="9"/>
        <v>86496.702280520636</v>
      </c>
      <c r="V35" s="31">
        <f t="shared" si="9"/>
        <v>84913.664125583353</v>
      </c>
      <c r="W35" s="31">
        <f t="shared" si="9"/>
        <v>84907.013050346985</v>
      </c>
      <c r="X35" s="31">
        <f t="shared" si="9"/>
        <v>84766.298170516369</v>
      </c>
      <c r="Y35" s="31"/>
      <c r="AA35" s="31">
        <f t="shared" si="8"/>
        <v>1426119.3757466804</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row>
    <row r="36" spans="1:80">
      <c r="C36" s="1" t="str">
        <f>C26</f>
        <v>Manufactured</v>
      </c>
      <c r="E36" s="31">
        <f t="shared" si="9"/>
        <v>0</v>
      </c>
      <c r="F36" s="31">
        <f t="shared" si="9"/>
        <v>20762.434975894113</v>
      </c>
      <c r="G36" s="31">
        <f t="shared" si="9"/>
        <v>27640.272387744924</v>
      </c>
      <c r="H36" s="31">
        <f t="shared" si="9"/>
        <v>33616.666935683686</v>
      </c>
      <c r="I36" s="31">
        <f t="shared" si="9"/>
        <v>36799.024559999511</v>
      </c>
      <c r="J36" s="31">
        <f t="shared" si="9"/>
        <v>39802.356561108747</v>
      </c>
      <c r="K36" s="31">
        <f t="shared" si="9"/>
        <v>43014.859001991601</v>
      </c>
      <c r="L36" s="31">
        <f t="shared" si="9"/>
        <v>45889.210706227364</v>
      </c>
      <c r="M36" s="31">
        <f t="shared" si="9"/>
        <v>48373.898014174229</v>
      </c>
      <c r="N36" s="31">
        <f t="shared" si="9"/>
        <v>50278.329392160536</v>
      </c>
      <c r="O36" s="31">
        <f t="shared" si="9"/>
        <v>51562.074593865436</v>
      </c>
      <c r="P36" s="31">
        <f t="shared" si="9"/>
        <v>52717.700896106151</v>
      </c>
      <c r="Q36" s="31">
        <f t="shared" si="9"/>
        <v>53736.205090744908</v>
      </c>
      <c r="R36" s="31">
        <f t="shared" si="9"/>
        <v>54531.466722725396</v>
      </c>
      <c r="S36" s="31">
        <f t="shared" si="9"/>
        <v>55124.279209413107</v>
      </c>
      <c r="T36" s="31">
        <f t="shared" si="9"/>
        <v>55543.310841192979</v>
      </c>
      <c r="U36" s="31">
        <f t="shared" si="9"/>
        <v>55852.773222523974</v>
      </c>
      <c r="V36" s="31">
        <f t="shared" si="9"/>
        <v>56129.382317174277</v>
      </c>
      <c r="W36" s="31">
        <f t="shared" si="9"/>
        <v>56357.131408163601</v>
      </c>
      <c r="X36" s="31">
        <f t="shared" si="9"/>
        <v>56527.896172393885</v>
      </c>
      <c r="Y36" s="31"/>
      <c r="AA36" s="31">
        <f t="shared" si="8"/>
        <v>894259.27300928836</v>
      </c>
    </row>
    <row r="37" spans="1:80">
      <c r="E37" s="31"/>
      <c r="F37" s="31"/>
      <c r="G37" s="31"/>
      <c r="H37" s="31"/>
      <c r="I37" s="31"/>
      <c r="J37" s="31"/>
      <c r="K37" s="31"/>
      <c r="L37" s="31"/>
      <c r="M37" s="31"/>
      <c r="N37" s="31"/>
      <c r="O37" s="31"/>
      <c r="P37" s="31"/>
      <c r="Q37" s="31"/>
      <c r="R37" s="31"/>
      <c r="S37" s="31"/>
      <c r="T37" s="31"/>
      <c r="U37" s="31"/>
      <c r="V37" s="31"/>
      <c r="W37" s="31"/>
      <c r="X37" s="31"/>
      <c r="Y37" s="31"/>
    </row>
    <row r="38" spans="1:80">
      <c r="E38" s="31">
        <f t="shared" ref="E38:X38" si="10">SUM(E33:E36)</f>
        <v>0</v>
      </c>
      <c r="F38" s="31">
        <f t="shared" si="10"/>
        <v>1705173.0657433264</v>
      </c>
      <c r="G38" s="31">
        <f t="shared" si="10"/>
        <v>2091922.3071709145</v>
      </c>
      <c r="H38" s="31">
        <f t="shared" si="10"/>
        <v>2374886.387951355</v>
      </c>
      <c r="I38" s="31">
        <f t="shared" si="10"/>
        <v>2597857.3674284942</v>
      </c>
      <c r="J38" s="31">
        <f t="shared" si="10"/>
        <v>2726331.9510103846</v>
      </c>
      <c r="K38" s="31">
        <f t="shared" si="10"/>
        <v>2863203.4160746476</v>
      </c>
      <c r="L38" s="31">
        <f t="shared" si="10"/>
        <v>3033211.978650203</v>
      </c>
      <c r="M38" s="31">
        <f t="shared" si="10"/>
        <v>3161614.0261063469</v>
      </c>
      <c r="N38" s="31">
        <f t="shared" si="10"/>
        <v>3345600.1429898655</v>
      </c>
      <c r="O38" s="31">
        <f t="shared" si="10"/>
        <v>3470764.6748628928</v>
      </c>
      <c r="P38" s="31">
        <f t="shared" si="10"/>
        <v>3513343.1011771625</v>
      </c>
      <c r="Q38" s="31">
        <f t="shared" si="10"/>
        <v>3495668.5164994863</v>
      </c>
      <c r="R38" s="31">
        <f t="shared" si="10"/>
        <v>3542007.0059773698</v>
      </c>
      <c r="S38" s="31">
        <f t="shared" si="10"/>
        <v>3609184.9613462081</v>
      </c>
      <c r="T38" s="31">
        <f t="shared" si="10"/>
        <v>3615149.1187280216</v>
      </c>
      <c r="U38" s="31">
        <f t="shared" si="10"/>
        <v>3527036.5484459549</v>
      </c>
      <c r="V38" s="31">
        <f t="shared" si="10"/>
        <v>3532049.5970701179</v>
      </c>
      <c r="W38" s="31">
        <f t="shared" si="10"/>
        <v>3545272.8159473585</v>
      </c>
      <c r="X38" s="31">
        <f t="shared" si="10"/>
        <v>3574398.4890865004</v>
      </c>
      <c r="Y38" s="31"/>
      <c r="AA38" s="31">
        <f>SUM(E38:Y38)</f>
        <v>59324675.472266614</v>
      </c>
    </row>
    <row r="40" spans="1:80">
      <c r="AA40"/>
      <c r="AB40"/>
      <c r="AC40"/>
      <c r="AD40"/>
    </row>
    <row r="41" spans="1:80" ht="15">
      <c r="A41" s="60" t="s">
        <v>72</v>
      </c>
      <c r="C41" s="66" t="str">
        <f>C8</f>
        <v>Lighting</v>
      </c>
      <c r="D41" s="66"/>
      <c r="E41" s="66" t="s">
        <v>185</v>
      </c>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ht="15">
      <c r="A42" s="61" t="s">
        <v>73</v>
      </c>
      <c r="B42" s="61" t="s">
        <v>44</v>
      </c>
      <c r="C42" s="61">
        <v>1</v>
      </c>
      <c r="D42" s="61"/>
      <c r="E42" s="67">
        <f t="shared" ref="E42:X42" si="11">E11</f>
        <v>2016</v>
      </c>
      <c r="F42" s="67">
        <f t="shared" si="11"/>
        <v>2017</v>
      </c>
      <c r="G42" s="67">
        <f t="shared" si="11"/>
        <v>2018</v>
      </c>
      <c r="H42" s="67">
        <f t="shared" si="11"/>
        <v>2019</v>
      </c>
      <c r="I42" s="67">
        <f t="shared" si="11"/>
        <v>2020</v>
      </c>
      <c r="J42" s="67">
        <f t="shared" si="11"/>
        <v>2021</v>
      </c>
      <c r="K42" s="67">
        <f t="shared" si="11"/>
        <v>2022</v>
      </c>
      <c r="L42" s="67">
        <f t="shared" si="11"/>
        <v>2023</v>
      </c>
      <c r="M42" s="67">
        <f t="shared" si="11"/>
        <v>2024</v>
      </c>
      <c r="N42" s="67">
        <f t="shared" si="11"/>
        <v>2025</v>
      </c>
      <c r="O42" s="67">
        <f t="shared" si="11"/>
        <v>2026</v>
      </c>
      <c r="P42" s="67">
        <f t="shared" si="11"/>
        <v>2027</v>
      </c>
      <c r="Q42" s="67">
        <f t="shared" si="11"/>
        <v>2028</v>
      </c>
      <c r="R42" s="67">
        <f t="shared" si="11"/>
        <v>2029</v>
      </c>
      <c r="S42" s="67">
        <f t="shared" si="11"/>
        <v>2030</v>
      </c>
      <c r="T42" s="67">
        <f t="shared" si="11"/>
        <v>2031</v>
      </c>
      <c r="U42" s="67">
        <f t="shared" si="11"/>
        <v>2032</v>
      </c>
      <c r="V42" s="67">
        <f t="shared" si="11"/>
        <v>2033</v>
      </c>
      <c r="W42" s="67">
        <f t="shared" si="11"/>
        <v>2034</v>
      </c>
      <c r="X42" s="67">
        <f t="shared" si="11"/>
        <v>2035</v>
      </c>
      <c r="Y42" s="68" t="s">
        <v>159</v>
      </c>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ht="15">
      <c r="A43" s="61" t="s">
        <v>36</v>
      </c>
      <c r="B43" s="61" t="s">
        <v>74</v>
      </c>
      <c r="C43" s="61" t="s">
        <v>75</v>
      </c>
      <c r="D43" s="61" t="s">
        <v>76</v>
      </c>
      <c r="E43" s="69" t="str">
        <f>CONCATENATE($E$41,"_",E42)</f>
        <v>aMW_2016</v>
      </c>
      <c r="F43" s="69" t="str">
        <f t="shared" ref="F43:X43" si="12">CONCATENATE($E$41,"_",F42)</f>
        <v>aMW_2017</v>
      </c>
      <c r="G43" s="69" t="str">
        <f t="shared" si="12"/>
        <v>aMW_2018</v>
      </c>
      <c r="H43" s="69" t="str">
        <f t="shared" si="12"/>
        <v>aMW_2019</v>
      </c>
      <c r="I43" s="69" t="str">
        <f t="shared" si="12"/>
        <v>aMW_2020</v>
      </c>
      <c r="J43" s="69" t="str">
        <f t="shared" si="12"/>
        <v>aMW_2021</v>
      </c>
      <c r="K43" s="69" t="str">
        <f t="shared" si="12"/>
        <v>aMW_2022</v>
      </c>
      <c r="L43" s="69" t="str">
        <f t="shared" si="12"/>
        <v>aMW_2023</v>
      </c>
      <c r="M43" s="69" t="str">
        <f t="shared" si="12"/>
        <v>aMW_2024</v>
      </c>
      <c r="N43" s="69" t="str">
        <f t="shared" si="12"/>
        <v>aMW_2025</v>
      </c>
      <c r="O43" s="69" t="str">
        <f t="shared" si="12"/>
        <v>aMW_2026</v>
      </c>
      <c r="P43" s="69" t="str">
        <f t="shared" si="12"/>
        <v>aMW_2027</v>
      </c>
      <c r="Q43" s="69" t="str">
        <f t="shared" si="12"/>
        <v>aMW_2028</v>
      </c>
      <c r="R43" s="69" t="str">
        <f t="shared" si="12"/>
        <v>aMW_2029</v>
      </c>
      <c r="S43" s="69" t="str">
        <f t="shared" si="12"/>
        <v>aMW_2030</v>
      </c>
      <c r="T43" s="69" t="str">
        <f t="shared" si="12"/>
        <v>aMW_2031</v>
      </c>
      <c r="U43" s="69" t="str">
        <f t="shared" si="12"/>
        <v>aMW_2032</v>
      </c>
      <c r="V43" s="69" t="str">
        <f t="shared" si="12"/>
        <v>aMW_2033</v>
      </c>
      <c r="W43" s="69" t="str">
        <f t="shared" si="12"/>
        <v>aMW_2034</v>
      </c>
      <c r="X43" s="69" t="str">
        <f t="shared" si="12"/>
        <v>aMW_2035</v>
      </c>
      <c r="Y43" s="70" t="s">
        <v>159</v>
      </c>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c r="A44" s="89">
        <f t="shared" ref="A44:A75" si="13">VLOOKUP($D44,MeasureOutput,3,FALSE)</f>
        <v>20.131003317263307</v>
      </c>
      <c r="B44" s="71">
        <f t="shared" ref="B44:B75" si="14">VLOOKUP($D44,MeasureOutput,11,FALSE)</f>
        <v>-21.262756278752239</v>
      </c>
      <c r="C44" s="1" t="str">
        <f>C13</f>
        <v>Single Family</v>
      </c>
      <c r="D44" t="s">
        <v>746</v>
      </c>
      <c r="E44" s="37">
        <f>VLOOKUP($C44,$C$33:$Y$36,E$31,FALSE)*$C$42*$A44/8760/1000*INDEX('Bulb Weighting'!$B$2:$C$17,MATCH(RIGHT('SC-New'!$D44,LEN($D44)-7),'Bulb Weighting'!$B$3:$B$17,0)+1,2)</f>
        <v>0</v>
      </c>
      <c r="F44" s="37">
        <f>VLOOKUP($C44,$C$33:$Y$36,F$31,FALSE)*$C$42*$A44/8760/1000*INDEX('Bulb Weighting'!$B$2:$C$17,MATCH(RIGHT('SC-New'!$D44,LEN($D44)-7),'Bulb Weighting'!$B$3:$B$17,0)+1,2)</f>
        <v>0.27512670978366904</v>
      </c>
      <c r="G44" s="37">
        <f>VLOOKUP($C44,$C$33:$Y$36,G$31,FALSE)*$C$42*$A44/8760/1000*INDEX('Bulb Weighting'!$B$2:$C$17,MATCH(RIGHT('SC-New'!$D44,LEN($D44)-7),'Bulb Weighting'!$B$3:$B$17,0)+1,2)</f>
        <v>0.33516718177982457</v>
      </c>
      <c r="H44" s="37">
        <f>VLOOKUP($C44,$C$33:$Y$36,H$31,FALSE)*$C$42*$A44/8760/1000*INDEX('Bulb Weighting'!$B$2:$C$17,MATCH(RIGHT('SC-New'!$D44,LEN($D44)-7),'Bulb Weighting'!$B$3:$B$17,0)+1,2)</f>
        <v>0.38031587539842421</v>
      </c>
      <c r="I44" s="37">
        <f>VLOOKUP($C44,$C$33:$Y$36,I$31,FALSE)*$C$42*$A44/8760/1000*INDEX('Bulb Weighting'!$B$2:$C$17,MATCH(RIGHT('SC-New'!$D44,LEN($D44)-7),'Bulb Weighting'!$B$3:$B$17,0)+1,2)</f>
        <v>0.41788489898846981</v>
      </c>
      <c r="J44" s="37">
        <f>VLOOKUP($C44,$C$33:$Y$36,J$31,FALSE)*$C$42*$A44/8760/1000*INDEX('Bulb Weighting'!$B$2:$C$17,MATCH(RIGHT('SC-New'!$D44,LEN($D44)-7),'Bulb Weighting'!$B$3:$B$17,0)+1,2)</f>
        <v>0.43756419910868777</v>
      </c>
      <c r="K44" s="37">
        <f>VLOOKUP($C44,$C$33:$Y$36,K$31,FALSE)*$C$42*$A44/8760/1000*INDEX('Bulb Weighting'!$B$2:$C$17,MATCH(RIGHT('SC-New'!$D44,LEN($D44)-7),'Bulb Weighting'!$B$3:$B$17,0)+1,2)</f>
        <v>0.45818837674181673</v>
      </c>
      <c r="L44" s="37">
        <f>VLOOKUP($C44,$C$33:$Y$36,L$31,FALSE)*$C$42*$A44/8760/1000*INDEX('Bulb Weighting'!$B$2:$C$17,MATCH(RIGHT('SC-New'!$D44,LEN($D44)-7),'Bulb Weighting'!$B$3:$B$17,0)+1,2)</f>
        <v>0.48374212189498317</v>
      </c>
      <c r="M44" s="37">
        <f>VLOOKUP($C44,$C$33:$Y$36,M$31,FALSE)*$C$42*$A44/8760/1000*INDEX('Bulb Weighting'!$B$2:$C$17,MATCH(RIGHT('SC-New'!$D44,LEN($D44)-7),'Bulb Weighting'!$B$3:$B$17,0)+1,2)</f>
        <v>0.50192066736506868</v>
      </c>
      <c r="N44" s="37">
        <f>VLOOKUP($C44,$C$33:$Y$36,N$31,FALSE)*$C$42*$A44/8760/1000*INDEX('Bulb Weighting'!$B$2:$C$17,MATCH(RIGHT('SC-New'!$D44,LEN($D44)-7),'Bulb Weighting'!$B$3:$B$17,0)+1,2)</f>
        <v>0.53061657145710628</v>
      </c>
      <c r="O44" s="37">
        <f>VLOOKUP($C44,$C$33:$Y$36,O$31,FALSE)*$C$42*$A44/8760/1000*INDEX('Bulb Weighting'!$B$2:$C$17,MATCH(RIGHT('SC-New'!$D44,LEN($D44)-7),'Bulb Weighting'!$B$3:$B$17,0)+1,2)</f>
        <v>0.55093861652324749</v>
      </c>
      <c r="P44" s="37">
        <f>VLOOKUP($C44,$C$33:$Y$36,P$31,FALSE)*$C$42*$A44/8760/1000*INDEX('Bulb Weighting'!$B$2:$C$17,MATCH(RIGHT('SC-New'!$D44,LEN($D44)-7),'Bulb Weighting'!$B$3:$B$17,0)+1,2)</f>
        <v>0.55664012049269584</v>
      </c>
      <c r="Q44" s="37">
        <f>VLOOKUP($C44,$C$33:$Y$36,Q$31,FALSE)*$C$42*$A44/8760/1000*INDEX('Bulb Weighting'!$B$2:$C$17,MATCH(RIGHT('SC-New'!$D44,LEN($D44)-7),'Bulb Weighting'!$B$3:$B$17,0)+1,2)</f>
        <v>0.55157911255508907</v>
      </c>
      <c r="R44" s="37">
        <f>VLOOKUP($C44,$C$33:$Y$36,R$31,FALSE)*$C$42*$A44/8760/1000*INDEX('Bulb Weighting'!$B$2:$C$17,MATCH(RIGHT('SC-New'!$D44,LEN($D44)-7),'Bulb Weighting'!$B$3:$B$17,0)+1,2)</f>
        <v>0.55970053606048609</v>
      </c>
      <c r="S44" s="37">
        <f>VLOOKUP($C44,$C$33:$Y$36,S$31,FALSE)*$C$42*$A44/8760/1000*INDEX('Bulb Weighting'!$B$2:$C$17,MATCH(RIGHT('SC-New'!$D44,LEN($D44)-7),'Bulb Weighting'!$B$3:$B$17,0)+1,2)</f>
        <v>0.57218000780025002</v>
      </c>
      <c r="T44" s="37">
        <f>VLOOKUP($C44,$C$33:$Y$36,T$31,FALSE)*$C$42*$A44/8760/1000*INDEX('Bulb Weighting'!$B$2:$C$17,MATCH(RIGHT('SC-New'!$D44,LEN($D44)-7),'Bulb Weighting'!$B$3:$B$17,0)+1,2)</f>
        <v>0.57435289358328179</v>
      </c>
      <c r="U44" s="37">
        <f>VLOOKUP($C44,$C$33:$Y$36,U$31,FALSE)*$C$42*$A44/8760/1000*INDEX('Bulb Weighting'!$B$2:$C$17,MATCH(RIGHT('SC-New'!$D44,LEN($D44)-7),'Bulb Weighting'!$B$3:$B$17,0)+1,2)</f>
        <v>0.55882699741972452</v>
      </c>
      <c r="V44" s="37">
        <f>VLOOKUP($C44,$C$33:$Y$36,V$31,FALSE)*$C$42*$A44/8760/1000*INDEX('Bulb Weighting'!$B$2:$C$17,MATCH(RIGHT('SC-New'!$D44,LEN($D44)-7),'Bulb Weighting'!$B$3:$B$17,0)+1,2)</f>
        <v>0.56057183714964764</v>
      </c>
      <c r="W44" s="37">
        <f>VLOOKUP($C44,$C$33:$Y$36,W$31,FALSE)*$C$42*$A44/8760/1000*INDEX('Bulb Weighting'!$B$2:$C$17,MATCH(RIGHT('SC-New'!$D44,LEN($D44)-7),'Bulb Weighting'!$B$3:$B$17,0)+1,2)</f>
        <v>0.56410444989443709</v>
      </c>
      <c r="X44" s="37">
        <f>VLOOKUP($C44,$C$33:$Y$36,X$31,FALSE)*$C$42*$A44/8760/1000*INDEX('Bulb Weighting'!$B$2:$C$17,MATCH(RIGHT('SC-New'!$D44,LEN($D44)-7),'Bulb Weighting'!$B$3:$B$17,0)+1,2)</f>
        <v>0.56958772605688646</v>
      </c>
      <c r="Y44" s="37">
        <f>SUM(E44:X44)</f>
        <v>9.4390089000537944</v>
      </c>
      <c r="AA44" s="31"/>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c r="A45" s="89">
        <f t="shared" si="13"/>
        <v>15.166068390464758</v>
      </c>
      <c r="B45" s="71">
        <f t="shared" si="14"/>
        <v>-19.792953526125213</v>
      </c>
      <c r="C45" s="1" t="s">
        <v>29</v>
      </c>
      <c r="D45" t="s">
        <v>747</v>
      </c>
      <c r="E45" s="37">
        <f>VLOOKUP($C45,$C$33:$Y$36,E$31,FALSE)*$C$42*$A45/8760/1000*INDEX('Bulb Weighting'!$B$2:$C$17,MATCH(RIGHT('SC-New'!$D45,LEN($D45)-7),'Bulb Weighting'!$B$3:$B$17,0)+1,2)</f>
        <v>0</v>
      </c>
      <c r="F45" s="37">
        <f>VLOOKUP($C45,$C$33:$Y$36,F$31,FALSE)*$C$42*$A45/8760/1000*INDEX('Bulb Weighting'!$B$2:$C$17,MATCH(RIGHT('SC-New'!$D45,LEN($D45)-7),'Bulb Weighting'!$B$3:$B$17,0)+1,2)</f>
        <v>5.6848939003389748E-2</v>
      </c>
      <c r="G45" s="37">
        <f>VLOOKUP($C45,$C$33:$Y$36,G$31,FALSE)*$C$42*$A45/8760/1000*INDEX('Bulb Weighting'!$B$2:$C$17,MATCH(RIGHT('SC-New'!$D45,LEN($D45)-7),'Bulb Weighting'!$B$3:$B$17,0)+1,2)</f>
        <v>6.9254994136778977E-2</v>
      </c>
      <c r="H45" s="37">
        <f>VLOOKUP($C45,$C$33:$Y$36,H$31,FALSE)*$C$42*$A45/8760/1000*INDEX('Bulb Weighting'!$B$2:$C$17,MATCH(RIGHT('SC-New'!$D45,LEN($D45)-7),'Bulb Weighting'!$B$3:$B$17,0)+1,2)</f>
        <v>7.8583987790738094E-2</v>
      </c>
      <c r="I45" s="37">
        <f>VLOOKUP($C45,$C$33:$Y$36,I$31,FALSE)*$C$42*$A45/8760/1000*INDEX('Bulb Weighting'!$B$2:$C$17,MATCH(RIGHT('SC-New'!$D45,LEN($D45)-7),'Bulb Weighting'!$B$3:$B$17,0)+1,2)</f>
        <v>8.6346807809800419E-2</v>
      </c>
      <c r="J45" s="37">
        <f>VLOOKUP($C45,$C$33:$Y$36,J$31,FALSE)*$C$42*$A45/8760/1000*INDEX('Bulb Weighting'!$B$2:$C$17,MATCH(RIGHT('SC-New'!$D45,LEN($D45)-7),'Bulb Weighting'!$B$3:$B$17,0)+1,2)</f>
        <v>9.0413106327466464E-2</v>
      </c>
      <c r="K45" s="37">
        <f>VLOOKUP($C45,$C$33:$Y$36,K$31,FALSE)*$C$42*$A45/8760/1000*INDEX('Bulb Weighting'!$B$2:$C$17,MATCH(RIGHT('SC-New'!$D45,LEN($D45)-7),'Bulb Weighting'!$B$3:$B$17,0)+1,2)</f>
        <v>9.4674643192363114E-2</v>
      </c>
      <c r="L45" s="37">
        <f>VLOOKUP($C45,$C$33:$Y$36,L$31,FALSE)*$C$42*$A45/8760/1000*INDEX('Bulb Weighting'!$B$2:$C$17,MATCH(RIGHT('SC-New'!$D45,LEN($D45)-7),'Bulb Weighting'!$B$3:$B$17,0)+1,2)</f>
        <v>9.9954767759922472E-2</v>
      </c>
      <c r="M45" s="37">
        <f>VLOOKUP($C45,$C$33:$Y$36,M$31,FALSE)*$C$42*$A45/8760/1000*INDEX('Bulb Weighting'!$B$2:$C$17,MATCH(RIGHT('SC-New'!$D45,LEN($D45)-7),'Bulb Weighting'!$B$3:$B$17,0)+1,2)</f>
        <v>0.10371096803365025</v>
      </c>
      <c r="N45" s="37">
        <f>VLOOKUP($C45,$C$33:$Y$36,N$31,FALSE)*$C$42*$A45/8760/1000*INDEX('Bulb Weighting'!$B$2:$C$17,MATCH(RIGHT('SC-New'!$D45,LEN($D45)-7),'Bulb Weighting'!$B$3:$B$17,0)+1,2)</f>
        <v>0.10964035127186098</v>
      </c>
      <c r="O45" s="37">
        <f>VLOOKUP($C45,$C$33:$Y$36,O$31,FALSE)*$C$42*$A45/8760/1000*INDEX('Bulb Weighting'!$B$2:$C$17,MATCH(RIGHT('SC-New'!$D45,LEN($D45)-7),'Bulb Weighting'!$B$3:$B$17,0)+1,2)</f>
        <v>0.11383945902587586</v>
      </c>
      <c r="P45" s="37">
        <f>VLOOKUP($C45,$C$33:$Y$36,P$31,FALSE)*$C$42*$A45/8760/1000*INDEX('Bulb Weighting'!$B$2:$C$17,MATCH(RIGHT('SC-New'!$D45,LEN($D45)-7),'Bulb Weighting'!$B$3:$B$17,0)+1,2)</f>
        <v>0.11501755057373615</v>
      </c>
      <c r="Q45" s="37">
        <f>VLOOKUP($C45,$C$33:$Y$36,Q$31,FALSE)*$C$42*$A45/8760/1000*INDEX('Bulb Weighting'!$B$2:$C$17,MATCH(RIGHT('SC-New'!$D45,LEN($D45)-7),'Bulb Weighting'!$B$3:$B$17,0)+1,2)</f>
        <v>0.11397180357313812</v>
      </c>
      <c r="R45" s="37">
        <f>VLOOKUP($C45,$C$33:$Y$36,R$31,FALSE)*$C$42*$A45/8760/1000*INDEX('Bulb Weighting'!$B$2:$C$17,MATCH(RIGHT('SC-New'!$D45,LEN($D45)-7),'Bulb Weighting'!$B$3:$B$17,0)+1,2)</f>
        <v>0.11564991875810886</v>
      </c>
      <c r="S45" s="37">
        <f>VLOOKUP($C45,$C$33:$Y$36,S$31,FALSE)*$C$42*$A45/8760/1000*INDEX('Bulb Weighting'!$B$2:$C$17,MATCH(RIGHT('SC-New'!$D45,LEN($D45)-7),'Bulb Weighting'!$B$3:$B$17,0)+1,2)</f>
        <v>0.11822852963993201</v>
      </c>
      <c r="T45" s="37">
        <f>VLOOKUP($C45,$C$33:$Y$36,T$31,FALSE)*$C$42*$A45/8760/1000*INDEX('Bulb Weighting'!$B$2:$C$17,MATCH(RIGHT('SC-New'!$D45,LEN($D45)-7),'Bulb Weighting'!$B$3:$B$17,0)+1,2)</f>
        <v>0.1186775091353726</v>
      </c>
      <c r="U45" s="37">
        <f>VLOOKUP($C45,$C$33:$Y$36,U$31,FALSE)*$C$42*$A45/8760/1000*INDEX('Bulb Weighting'!$B$2:$C$17,MATCH(RIGHT('SC-New'!$D45,LEN($D45)-7),'Bulb Weighting'!$B$3:$B$17,0)+1,2)</f>
        <v>0.1154694210341881</v>
      </c>
      <c r="V45" s="37">
        <f>VLOOKUP($C45,$C$33:$Y$36,V$31,FALSE)*$C$42*$A45/8760/1000*INDEX('Bulb Weighting'!$B$2:$C$17,MATCH(RIGHT('SC-New'!$D45,LEN($D45)-7),'Bulb Weighting'!$B$3:$B$17,0)+1,2)</f>
        <v>0.11582995414075231</v>
      </c>
      <c r="W45" s="37">
        <f>VLOOKUP($C45,$C$33:$Y$36,W$31,FALSE)*$C$42*$A45/8760/1000*INDEX('Bulb Weighting'!$B$2:$C$17,MATCH(RIGHT('SC-New'!$D45,LEN($D45)-7),'Bulb Weighting'!$B$3:$B$17,0)+1,2)</f>
        <v>0.11655989158161018</v>
      </c>
      <c r="X45" s="37">
        <f>VLOOKUP($C45,$C$33:$Y$36,X$31,FALSE)*$C$42*$A45/8760/1000*INDEX('Bulb Weighting'!$B$2:$C$17,MATCH(RIGHT('SC-New'!$D45,LEN($D45)-7),'Bulb Weighting'!$B$3:$B$17,0)+1,2)</f>
        <v>0.1176928911087841</v>
      </c>
      <c r="Y45" s="37">
        <f t="shared" ref="Y45:Y103" si="15">SUM(E45:X45)</f>
        <v>1.9503654938974686</v>
      </c>
      <c r="AA45" s="31"/>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row>
    <row r="46" spans="1:80">
      <c r="A46" s="89">
        <f t="shared" si="13"/>
        <v>7.5107020440195642</v>
      </c>
      <c r="B46" s="71">
        <f t="shared" si="14"/>
        <v>253.66864707291808</v>
      </c>
      <c r="C46" s="1" t="s">
        <v>29</v>
      </c>
      <c r="D46" t="s">
        <v>748</v>
      </c>
      <c r="E46" s="37">
        <f>VLOOKUP($C46,$C$33:$Y$36,E$31,FALSE)*$C$42*$A46/8760/1000*INDEX('Bulb Weighting'!$B$2:$C$17,MATCH(RIGHT('SC-New'!$D46,LEN($D46)-7),'Bulb Weighting'!$B$3:$B$17,0)+1,2)</f>
        <v>0</v>
      </c>
      <c r="F46" s="37">
        <f>VLOOKUP($C46,$C$33:$Y$36,F$31,FALSE)*$C$42*$A46/8760/1000*INDEX('Bulb Weighting'!$B$2:$C$17,MATCH(RIGHT('SC-New'!$D46,LEN($D46)-7),'Bulb Weighting'!$B$3:$B$17,0)+1,2)</f>
        <v>5.5311389479840772E-4</v>
      </c>
      <c r="G46" s="37">
        <f>VLOOKUP($C46,$C$33:$Y$36,G$31,FALSE)*$C$42*$A46/8760/1000*INDEX('Bulb Weighting'!$B$2:$C$17,MATCH(RIGHT('SC-New'!$D46,LEN($D46)-7),'Bulb Weighting'!$B$3:$B$17,0)+1,2)</f>
        <v>6.7381907583096042E-4</v>
      </c>
      <c r="H46" s="37">
        <f>VLOOKUP($C46,$C$33:$Y$36,H$31,FALSE)*$C$42*$A46/8760/1000*INDEX('Bulb Weighting'!$B$2:$C$17,MATCH(RIGHT('SC-New'!$D46,LEN($D46)-7),'Bulb Weighting'!$B$3:$B$17,0)+1,2)</f>
        <v>7.6458587121799968E-4</v>
      </c>
      <c r="I46" s="37">
        <f>VLOOKUP($C46,$C$33:$Y$36,I$31,FALSE)*$C$42*$A46/8760/1000*INDEX('Bulb Weighting'!$B$2:$C$17,MATCH(RIGHT('SC-New'!$D46,LEN($D46)-7),'Bulb Weighting'!$B$3:$B$17,0)+1,2)</f>
        <v>8.4011452119168832E-4</v>
      </c>
      <c r="J46" s="37">
        <f>VLOOKUP($C46,$C$33:$Y$36,J$31,FALSE)*$C$42*$A46/8760/1000*INDEX('Bulb Weighting'!$B$2:$C$17,MATCH(RIGHT('SC-New'!$D46,LEN($D46)-7),'Bulb Weighting'!$B$3:$B$17,0)+1,2)</f>
        <v>8.7967772588729671E-4</v>
      </c>
      <c r="K46" s="37">
        <f>VLOOKUP($C46,$C$33:$Y$36,K$31,FALSE)*$C$42*$A46/8760/1000*INDEX('Bulb Weighting'!$B$2:$C$17,MATCH(RIGHT('SC-New'!$D46,LEN($D46)-7),'Bulb Weighting'!$B$3:$B$17,0)+1,2)</f>
        <v>9.2114050944125934E-4</v>
      </c>
      <c r="L46" s="37">
        <f>VLOOKUP($C46,$C$33:$Y$36,L$31,FALSE)*$C$42*$A46/8760/1000*INDEX('Bulb Weighting'!$B$2:$C$17,MATCH(RIGHT('SC-New'!$D46,LEN($D46)-7),'Bulb Weighting'!$B$3:$B$17,0)+1,2)</f>
        <v>9.7251368044115052E-4</v>
      </c>
      <c r="M46" s="37">
        <f>VLOOKUP($C46,$C$33:$Y$36,M$31,FALSE)*$C$42*$A46/8760/1000*INDEX('Bulb Weighting'!$B$2:$C$17,MATCH(RIGHT('SC-New'!$D46,LEN($D46)-7),'Bulb Weighting'!$B$3:$B$17,0)+1,2)</f>
        <v>1.009059772584058E-3</v>
      </c>
      <c r="N46" s="37">
        <f>VLOOKUP($C46,$C$33:$Y$36,N$31,FALSE)*$C$42*$A46/8760/1000*INDEX('Bulb Weighting'!$B$2:$C$17,MATCH(RIGHT('SC-New'!$D46,LEN($D46)-7),'Bulb Weighting'!$B$3:$B$17,0)+1,2)</f>
        <v>1.0667499302920778E-3</v>
      </c>
      <c r="O46" s="37">
        <f>VLOOKUP($C46,$C$33:$Y$36,O$31,FALSE)*$C$42*$A46/8760/1000*INDEX('Bulb Weighting'!$B$2:$C$17,MATCH(RIGHT('SC-New'!$D46,LEN($D46)-7),'Bulb Weighting'!$B$3:$B$17,0)+1,2)</f>
        <v>1.1076053074586219E-3</v>
      </c>
      <c r="P46" s="37">
        <f>VLOOKUP($C46,$C$33:$Y$36,P$31,FALSE)*$C$42*$A46/8760/1000*INDEX('Bulb Weighting'!$B$2:$C$17,MATCH(RIGHT('SC-New'!$D46,LEN($D46)-7),'Bulb Weighting'!$B$3:$B$17,0)+1,2)</f>
        <v>1.1190675935784603E-3</v>
      </c>
      <c r="Q46" s="37">
        <f>VLOOKUP($C46,$C$33:$Y$36,Q$31,FALSE)*$C$42*$A46/8760/1000*INDEX('Bulb Weighting'!$B$2:$C$17,MATCH(RIGHT('SC-New'!$D46,LEN($D46)-7),'Bulb Weighting'!$B$3:$B$17,0)+1,2)</f>
        <v>1.1088929587195753E-3</v>
      </c>
      <c r="R46" s="37">
        <f>VLOOKUP($C46,$C$33:$Y$36,R$31,FALSE)*$C$42*$A46/8760/1000*INDEX('Bulb Weighting'!$B$2:$C$17,MATCH(RIGHT('SC-New'!$D46,LEN($D46)-7),'Bulb Weighting'!$B$3:$B$17,0)+1,2)</f>
        <v>1.1252202436636998E-3</v>
      </c>
      <c r="S46" s="37">
        <f>VLOOKUP($C46,$C$33:$Y$36,S$31,FALSE)*$C$42*$A46/8760/1000*INDEX('Bulb Weighting'!$B$2:$C$17,MATCH(RIGHT('SC-New'!$D46,LEN($D46)-7),'Bulb Weighting'!$B$3:$B$17,0)+1,2)</f>
        <v>1.1503089354320672E-3</v>
      </c>
      <c r="T46" s="37">
        <f>VLOOKUP($C46,$C$33:$Y$36,T$31,FALSE)*$C$42*$A46/8760/1000*INDEX('Bulb Weighting'!$B$2:$C$17,MATCH(RIGHT('SC-New'!$D46,LEN($D46)-7),'Bulb Weighting'!$B$3:$B$17,0)+1,2)</f>
        <v>1.1546772983560079E-3</v>
      </c>
      <c r="U46" s="37">
        <f>VLOOKUP($C46,$C$33:$Y$36,U$31,FALSE)*$C$42*$A46/8760/1000*INDEX('Bulb Weighting'!$B$2:$C$17,MATCH(RIGHT('SC-New'!$D46,LEN($D46)-7),'Bulb Weighting'!$B$3:$B$17,0)+1,2)</f>
        <v>1.1234640842554462E-3</v>
      </c>
      <c r="V46" s="37">
        <f>VLOOKUP($C46,$C$33:$Y$36,V$31,FALSE)*$C$42*$A46/8760/1000*INDEX('Bulb Weighting'!$B$2:$C$17,MATCH(RIGHT('SC-New'!$D46,LEN($D46)-7),'Bulb Weighting'!$B$3:$B$17,0)+1,2)</f>
        <v>1.1269719047050698E-3</v>
      </c>
      <c r="W46" s="37">
        <f>VLOOKUP($C46,$C$33:$Y$36,W$31,FALSE)*$C$42*$A46/8760/1000*INDEX('Bulb Weighting'!$B$2:$C$17,MATCH(RIGHT('SC-New'!$D46,LEN($D46)-7),'Bulb Weighting'!$B$3:$B$17,0)+1,2)</f>
        <v>1.1340738585488871E-3</v>
      </c>
      <c r="X46" s="37">
        <f>VLOOKUP($C46,$C$33:$Y$36,X$31,FALSE)*$C$42*$A46/8760/1000*INDEX('Bulb Weighting'!$B$2:$C$17,MATCH(RIGHT('SC-New'!$D46,LEN($D46)-7),'Bulb Weighting'!$B$3:$B$17,0)+1,2)</f>
        <v>1.1450974201538374E-3</v>
      </c>
      <c r="Y46" s="37">
        <f t="shared" si="15"/>
        <v>1.8976154586556569E-2</v>
      </c>
      <c r="AA46" s="31"/>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c r="A47" s="89">
        <f t="shared" si="13"/>
        <v>1.9210010172979759</v>
      </c>
      <c r="B47" s="71">
        <f t="shared" si="14"/>
        <v>19.879331870717266</v>
      </c>
      <c r="C47" s="1" t="s">
        <v>29</v>
      </c>
      <c r="D47" t="s">
        <v>749</v>
      </c>
      <c r="E47" s="37">
        <f>VLOOKUP($C47,$C$33:$Y$36,E$31,FALSE)*$C$42*$A47/8760/1000*INDEX('Bulb Weighting'!$B$2:$C$17,MATCH(RIGHT('SC-New'!$D47,LEN($D47)-7),'Bulb Weighting'!$B$3:$B$17,0)+1,2)</f>
        <v>0</v>
      </c>
      <c r="F47" s="37">
        <f>VLOOKUP($C47,$C$33:$Y$36,F$31,FALSE)*$C$42*$A47/8760/1000*INDEX('Bulb Weighting'!$B$2:$C$17,MATCH(RIGHT('SC-New'!$D47,LEN($D47)-7),'Bulb Weighting'!$B$3:$B$17,0)+1,2)</f>
        <v>2.192335480189184E-2</v>
      </c>
      <c r="G47" s="37">
        <f>VLOOKUP($C47,$C$33:$Y$36,G$31,FALSE)*$C$42*$A47/8760/1000*INDEX('Bulb Weighting'!$B$2:$C$17,MATCH(RIGHT('SC-New'!$D47,LEN($D47)-7),'Bulb Weighting'!$B$3:$B$17,0)+1,2)</f>
        <v>2.6707654265509025E-2</v>
      </c>
      <c r="H47" s="37">
        <f>VLOOKUP($C47,$C$33:$Y$36,H$31,FALSE)*$C$42*$A47/8760/1000*INDEX('Bulb Weighting'!$B$2:$C$17,MATCH(RIGHT('SC-New'!$D47,LEN($D47)-7),'Bulb Weighting'!$B$3:$B$17,0)+1,2)</f>
        <v>3.0305308705605927E-2</v>
      </c>
      <c r="I47" s="37">
        <f>VLOOKUP($C47,$C$33:$Y$36,I$31,FALSE)*$C$42*$A47/8760/1000*INDEX('Bulb Weighting'!$B$2:$C$17,MATCH(RIGHT('SC-New'!$D47,LEN($D47)-7),'Bulb Weighting'!$B$3:$B$17,0)+1,2)</f>
        <v>3.3298980364649275E-2</v>
      </c>
      <c r="J47" s="37">
        <f>VLOOKUP($C47,$C$33:$Y$36,J$31,FALSE)*$C$42*$A47/8760/1000*INDEX('Bulb Weighting'!$B$2:$C$17,MATCH(RIGHT('SC-New'!$D47,LEN($D47)-7),'Bulb Weighting'!$B$3:$B$17,0)+1,2)</f>
        <v>3.4867117021129074E-2</v>
      </c>
      <c r="K47" s="37">
        <f>VLOOKUP($C47,$C$33:$Y$36,K$31,FALSE)*$C$42*$A47/8760/1000*INDEX('Bulb Weighting'!$B$2:$C$17,MATCH(RIGHT('SC-New'!$D47,LEN($D47)-7),'Bulb Weighting'!$B$3:$B$17,0)+1,2)</f>
        <v>3.6510545840177037E-2</v>
      </c>
      <c r="L47" s="37">
        <f>VLOOKUP($C47,$C$33:$Y$36,L$31,FALSE)*$C$42*$A47/8760/1000*INDEX('Bulb Weighting'!$B$2:$C$17,MATCH(RIGHT('SC-New'!$D47,LEN($D47)-7),'Bulb Weighting'!$B$3:$B$17,0)+1,2)</f>
        <v>3.854678514951379E-2</v>
      </c>
      <c r="M47" s="37">
        <f>VLOOKUP($C47,$C$33:$Y$36,M$31,FALSE)*$C$42*$A47/8760/1000*INDEX('Bulb Weighting'!$B$2:$C$17,MATCH(RIGHT('SC-New'!$D47,LEN($D47)-7),'Bulb Weighting'!$B$3:$B$17,0)+1,2)</f>
        <v>3.9995334810273293E-2</v>
      </c>
      <c r="N47" s="37">
        <f>VLOOKUP($C47,$C$33:$Y$36,N$31,FALSE)*$C$42*$A47/8760/1000*INDEX('Bulb Weighting'!$B$2:$C$17,MATCH(RIGHT('SC-New'!$D47,LEN($D47)-7),'Bulb Weighting'!$B$3:$B$17,0)+1,2)</f>
        <v>4.228195571765616E-2</v>
      </c>
      <c r="O47" s="37">
        <f>VLOOKUP($C47,$C$33:$Y$36,O$31,FALSE)*$C$42*$A47/8760/1000*INDEX('Bulb Weighting'!$B$2:$C$17,MATCH(RIGHT('SC-New'!$D47,LEN($D47)-7),'Bulb Weighting'!$B$3:$B$17,0)+1,2)</f>
        <v>4.3901309231662015E-2</v>
      </c>
      <c r="P47" s="37">
        <f>VLOOKUP($C47,$C$33:$Y$36,P$31,FALSE)*$C$42*$A47/8760/1000*INDEX('Bulb Weighting'!$B$2:$C$17,MATCH(RIGHT('SC-New'!$D47,LEN($D47)-7),'Bulb Weighting'!$B$3:$B$17,0)+1,2)</f>
        <v>4.4355631149460874E-2</v>
      </c>
      <c r="Q47" s="37">
        <f>VLOOKUP($C47,$C$33:$Y$36,Q$31,FALSE)*$C$42*$A47/8760/1000*INDEX('Bulb Weighting'!$B$2:$C$17,MATCH(RIGHT('SC-New'!$D47,LEN($D47)-7),'Bulb Weighting'!$B$3:$B$17,0)+1,2)</f>
        <v>4.3952346885426367E-2</v>
      </c>
      <c r="R47" s="37">
        <f>VLOOKUP($C47,$C$33:$Y$36,R$31,FALSE)*$C$42*$A47/8760/1000*INDEX('Bulb Weighting'!$B$2:$C$17,MATCH(RIGHT('SC-New'!$D47,LEN($D47)-7),'Bulb Weighting'!$B$3:$B$17,0)+1,2)</f>
        <v>4.4599499061764476E-2</v>
      </c>
      <c r="S47" s="37">
        <f>VLOOKUP($C47,$C$33:$Y$36,S$31,FALSE)*$C$42*$A47/8760/1000*INDEX('Bulb Weighting'!$B$2:$C$17,MATCH(RIGHT('SC-New'!$D47,LEN($D47)-7),'Bulb Weighting'!$B$3:$B$17,0)+1,2)</f>
        <v>4.5593920457295829E-2</v>
      </c>
      <c r="T47" s="37">
        <f>VLOOKUP($C47,$C$33:$Y$36,T$31,FALSE)*$C$42*$A47/8760/1000*INDEX('Bulb Weighting'!$B$2:$C$17,MATCH(RIGHT('SC-New'!$D47,LEN($D47)-7),'Bulb Weighting'!$B$3:$B$17,0)+1,2)</f>
        <v>4.5767065936347454E-2</v>
      </c>
      <c r="U47" s="37">
        <f>VLOOKUP($C47,$C$33:$Y$36,U$31,FALSE)*$C$42*$A47/8760/1000*INDEX('Bulb Weighting'!$B$2:$C$17,MATCH(RIGHT('SC-New'!$D47,LEN($D47)-7),'Bulb Weighting'!$B$3:$B$17,0)+1,2)</f>
        <v>4.4529891506868639E-2</v>
      </c>
      <c r="V47" s="37">
        <f>VLOOKUP($C47,$C$33:$Y$36,V$31,FALSE)*$C$42*$A47/8760/1000*INDEX('Bulb Weighting'!$B$2:$C$17,MATCH(RIGHT('SC-New'!$D47,LEN($D47)-7),'Bulb Weighting'!$B$3:$B$17,0)+1,2)</f>
        <v>4.4668928318313157E-2</v>
      </c>
      <c r="W47" s="37">
        <f>VLOOKUP($C47,$C$33:$Y$36,W$31,FALSE)*$C$42*$A47/8760/1000*INDEX('Bulb Weighting'!$B$2:$C$17,MATCH(RIGHT('SC-New'!$D47,LEN($D47)-7),'Bulb Weighting'!$B$3:$B$17,0)+1,2)</f>
        <v>4.495042306174464E-2</v>
      </c>
      <c r="X47" s="37">
        <f>VLOOKUP($C47,$C$33:$Y$36,X$31,FALSE)*$C$42*$A47/8760/1000*INDEX('Bulb Weighting'!$B$2:$C$17,MATCH(RIGHT('SC-New'!$D47,LEN($D47)-7),'Bulb Weighting'!$B$3:$B$17,0)+1,2)</f>
        <v>4.538735558959936E-2</v>
      </c>
      <c r="Y47" s="440">
        <f t="shared" si="15"/>
        <v>0.75214340787488831</v>
      </c>
      <c r="AA47" s="31"/>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c r="A48" s="89">
        <f t="shared" si="13"/>
        <v>7.4978046901704554</v>
      </c>
      <c r="B48" s="71">
        <f t="shared" si="14"/>
        <v>38.047469279788793</v>
      </c>
      <c r="C48" s="1" t="s">
        <v>29</v>
      </c>
      <c r="D48" t="s">
        <v>750</v>
      </c>
      <c r="E48" s="37">
        <f>VLOOKUP($C48,$C$33:$Y$36,E$31,FALSE)*$C$42*$A48/8760/1000*INDEX('Bulb Weighting'!$B$2:$C$17,MATCH(RIGHT('SC-New'!$D48,LEN($D48)-7),'Bulb Weighting'!$B$3:$B$17,0)+1,2)</f>
        <v>0</v>
      </c>
      <c r="F48" s="37">
        <f>VLOOKUP($C48,$C$33:$Y$36,F$31,FALSE)*$C$42*$A48/8760/1000*INDEX('Bulb Weighting'!$B$2:$C$17,MATCH(RIGHT('SC-New'!$D48,LEN($D48)-7),'Bulb Weighting'!$B$3:$B$17,0)+1,2)</f>
        <v>0.66028560427276983</v>
      </c>
      <c r="G48" s="37">
        <f>VLOOKUP($C48,$C$33:$Y$36,G$31,FALSE)*$C$42*$A48/8760/1000*INDEX('Bulb Weighting'!$B$2:$C$17,MATCH(RIGHT('SC-New'!$D48,LEN($D48)-7),'Bulb Weighting'!$B$3:$B$17,0)+1,2)</f>
        <v>0.80437870001027811</v>
      </c>
      <c r="H48" s="37">
        <f>VLOOKUP($C48,$C$33:$Y$36,H$31,FALSE)*$C$42*$A48/8760/1000*INDEX('Bulb Weighting'!$B$2:$C$17,MATCH(RIGHT('SC-New'!$D48,LEN($D48)-7),'Bulb Weighting'!$B$3:$B$17,0)+1,2)</f>
        <v>0.91273252894794643</v>
      </c>
      <c r="I48" s="37">
        <f>VLOOKUP($C48,$C$33:$Y$36,I$31,FALSE)*$C$42*$A48/8760/1000*INDEX('Bulb Weighting'!$B$2:$C$17,MATCH(RIGHT('SC-New'!$D48,LEN($D48)-7),'Bulb Weighting'!$B$3:$B$17,0)+1,2)</f>
        <v>1.0028956594655041</v>
      </c>
      <c r="J48" s="37">
        <f>VLOOKUP($C48,$C$33:$Y$36,J$31,FALSE)*$C$42*$A48/8760/1000*INDEX('Bulb Weighting'!$B$2:$C$17,MATCH(RIGHT('SC-New'!$D48,LEN($D48)-7),'Bulb Weighting'!$B$3:$B$17,0)+1,2)</f>
        <v>1.0501246565401992</v>
      </c>
      <c r="K48" s="37">
        <f>VLOOKUP($C48,$C$33:$Y$36,K$31,FALSE)*$C$42*$A48/8760/1000*INDEX('Bulb Weighting'!$B$2:$C$17,MATCH(RIGHT('SC-New'!$D48,LEN($D48)-7),'Bulb Weighting'!$B$3:$B$17,0)+1,2)</f>
        <v>1.0996212961133875</v>
      </c>
      <c r="L48" s="37">
        <f>VLOOKUP($C48,$C$33:$Y$36,L$31,FALSE)*$C$42*$A48/8760/1000*INDEX('Bulb Weighting'!$B$2:$C$17,MATCH(RIGHT('SC-New'!$D48,LEN($D48)-7),'Bulb Weighting'!$B$3:$B$17,0)+1,2)</f>
        <v>1.160948566276135</v>
      </c>
      <c r="M48" s="37">
        <f>VLOOKUP($C48,$C$33:$Y$36,M$31,FALSE)*$C$42*$A48/8760/1000*INDEX('Bulb Weighting'!$B$2:$C$17,MATCH(RIGHT('SC-New'!$D48,LEN($D48)-7),'Bulb Weighting'!$B$3:$B$17,0)+1,2)</f>
        <v>1.2045758530995532</v>
      </c>
      <c r="N48" s="37">
        <f>VLOOKUP($C48,$C$33:$Y$36,N$31,FALSE)*$C$42*$A48/8760/1000*INDEX('Bulb Weighting'!$B$2:$C$17,MATCH(RIGHT('SC-New'!$D48,LEN($D48)-7),'Bulb Weighting'!$B$3:$B$17,0)+1,2)</f>
        <v>1.2734440934403863</v>
      </c>
      <c r="O48" s="37">
        <f>VLOOKUP($C48,$C$33:$Y$36,O$31,FALSE)*$C$42*$A48/8760/1000*INDEX('Bulb Weighting'!$B$2:$C$17,MATCH(RIGHT('SC-New'!$D48,LEN($D48)-7),'Bulb Weighting'!$B$3:$B$17,0)+1,2)</f>
        <v>1.3222156351678556</v>
      </c>
      <c r="P48" s="37">
        <f>VLOOKUP($C48,$C$33:$Y$36,P$31,FALSE)*$C$42*$A48/8760/1000*INDEX('Bulb Weighting'!$B$2:$C$17,MATCH(RIGHT('SC-New'!$D48,LEN($D48)-7),'Bulb Weighting'!$B$3:$B$17,0)+1,2)</f>
        <v>1.3358988613318687</v>
      </c>
      <c r="Q48" s="37">
        <f>VLOOKUP($C48,$C$33:$Y$36,Q$31,FALSE)*$C$42*$A48/8760/1000*INDEX('Bulb Weighting'!$B$2:$C$17,MATCH(RIGHT('SC-New'!$D48,LEN($D48)-7),'Bulb Weighting'!$B$3:$B$17,0)+1,2)</f>
        <v>1.3237527825780484</v>
      </c>
      <c r="R48" s="37">
        <f>VLOOKUP($C48,$C$33:$Y$36,R$31,FALSE)*$C$42*$A48/8760/1000*INDEX('Bulb Weighting'!$B$2:$C$17,MATCH(RIGHT('SC-New'!$D48,LEN($D48)-7),'Bulb Weighting'!$B$3:$B$17,0)+1,2)</f>
        <v>1.3432436529156928</v>
      </c>
      <c r="S48" s="37">
        <f>VLOOKUP($C48,$C$33:$Y$36,S$31,FALSE)*$C$42*$A48/8760/1000*INDEX('Bulb Weighting'!$B$2:$C$17,MATCH(RIGHT('SC-New'!$D48,LEN($D48)-7),'Bulb Weighting'!$B$3:$B$17,0)+1,2)</f>
        <v>1.3731935459855953</v>
      </c>
      <c r="T48" s="37">
        <f>VLOOKUP($C48,$C$33:$Y$36,T$31,FALSE)*$C$42*$A48/8760/1000*INDEX('Bulb Weighting'!$B$2:$C$17,MATCH(RIGHT('SC-New'!$D48,LEN($D48)-7),'Bulb Weighting'!$B$3:$B$17,0)+1,2)</f>
        <v>1.3784083257624948</v>
      </c>
      <c r="U48" s="37">
        <f>VLOOKUP($C48,$C$33:$Y$36,U$31,FALSE)*$C$42*$A48/8760/1000*INDEX('Bulb Weighting'!$B$2:$C$17,MATCH(RIGHT('SC-New'!$D48,LEN($D48)-7),'Bulb Weighting'!$B$3:$B$17,0)+1,2)</f>
        <v>1.3411472189136129</v>
      </c>
      <c r="V48" s="37">
        <f>VLOOKUP($C48,$C$33:$Y$36,V$31,FALSE)*$C$42*$A48/8760/1000*INDEX('Bulb Weighting'!$B$2:$C$17,MATCH(RIGHT('SC-New'!$D48,LEN($D48)-7),'Bulb Weighting'!$B$3:$B$17,0)+1,2)</f>
        <v>1.3453347169443834</v>
      </c>
      <c r="W48" s="37">
        <f>VLOOKUP($C48,$C$33:$Y$36,W$31,FALSE)*$C$42*$A48/8760/1000*INDEX('Bulb Weighting'!$B$2:$C$17,MATCH(RIGHT('SC-New'!$D48,LEN($D48)-7),'Bulb Weighting'!$B$3:$B$17,0)+1,2)</f>
        <v>1.3538127500030017</v>
      </c>
      <c r="X48" s="37">
        <f>VLOOKUP($C48,$C$33:$Y$36,X$31,FALSE)*$C$42*$A48/8760/1000*INDEX('Bulb Weighting'!$B$2:$C$17,MATCH(RIGHT('SC-New'!$D48,LEN($D48)-7),'Bulb Weighting'!$B$3:$B$17,0)+1,2)</f>
        <v>1.3669722441036076</v>
      </c>
      <c r="Y48" s="440">
        <f t="shared" si="15"/>
        <v>22.652986691872318</v>
      </c>
      <c r="AA48" s="31"/>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c r="A49" s="89">
        <f t="shared" si="13"/>
        <v>14.009308234872018</v>
      </c>
      <c r="B49" s="71">
        <f t="shared" si="14"/>
        <v>64.372768585347757</v>
      </c>
      <c r="C49" s="1" t="s">
        <v>29</v>
      </c>
      <c r="D49" t="s">
        <v>751</v>
      </c>
      <c r="E49" s="37">
        <f>VLOOKUP($C49,$C$33:$Y$36,E$31,FALSE)*$C$42*$A49/8760/1000*INDEX('Bulb Weighting'!$B$2:$C$17,MATCH(RIGHT('SC-New'!$D49,LEN($D49)-7),'Bulb Weighting'!$B$3:$B$17,0)+1,2)</f>
        <v>0</v>
      </c>
      <c r="F49" s="37">
        <f>VLOOKUP($C49,$C$33:$Y$36,F$31,FALSE)*$C$42*$A49/8760/1000*INDEX('Bulb Weighting'!$B$2:$C$17,MATCH(RIGHT('SC-New'!$D49,LEN($D49)-7),'Bulb Weighting'!$B$3:$B$17,0)+1,2)</f>
        <v>0.12300284015600908</v>
      </c>
      <c r="G49" s="37">
        <f>VLOOKUP($C49,$C$33:$Y$36,G$31,FALSE)*$C$42*$A49/8760/1000*INDEX('Bulb Weighting'!$B$2:$C$17,MATCH(RIGHT('SC-New'!$D49,LEN($D49)-7),'Bulb Weighting'!$B$3:$B$17,0)+1,2)</f>
        <v>0.14984555777379824</v>
      </c>
      <c r="H49" s="37">
        <f>VLOOKUP($C49,$C$33:$Y$36,H$31,FALSE)*$C$42*$A49/8760/1000*INDEX('Bulb Weighting'!$B$2:$C$17,MATCH(RIGHT('SC-New'!$D49,LEN($D49)-7),'Bulb Weighting'!$B$3:$B$17,0)+1,2)</f>
        <v>0.17003050291703012</v>
      </c>
      <c r="I49" s="37">
        <f>VLOOKUP($C49,$C$33:$Y$36,I$31,FALSE)*$C$42*$A49/8760/1000*INDEX('Bulb Weighting'!$B$2:$C$17,MATCH(RIGHT('SC-New'!$D49,LEN($D49)-7),'Bulb Weighting'!$B$3:$B$17,0)+1,2)</f>
        <v>0.18682675147863748</v>
      </c>
      <c r="J49" s="37">
        <f>VLOOKUP($C49,$C$33:$Y$36,J$31,FALSE)*$C$42*$A49/8760/1000*INDEX('Bulb Weighting'!$B$2:$C$17,MATCH(RIGHT('SC-New'!$D49,LEN($D49)-7),'Bulb Weighting'!$B$3:$B$17,0)+1,2)</f>
        <v>0.19562491509195082</v>
      </c>
      <c r="K49" s="37">
        <f>VLOOKUP($C49,$C$33:$Y$36,K$31,FALSE)*$C$42*$A49/8760/1000*INDEX('Bulb Weighting'!$B$2:$C$17,MATCH(RIGHT('SC-New'!$D49,LEN($D49)-7),'Bulb Weighting'!$B$3:$B$17,0)+1,2)</f>
        <v>0.20484551176448615</v>
      </c>
      <c r="L49" s="37">
        <f>VLOOKUP($C49,$C$33:$Y$36,L$31,FALSE)*$C$42*$A49/8760/1000*INDEX('Bulb Weighting'!$B$2:$C$17,MATCH(RIGHT('SC-New'!$D49,LEN($D49)-7),'Bulb Weighting'!$B$3:$B$17,0)+1,2)</f>
        <v>0.21627000498411506</v>
      </c>
      <c r="M49" s="37">
        <f>VLOOKUP($C49,$C$33:$Y$36,M$31,FALSE)*$C$42*$A49/8760/1000*INDEX('Bulb Weighting'!$B$2:$C$17,MATCH(RIGHT('SC-New'!$D49,LEN($D49)-7),'Bulb Weighting'!$B$3:$B$17,0)+1,2)</f>
        <v>0.22439721562274711</v>
      </c>
      <c r="N49" s="37">
        <f>VLOOKUP($C49,$C$33:$Y$36,N$31,FALSE)*$C$42*$A49/8760/1000*INDEX('Bulb Weighting'!$B$2:$C$17,MATCH(RIGHT('SC-New'!$D49,LEN($D49)-7),'Bulb Weighting'!$B$3:$B$17,0)+1,2)</f>
        <v>0.23722649601846163</v>
      </c>
      <c r="O49" s="37">
        <f>VLOOKUP($C49,$C$33:$Y$36,O$31,FALSE)*$C$42*$A49/8760/1000*INDEX('Bulb Weighting'!$B$2:$C$17,MATCH(RIGHT('SC-New'!$D49,LEN($D49)-7),'Bulb Weighting'!$B$3:$B$17,0)+1,2)</f>
        <v>0.24631201615163689</v>
      </c>
      <c r="P49" s="37">
        <f>VLOOKUP($C49,$C$33:$Y$36,P$31,FALSE)*$C$42*$A49/8760/1000*INDEX('Bulb Weighting'!$B$2:$C$17,MATCH(RIGHT('SC-New'!$D49,LEN($D49)-7),'Bulb Weighting'!$B$3:$B$17,0)+1,2)</f>
        <v>0.24886102777596927</v>
      </c>
      <c r="Q49" s="37">
        <f>VLOOKUP($C49,$C$33:$Y$36,Q$31,FALSE)*$C$42*$A49/8760/1000*INDEX('Bulb Weighting'!$B$2:$C$17,MATCH(RIGHT('SC-New'!$D49,LEN($D49)-7),'Bulb Weighting'!$B$3:$B$17,0)+1,2)</f>
        <v>0.24659836723360601</v>
      </c>
      <c r="R49" s="37">
        <f>VLOOKUP($C49,$C$33:$Y$36,R$31,FALSE)*$C$42*$A49/8760/1000*INDEX('Bulb Weighting'!$B$2:$C$17,MATCH(RIGHT('SC-New'!$D49,LEN($D49)-7),'Bulb Weighting'!$B$3:$B$17,0)+1,2)</f>
        <v>0.25022926936615097</v>
      </c>
      <c r="S49" s="37">
        <f>VLOOKUP($C49,$C$33:$Y$36,S$31,FALSE)*$C$42*$A49/8760/1000*INDEX('Bulb Weighting'!$B$2:$C$17,MATCH(RIGHT('SC-New'!$D49,LEN($D49)-7),'Bulb Weighting'!$B$3:$B$17,0)+1,2)</f>
        <v>0.25580855488461113</v>
      </c>
      <c r="T49" s="37">
        <f>VLOOKUP($C49,$C$33:$Y$36,T$31,FALSE)*$C$42*$A49/8760/1000*INDEX('Bulb Weighting'!$B$2:$C$17,MATCH(RIGHT('SC-New'!$D49,LEN($D49)-7),'Bulb Weighting'!$B$3:$B$17,0)+1,2)</f>
        <v>0.25678000226919145</v>
      </c>
      <c r="U49" s="37">
        <f>VLOOKUP($C49,$C$33:$Y$36,U$31,FALSE)*$C$42*$A49/8760/1000*INDEX('Bulb Weighting'!$B$2:$C$17,MATCH(RIGHT('SC-New'!$D49,LEN($D49)-7),'Bulb Weighting'!$B$3:$B$17,0)+1,2)</f>
        <v>0.24983873028005435</v>
      </c>
      <c r="V49" s="37">
        <f>VLOOKUP($C49,$C$33:$Y$36,V$31,FALSE)*$C$42*$A49/8760/1000*INDEX('Bulb Weighting'!$B$2:$C$17,MATCH(RIGHT('SC-New'!$D49,LEN($D49)-7),'Bulb Weighting'!$B$3:$B$17,0)+1,2)</f>
        <v>0.25061880809425985</v>
      </c>
      <c r="W49" s="37">
        <f>VLOOKUP($C49,$C$33:$Y$36,W$31,FALSE)*$C$42*$A49/8760/1000*INDEX('Bulb Weighting'!$B$2:$C$17,MATCH(RIGHT('SC-New'!$D49,LEN($D49)-7),'Bulb Weighting'!$B$3:$B$17,0)+1,2)</f>
        <v>0.25219815820941976</v>
      </c>
      <c r="X49" s="37">
        <f>VLOOKUP($C49,$C$33:$Y$36,X$31,FALSE)*$C$42*$A49/8760/1000*INDEX('Bulb Weighting'!$B$2:$C$17,MATCH(RIGHT('SC-New'!$D49,LEN($D49)-7),'Bulb Weighting'!$B$3:$B$17,0)+1,2)</f>
        <v>0.25464960518769147</v>
      </c>
      <c r="Y49" s="440">
        <f t="shared" si="15"/>
        <v>4.2199643352598262</v>
      </c>
      <c r="AA49" s="31"/>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c r="A50" s="89">
        <f t="shared" si="13"/>
        <v>15.001215681785107</v>
      </c>
      <c r="B50" s="71">
        <f t="shared" si="14"/>
        <v>-40.723166254238713</v>
      </c>
      <c r="C50" s="1" t="s">
        <v>29</v>
      </c>
      <c r="D50" t="s">
        <v>752</v>
      </c>
      <c r="E50" s="37">
        <f>VLOOKUP($C50,$C$33:$Y$36,E$31,FALSE)*$C$42*$A50/8760/1000*INDEX('Bulb Weighting'!$B$2:$C$17,MATCH(RIGHT('SC-New'!$D50,LEN($D50)-7),'Bulb Weighting'!$B$3:$B$17,0)+1,2)</f>
        <v>0</v>
      </c>
      <c r="F50" s="37">
        <f>VLOOKUP($C50,$C$33:$Y$36,F$31,FALSE)*$C$42*$A50/8760/1000*INDEX('Bulb Weighting'!$B$2:$C$17,MATCH(RIGHT('SC-New'!$D50,LEN($D50)-7),'Bulb Weighting'!$B$3:$B$17,0)+1,2)</f>
        <v>0.11257096734621273</v>
      </c>
      <c r="G50" s="37">
        <f>VLOOKUP($C50,$C$33:$Y$36,G$31,FALSE)*$C$42*$A50/8760/1000*INDEX('Bulb Weighting'!$B$2:$C$17,MATCH(RIGHT('SC-New'!$D50,LEN($D50)-7),'Bulb Weighting'!$B$3:$B$17,0)+1,2)</f>
        <v>0.13713715366031087</v>
      </c>
      <c r="H50" s="37">
        <f>VLOOKUP($C50,$C$33:$Y$36,H$31,FALSE)*$C$42*$A50/8760/1000*INDEX('Bulb Weighting'!$B$2:$C$17,MATCH(RIGHT('SC-New'!$D50,LEN($D50)-7),'Bulb Weighting'!$B$3:$B$17,0)+1,2)</f>
        <v>0.15561021328821772</v>
      </c>
      <c r="I50" s="37">
        <f>VLOOKUP($C50,$C$33:$Y$36,I$31,FALSE)*$C$42*$A50/8760/1000*INDEX('Bulb Weighting'!$B$2:$C$17,MATCH(RIGHT('SC-New'!$D50,LEN($D50)-7),'Bulb Weighting'!$B$3:$B$17,0)+1,2)</f>
        <v>0.17098197174492846</v>
      </c>
      <c r="J50" s="37">
        <f>VLOOKUP($C50,$C$33:$Y$36,J$31,FALSE)*$C$42*$A50/8760/1000*INDEX('Bulb Weighting'!$B$2:$C$17,MATCH(RIGHT('SC-New'!$D50,LEN($D50)-7),'Bulb Weighting'!$B$3:$B$17,0)+1,2)</f>
        <v>0.17903396296370644</v>
      </c>
      <c r="K50" s="37">
        <f>VLOOKUP($C50,$C$33:$Y$36,K$31,FALSE)*$C$42*$A50/8760/1000*INDEX('Bulb Weighting'!$B$2:$C$17,MATCH(RIGHT('SC-New'!$D50,LEN($D50)-7),'Bulb Weighting'!$B$3:$B$17,0)+1,2)</f>
        <v>0.18747256068730436</v>
      </c>
      <c r="L50" s="37">
        <f>VLOOKUP($C50,$C$33:$Y$36,L$31,FALSE)*$C$42*$A50/8760/1000*INDEX('Bulb Weighting'!$B$2:$C$17,MATCH(RIGHT('SC-New'!$D50,LEN($D50)-7),'Bulb Weighting'!$B$3:$B$17,0)+1,2)</f>
        <v>0.19792814245714566</v>
      </c>
      <c r="M50" s="37">
        <f>VLOOKUP($C50,$C$33:$Y$36,M$31,FALSE)*$C$42*$A50/8760/1000*INDEX('Bulb Weighting'!$B$2:$C$17,MATCH(RIGHT('SC-New'!$D50,LEN($D50)-7),'Bulb Weighting'!$B$3:$B$17,0)+1,2)</f>
        <v>0.20536608423358638</v>
      </c>
      <c r="N50" s="37">
        <f>VLOOKUP($C50,$C$33:$Y$36,N$31,FALSE)*$C$42*$A50/8760/1000*INDEX('Bulb Weighting'!$B$2:$C$17,MATCH(RIGHT('SC-New'!$D50,LEN($D50)-7),'Bulb Weighting'!$B$3:$B$17,0)+1,2)</f>
        <v>0.21710731315699694</v>
      </c>
      <c r="O50" s="37">
        <f>VLOOKUP($C50,$C$33:$Y$36,O$31,FALSE)*$C$42*$A50/8760/1000*INDEX('Bulb Weighting'!$B$2:$C$17,MATCH(RIGHT('SC-New'!$D50,LEN($D50)-7),'Bulb Weighting'!$B$3:$B$17,0)+1,2)</f>
        <v>0.22542229018466409</v>
      </c>
      <c r="P50" s="37">
        <f>VLOOKUP($C50,$C$33:$Y$36,P$31,FALSE)*$C$42*$A50/8760/1000*INDEX('Bulb Weighting'!$B$2:$C$17,MATCH(RIGHT('SC-New'!$D50,LEN($D50)-7),'Bulb Weighting'!$B$3:$B$17,0)+1,2)</f>
        <v>0.22775512009301332</v>
      </c>
      <c r="Q50" s="37">
        <f>VLOOKUP($C50,$C$33:$Y$36,Q$31,FALSE)*$C$42*$A50/8760/1000*INDEX('Bulb Weighting'!$B$2:$C$17,MATCH(RIGHT('SC-New'!$D50,LEN($D50)-7),'Bulb Weighting'!$B$3:$B$17,0)+1,2)</f>
        <v>0.22568435582686405</v>
      </c>
      <c r="R50" s="37">
        <f>VLOOKUP($C50,$C$33:$Y$36,R$31,FALSE)*$C$42*$A50/8760/1000*INDEX('Bulb Weighting'!$B$2:$C$17,MATCH(RIGHT('SC-New'!$D50,LEN($D50)-7),'Bulb Weighting'!$B$3:$B$17,0)+1,2)</f>
        <v>0.22900732109239455</v>
      </c>
      <c r="S50" s="37">
        <f>VLOOKUP($C50,$C$33:$Y$36,S$31,FALSE)*$C$42*$A50/8760/1000*INDEX('Bulb Weighting'!$B$2:$C$17,MATCH(RIGHT('SC-New'!$D50,LEN($D50)-7),'Bulb Weighting'!$B$3:$B$17,0)+1,2)</f>
        <v>0.23411342731821158</v>
      </c>
      <c r="T50" s="37">
        <f>VLOOKUP($C50,$C$33:$Y$36,T$31,FALSE)*$C$42*$A50/8760/1000*INDEX('Bulb Weighting'!$B$2:$C$17,MATCH(RIGHT('SC-New'!$D50,LEN($D50)-7),'Bulb Weighting'!$B$3:$B$17,0)+1,2)</f>
        <v>0.23500248623481418</v>
      </c>
      <c r="U50" s="37">
        <f>VLOOKUP($C50,$C$33:$Y$36,U$31,FALSE)*$C$42*$A50/8760/1000*INDEX('Bulb Weighting'!$B$2:$C$17,MATCH(RIGHT('SC-New'!$D50,LEN($D50)-7),'Bulb Weighting'!$B$3:$B$17,0)+1,2)</f>
        <v>0.22864990363233714</v>
      </c>
      <c r="V50" s="37">
        <f>VLOOKUP($C50,$C$33:$Y$36,V$31,FALSE)*$C$42*$A50/8760/1000*INDEX('Bulb Weighting'!$B$2:$C$17,MATCH(RIGHT('SC-New'!$D50,LEN($D50)-7),'Bulb Weighting'!$B$3:$B$17,0)+1,2)</f>
        <v>0.22936382303484082</v>
      </c>
      <c r="W50" s="37">
        <f>VLOOKUP($C50,$C$33:$Y$36,W$31,FALSE)*$C$42*$A50/8760/1000*INDEX('Bulb Weighting'!$B$2:$C$17,MATCH(RIGHT('SC-New'!$D50,LEN($D50)-7),'Bulb Weighting'!$B$3:$B$17,0)+1,2)</f>
        <v>0.23080922844187379</v>
      </c>
      <c r="X50" s="37">
        <f>VLOOKUP($C50,$C$33:$Y$36,X$31,FALSE)*$C$42*$A50/8760/1000*INDEX('Bulb Weighting'!$B$2:$C$17,MATCH(RIGHT('SC-New'!$D50,LEN($D50)-7),'Bulb Weighting'!$B$3:$B$17,0)+1,2)</f>
        <v>0.23305276816333045</v>
      </c>
      <c r="Y50" s="37">
        <f t="shared" si="15"/>
        <v>3.8620690935607547</v>
      </c>
      <c r="AA50" s="31"/>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c r="A51" s="89">
        <f t="shared" si="13"/>
        <v>10.331554133000125</v>
      </c>
      <c r="B51" s="71">
        <f t="shared" si="14"/>
        <v>-97.483290128606981</v>
      </c>
      <c r="C51" s="1" t="s">
        <v>29</v>
      </c>
      <c r="D51" t="s">
        <v>753</v>
      </c>
      <c r="E51" s="37">
        <f>VLOOKUP($C51,$C$33:$Y$36,E$31,FALSE)*$C$42*$A51/8760/1000*INDEX('Bulb Weighting'!$B$2:$C$17,MATCH(RIGHT('SC-New'!$D51,LEN($D51)-7),'Bulb Weighting'!$B$3:$B$17,0)+1,2)</f>
        <v>0</v>
      </c>
      <c r="F51" s="37">
        <f>VLOOKUP($C51,$C$33:$Y$36,F$31,FALSE)*$C$42*$A51/8760/1000*INDEX('Bulb Weighting'!$B$2:$C$17,MATCH(RIGHT('SC-New'!$D51,LEN($D51)-7),'Bulb Weighting'!$B$3:$B$17,0)+1,2)</f>
        <v>4.7275356945355507E-2</v>
      </c>
      <c r="G51" s="37">
        <f>VLOOKUP($C51,$C$33:$Y$36,G$31,FALSE)*$C$42*$A51/8760/1000*INDEX('Bulb Weighting'!$B$2:$C$17,MATCH(RIGHT('SC-New'!$D51,LEN($D51)-7),'Bulb Weighting'!$B$3:$B$17,0)+1,2)</f>
        <v>5.7592184224748787E-2</v>
      </c>
      <c r="H51" s="37">
        <f>VLOOKUP($C51,$C$33:$Y$36,H$31,FALSE)*$C$42*$A51/8760/1000*INDEX('Bulb Weighting'!$B$2:$C$17,MATCH(RIGHT('SC-New'!$D51,LEN($D51)-7),'Bulb Weighting'!$B$3:$B$17,0)+1,2)</f>
        <v>6.5350139125289253E-2</v>
      </c>
      <c r="I51" s="37">
        <f>VLOOKUP($C51,$C$33:$Y$36,I$31,FALSE)*$C$42*$A51/8760/1000*INDEX('Bulb Weighting'!$B$2:$C$17,MATCH(RIGHT('SC-New'!$D51,LEN($D51)-7),'Bulb Weighting'!$B$3:$B$17,0)+1,2)</f>
        <v>7.180567011210047E-2</v>
      </c>
      <c r="J51" s="37">
        <f>VLOOKUP($C51,$C$33:$Y$36,J$31,FALSE)*$C$42*$A51/8760/1000*INDEX('Bulb Weighting'!$B$2:$C$17,MATCH(RIGHT('SC-New'!$D51,LEN($D51)-7),'Bulb Weighting'!$B$3:$B$17,0)+1,2)</f>
        <v>7.518718817099633E-2</v>
      </c>
      <c r="K51" s="37">
        <f>VLOOKUP($C51,$C$33:$Y$36,K$31,FALSE)*$C$42*$A51/8760/1000*INDEX('Bulb Weighting'!$B$2:$C$17,MATCH(RIGHT('SC-New'!$D51,LEN($D51)-7),'Bulb Weighting'!$B$3:$B$17,0)+1,2)</f>
        <v>7.8731065681388671E-2</v>
      </c>
      <c r="L51" s="37">
        <f>VLOOKUP($C51,$C$33:$Y$36,L$31,FALSE)*$C$42*$A51/8760/1000*INDEX('Bulb Weighting'!$B$2:$C$17,MATCH(RIGHT('SC-New'!$D51,LEN($D51)-7),'Bulb Weighting'!$B$3:$B$17,0)+1,2)</f>
        <v>8.3121996770400317E-2</v>
      </c>
      <c r="M51" s="37">
        <f>VLOOKUP($C51,$C$33:$Y$36,M$31,FALSE)*$C$42*$A51/8760/1000*INDEX('Bulb Weighting'!$B$2:$C$17,MATCH(RIGHT('SC-New'!$D51,LEN($D51)-7),'Bulb Weighting'!$B$3:$B$17,0)+1,2)</f>
        <v>8.6245638333669147E-2</v>
      </c>
      <c r="N51" s="37">
        <f>VLOOKUP($C51,$C$33:$Y$36,N$31,FALSE)*$C$42*$A51/8760/1000*INDEX('Bulb Weighting'!$B$2:$C$17,MATCH(RIGHT('SC-New'!$D51,LEN($D51)-7),'Bulb Weighting'!$B$3:$B$17,0)+1,2)</f>
        <v>9.117649041228941E-2</v>
      </c>
      <c r="O51" s="37">
        <f>VLOOKUP($C51,$C$33:$Y$36,O$31,FALSE)*$C$42*$A51/8760/1000*INDEX('Bulb Weighting'!$B$2:$C$17,MATCH(RIGHT('SC-New'!$D51,LEN($D51)-7),'Bulb Weighting'!$B$3:$B$17,0)+1,2)</f>
        <v>9.4668452116468724E-2</v>
      </c>
      <c r="P51" s="37">
        <f>VLOOKUP($C51,$C$33:$Y$36,P$31,FALSE)*$C$42*$A51/8760/1000*INDEX('Bulb Weighting'!$B$2:$C$17,MATCH(RIGHT('SC-New'!$D51,LEN($D51)-7),'Bulb Weighting'!$B$3:$B$17,0)+1,2)</f>
        <v>9.5648148473441733E-2</v>
      </c>
      <c r="Q51" s="37">
        <f>VLOOKUP($C51,$C$33:$Y$36,Q$31,FALSE)*$C$42*$A51/8760/1000*INDEX('Bulb Weighting'!$B$2:$C$17,MATCH(RIGHT('SC-New'!$D51,LEN($D51)-7),'Bulb Weighting'!$B$3:$B$17,0)+1,2)</f>
        <v>9.4778509328112062E-2</v>
      </c>
      <c r="R51" s="37">
        <f>VLOOKUP($C51,$C$33:$Y$36,R$31,FALSE)*$C$42*$A51/8760/1000*INDEX('Bulb Weighting'!$B$2:$C$17,MATCH(RIGHT('SC-New'!$D51,LEN($D51)-7),'Bulb Weighting'!$B$3:$B$17,0)+1,2)</f>
        <v>9.6174023400242448E-2</v>
      </c>
      <c r="S51" s="37">
        <f>VLOOKUP($C51,$C$33:$Y$36,S$31,FALSE)*$C$42*$A51/8760/1000*INDEX('Bulb Weighting'!$B$2:$C$17,MATCH(RIGHT('SC-New'!$D51,LEN($D51)-7),'Bulb Weighting'!$B$3:$B$17,0)+1,2)</f>
        <v>9.8318386197481261E-2</v>
      </c>
      <c r="T51" s="37">
        <f>VLOOKUP($C51,$C$33:$Y$36,T$31,FALSE)*$C$42*$A51/8760/1000*INDEX('Bulb Weighting'!$B$2:$C$17,MATCH(RIGHT('SC-New'!$D51,LEN($D51)-7),'Bulb Weighting'!$B$3:$B$17,0)+1,2)</f>
        <v>9.8691755802617326E-2</v>
      </c>
      <c r="U51" s="37">
        <f>VLOOKUP($C51,$C$33:$Y$36,U$31,FALSE)*$C$42*$A51/8760/1000*INDEX('Bulb Weighting'!$B$2:$C$17,MATCH(RIGHT('SC-New'!$D51,LEN($D51)-7),'Bulb Weighting'!$B$3:$B$17,0)+1,2)</f>
        <v>9.6023922193856373E-2</v>
      </c>
      <c r="V51" s="37">
        <f>VLOOKUP($C51,$C$33:$Y$36,V$31,FALSE)*$C$42*$A51/8760/1000*INDEX('Bulb Weighting'!$B$2:$C$17,MATCH(RIGHT('SC-New'!$D51,LEN($D51)-7),'Bulb Weighting'!$B$3:$B$17,0)+1,2)</f>
        <v>9.6323740125417501E-2</v>
      </c>
      <c r="W51" s="37">
        <f>VLOOKUP($C51,$C$33:$Y$36,W$31,FALSE)*$C$42*$A51/8760/1000*INDEX('Bulb Weighting'!$B$2:$C$17,MATCH(RIGHT('SC-New'!$D51,LEN($D51)-7),'Bulb Weighting'!$B$3:$B$17,0)+1,2)</f>
        <v>9.6930753267074815E-2</v>
      </c>
      <c r="X51" s="37">
        <f>VLOOKUP($C51,$C$33:$Y$36,X$31,FALSE)*$C$42*$A51/8760/1000*INDEX('Bulb Weighting'!$B$2:$C$17,MATCH(RIGHT('SC-New'!$D51,LEN($D51)-7),'Bulb Weighting'!$B$3:$B$17,0)+1,2)</f>
        <v>9.7872951274725839E-2</v>
      </c>
      <c r="Y51" s="37">
        <f t="shared" si="15"/>
        <v>1.621916371955676</v>
      </c>
      <c r="AA51" s="3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c r="A52" s="89">
        <f t="shared" si="13"/>
        <v>11.177995908414712</v>
      </c>
      <c r="B52" s="71">
        <f t="shared" si="14"/>
        <v>-118.66739310804593</v>
      </c>
      <c r="C52" s="1" t="s">
        <v>29</v>
      </c>
      <c r="D52" t="s">
        <v>754</v>
      </c>
      <c r="E52" s="37">
        <f>VLOOKUP($C52,$C$33:$Y$36,E$31,FALSE)*$C$42*$A52/8760/1000*INDEX('Bulb Weighting'!$B$2:$C$17,MATCH(RIGHT('SC-New'!$D52,LEN($D52)-7),'Bulb Weighting'!$B$3:$B$17,0)+1,2)</f>
        <v>0</v>
      </c>
      <c r="F52" s="37">
        <f>VLOOKUP($C52,$C$33:$Y$36,F$31,FALSE)*$C$42*$A52/8760/1000*INDEX('Bulb Weighting'!$B$2:$C$17,MATCH(RIGHT('SC-New'!$D52,LEN($D52)-7),'Bulb Weighting'!$B$3:$B$17,0)+1,2)</f>
        <v>3.8540830077383576E-3</v>
      </c>
      <c r="G52" s="37">
        <f>VLOOKUP($C52,$C$33:$Y$36,G$31,FALSE)*$C$42*$A52/8760/1000*INDEX('Bulb Weighting'!$B$2:$C$17,MATCH(RIGHT('SC-New'!$D52,LEN($D52)-7),'Bulb Weighting'!$B$3:$B$17,0)+1,2)</f>
        <v>4.6951535205901401E-3</v>
      </c>
      <c r="H52" s="37">
        <f>VLOOKUP($C52,$C$33:$Y$36,H$31,FALSE)*$C$42*$A52/8760/1000*INDEX('Bulb Weighting'!$B$2:$C$17,MATCH(RIGHT('SC-New'!$D52,LEN($D52)-7),'Bulb Weighting'!$B$3:$B$17,0)+1,2)</f>
        <v>5.3276141531250565E-3</v>
      </c>
      <c r="I52" s="37">
        <f>VLOOKUP($C52,$C$33:$Y$36,I$31,FALSE)*$C$42*$A52/8760/1000*INDEX('Bulb Weighting'!$B$2:$C$17,MATCH(RIGHT('SC-New'!$D52,LEN($D52)-7),'Bulb Weighting'!$B$3:$B$17,0)+1,2)</f>
        <v>5.853895790955012E-3</v>
      </c>
      <c r="J52" s="37">
        <f>VLOOKUP($C52,$C$33:$Y$36,J$31,FALSE)*$C$42*$A52/8760/1000*INDEX('Bulb Weighting'!$B$2:$C$17,MATCH(RIGHT('SC-New'!$D52,LEN($D52)-7),'Bulb Weighting'!$B$3:$B$17,0)+1,2)</f>
        <v>6.1295711561609291E-3</v>
      </c>
      <c r="K52" s="37">
        <f>VLOOKUP($C52,$C$33:$Y$36,K$31,FALSE)*$C$42*$A52/8760/1000*INDEX('Bulb Weighting'!$B$2:$C$17,MATCH(RIGHT('SC-New'!$D52,LEN($D52)-7),'Bulb Weighting'!$B$3:$B$17,0)+1,2)</f>
        <v>6.4184827366720347E-3</v>
      </c>
      <c r="L52" s="37">
        <f>VLOOKUP($C52,$C$33:$Y$36,L$31,FALSE)*$C$42*$A52/8760/1000*INDEX('Bulb Weighting'!$B$2:$C$17,MATCH(RIGHT('SC-New'!$D52,LEN($D52)-7),'Bulb Weighting'!$B$3:$B$17,0)+1,2)</f>
        <v>6.7764496351107014E-3</v>
      </c>
      <c r="M52" s="37">
        <f>VLOOKUP($C52,$C$33:$Y$36,M$31,FALSE)*$C$42*$A52/8760/1000*INDEX('Bulb Weighting'!$B$2:$C$17,MATCH(RIGHT('SC-New'!$D52,LEN($D52)-7),'Bulb Weighting'!$B$3:$B$17,0)+1,2)</f>
        <v>7.0311018397503202E-3</v>
      </c>
      <c r="N52" s="37">
        <f>VLOOKUP($C52,$C$33:$Y$36,N$31,FALSE)*$C$42*$A52/8760/1000*INDEX('Bulb Weighting'!$B$2:$C$17,MATCH(RIGHT('SC-New'!$D52,LEN($D52)-7),'Bulb Weighting'!$B$3:$B$17,0)+1,2)</f>
        <v>7.4330853346998753E-3</v>
      </c>
      <c r="O52" s="37">
        <f>VLOOKUP($C52,$C$33:$Y$36,O$31,FALSE)*$C$42*$A52/8760/1000*INDEX('Bulb Weighting'!$B$2:$C$17,MATCH(RIGHT('SC-New'!$D52,LEN($D52)-7),'Bulb Weighting'!$B$3:$B$17,0)+1,2)</f>
        <v>7.717764523548872E-3</v>
      </c>
      <c r="P52" s="37">
        <f>VLOOKUP($C52,$C$33:$Y$36,P$31,FALSE)*$C$42*$A52/8760/1000*INDEX('Bulb Weighting'!$B$2:$C$17,MATCH(RIGHT('SC-New'!$D52,LEN($D52)-7),'Bulb Weighting'!$B$3:$B$17,0)+1,2)</f>
        <v>7.7976334304408323E-3</v>
      </c>
      <c r="Q52" s="37">
        <f>VLOOKUP($C52,$C$33:$Y$36,Q$31,FALSE)*$C$42*$A52/8760/1000*INDEX('Bulb Weighting'!$B$2:$C$17,MATCH(RIGHT('SC-New'!$D52,LEN($D52)-7),'Bulb Weighting'!$B$3:$B$17,0)+1,2)</f>
        <v>7.7267368435202238E-3</v>
      </c>
      <c r="R52" s="37">
        <f>VLOOKUP($C52,$C$33:$Y$36,R$31,FALSE)*$C$42*$A52/8760/1000*INDEX('Bulb Weighting'!$B$2:$C$17,MATCH(RIGHT('SC-New'!$D52,LEN($D52)-7),'Bulb Weighting'!$B$3:$B$17,0)+1,2)</f>
        <v>7.8405049337045944E-3</v>
      </c>
      <c r="S52" s="37">
        <f>VLOOKUP($C52,$C$33:$Y$36,S$31,FALSE)*$C$42*$A52/8760/1000*INDEX('Bulb Weighting'!$B$2:$C$17,MATCH(RIGHT('SC-New'!$D52,LEN($D52)-7),'Bulb Weighting'!$B$3:$B$17,0)+1,2)</f>
        <v>8.0153222751964247E-3</v>
      </c>
      <c r="T52" s="37">
        <f>VLOOKUP($C52,$C$33:$Y$36,T$31,FALSE)*$C$42*$A52/8760/1000*INDEX('Bulb Weighting'!$B$2:$C$17,MATCH(RIGHT('SC-New'!$D52,LEN($D52)-7),'Bulb Weighting'!$B$3:$B$17,0)+1,2)</f>
        <v>8.0457609126545031E-3</v>
      </c>
      <c r="U52" s="37">
        <f>VLOOKUP($C52,$C$33:$Y$36,U$31,FALSE)*$C$42*$A52/8760/1000*INDEX('Bulb Weighting'!$B$2:$C$17,MATCH(RIGHT('SC-New'!$D52,LEN($D52)-7),'Bulb Weighting'!$B$3:$B$17,0)+1,2)</f>
        <v>7.8282680613390981E-3</v>
      </c>
      <c r="V52" s="37">
        <f>VLOOKUP($C52,$C$33:$Y$36,V$31,FALSE)*$C$42*$A52/8760/1000*INDEX('Bulb Weighting'!$B$2:$C$17,MATCH(RIGHT('SC-New'!$D52,LEN($D52)-7),'Bulb Weighting'!$B$3:$B$17,0)+1,2)</f>
        <v>7.8527104615684733E-3</v>
      </c>
      <c r="W52" s="37">
        <f>VLOOKUP($C52,$C$33:$Y$36,W$31,FALSE)*$C$42*$A52/8760/1000*INDEX('Bulb Weighting'!$B$2:$C$17,MATCH(RIGHT('SC-New'!$D52,LEN($D52)-7),'Bulb Weighting'!$B$3:$B$17,0)+1,2)</f>
        <v>7.9021966883449229E-3</v>
      </c>
      <c r="X52" s="37">
        <f>VLOOKUP($C52,$C$33:$Y$36,X$31,FALSE)*$C$42*$A52/8760/1000*INDEX('Bulb Weighting'!$B$2:$C$17,MATCH(RIGHT('SC-New'!$D52,LEN($D52)-7),'Bulb Weighting'!$B$3:$B$17,0)+1,2)</f>
        <v>7.979008574406617E-3</v>
      </c>
      <c r="Y52" s="37">
        <f t="shared" si="15"/>
        <v>0.132225343879527</v>
      </c>
      <c r="AA52" s="31"/>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c r="A53" s="89">
        <f t="shared" si="13"/>
        <v>21.322455076849025</v>
      </c>
      <c r="B53" s="71">
        <f t="shared" si="14"/>
        <v>-49.256412709384371</v>
      </c>
      <c r="C53" s="1" t="s">
        <v>29</v>
      </c>
      <c r="D53" t="s">
        <v>755</v>
      </c>
      <c r="E53" s="37">
        <f>VLOOKUP($C53,$C$33:$Y$36,E$31,FALSE)*$C$42*$A53/8760/1000*INDEX('Bulb Weighting'!$B$2:$C$17,MATCH(RIGHT('SC-New'!$D53,LEN($D53)-7),'Bulb Weighting'!$B$3:$B$17,0)+1,2)</f>
        <v>0</v>
      </c>
      <c r="F53" s="37">
        <f>VLOOKUP($C53,$C$33:$Y$36,F$31,FALSE)*$C$42*$A53/8760/1000*INDEX('Bulb Weighting'!$B$2:$C$17,MATCH(RIGHT('SC-New'!$D53,LEN($D53)-7),'Bulb Weighting'!$B$3:$B$17,0)+1,2)</f>
        <v>5.089465563104642E-2</v>
      </c>
      <c r="G53" s="37">
        <f>VLOOKUP($C53,$C$33:$Y$36,G$31,FALSE)*$C$42*$A53/8760/1000*INDEX('Bulb Weighting'!$B$2:$C$17,MATCH(RIGHT('SC-New'!$D53,LEN($D53)-7),'Bulb Weighting'!$B$3:$B$17,0)+1,2)</f>
        <v>6.2001316807536837E-2</v>
      </c>
      <c r="H53" s="37">
        <f>VLOOKUP($C53,$C$33:$Y$36,H$31,FALSE)*$C$42*$A53/8760/1000*INDEX('Bulb Weighting'!$B$2:$C$17,MATCH(RIGHT('SC-New'!$D53,LEN($D53)-7),'Bulb Weighting'!$B$3:$B$17,0)+1,2)</f>
        <v>7.035320389155357E-2</v>
      </c>
      <c r="I53" s="37">
        <f>VLOOKUP($C53,$C$33:$Y$36,I$31,FALSE)*$C$42*$A53/8760/1000*INDEX('Bulb Weighting'!$B$2:$C$17,MATCH(RIGHT('SC-New'!$D53,LEN($D53)-7),'Bulb Weighting'!$B$3:$B$17,0)+1,2)</f>
        <v>7.7302956314767871E-2</v>
      </c>
      <c r="J53" s="37">
        <f>VLOOKUP($C53,$C$33:$Y$36,J$31,FALSE)*$C$42*$A53/8760/1000*INDEX('Bulb Weighting'!$B$2:$C$17,MATCH(RIGHT('SC-New'!$D53,LEN($D53)-7),'Bulb Weighting'!$B$3:$B$17,0)+1,2)</f>
        <v>8.0943356054458848E-2</v>
      </c>
      <c r="K53" s="37">
        <f>VLOOKUP($C53,$C$33:$Y$36,K$31,FALSE)*$C$42*$A53/8760/1000*INDEX('Bulb Weighting'!$B$2:$C$17,MATCH(RIGHT('SC-New'!$D53,LEN($D53)-7),'Bulb Weighting'!$B$3:$B$17,0)+1,2)</f>
        <v>8.4758545132745611E-2</v>
      </c>
      <c r="L53" s="37">
        <f>VLOOKUP($C53,$C$33:$Y$36,L$31,FALSE)*$C$42*$A53/8760/1000*INDEX('Bulb Weighting'!$B$2:$C$17,MATCH(RIGHT('SC-New'!$D53,LEN($D53)-7),'Bulb Weighting'!$B$3:$B$17,0)+1,2)</f>
        <v>8.9485636372547625E-2</v>
      </c>
      <c r="M53" s="37">
        <f>VLOOKUP($C53,$C$33:$Y$36,M$31,FALSE)*$C$42*$A53/8760/1000*INDEX('Bulb Weighting'!$B$2:$C$17,MATCH(RIGHT('SC-New'!$D53,LEN($D53)-7),'Bulb Weighting'!$B$3:$B$17,0)+1,2)</f>
        <v>9.2848417151995752E-2</v>
      </c>
      <c r="N53" s="37">
        <f>VLOOKUP($C53,$C$33:$Y$36,N$31,FALSE)*$C$42*$A53/8760/1000*INDEX('Bulb Weighting'!$B$2:$C$17,MATCH(RIGHT('SC-New'!$D53,LEN($D53)-7),'Bulb Weighting'!$B$3:$B$17,0)+1,2)</f>
        <v>9.8156764560119583E-2</v>
      </c>
      <c r="O53" s="37">
        <f>VLOOKUP($C53,$C$33:$Y$36,O$31,FALSE)*$C$42*$A53/8760/1000*INDEX('Bulb Weighting'!$B$2:$C$17,MATCH(RIGHT('SC-New'!$D53,LEN($D53)-7),'Bulb Weighting'!$B$3:$B$17,0)+1,2)</f>
        <v>0.10191606327078681</v>
      </c>
      <c r="P53" s="37">
        <f>VLOOKUP($C53,$C$33:$Y$36,P$31,FALSE)*$C$42*$A53/8760/1000*INDEX('Bulb Weighting'!$B$2:$C$17,MATCH(RIGHT('SC-New'!$D53,LEN($D53)-7),'Bulb Weighting'!$B$3:$B$17,0)+1,2)</f>
        <v>0.10297076305377874</v>
      </c>
      <c r="Q53" s="37">
        <f>VLOOKUP($C53,$C$33:$Y$36,Q$31,FALSE)*$C$42*$A53/8760/1000*INDEX('Bulb Weighting'!$B$2:$C$17,MATCH(RIGHT('SC-New'!$D53,LEN($D53)-7),'Bulb Weighting'!$B$3:$B$17,0)+1,2)</f>
        <v>0.10203454622360249</v>
      </c>
      <c r="R53" s="37">
        <f>VLOOKUP($C53,$C$33:$Y$36,R$31,FALSE)*$C$42*$A53/8760/1000*INDEX('Bulb Weighting'!$B$2:$C$17,MATCH(RIGHT('SC-New'!$D53,LEN($D53)-7),'Bulb Weighting'!$B$3:$B$17,0)+1,2)</f>
        <v>0.10353689782322024</v>
      </c>
      <c r="S53" s="37">
        <f>VLOOKUP($C53,$C$33:$Y$36,S$31,FALSE)*$C$42*$A53/8760/1000*INDEX('Bulb Weighting'!$B$2:$C$17,MATCH(RIGHT('SC-New'!$D53,LEN($D53)-7),'Bulb Weighting'!$B$3:$B$17,0)+1,2)</f>
        <v>0.10584542838047538</v>
      </c>
      <c r="T53" s="37">
        <f>VLOOKUP($C53,$C$33:$Y$36,T$31,FALSE)*$C$42*$A53/8760/1000*INDEX('Bulb Weighting'!$B$2:$C$17,MATCH(RIGHT('SC-New'!$D53,LEN($D53)-7),'Bulb Weighting'!$B$3:$B$17,0)+1,2)</f>
        <v>0.10624738235193804</v>
      </c>
      <c r="U53" s="37">
        <f>VLOOKUP($C53,$C$33:$Y$36,U$31,FALSE)*$C$42*$A53/8760/1000*INDEX('Bulb Weighting'!$B$2:$C$17,MATCH(RIGHT('SC-New'!$D53,LEN($D53)-7),'Bulb Weighting'!$B$3:$B$17,0)+1,2)</f>
        <v>0.103375305194366</v>
      </c>
      <c r="V53" s="37">
        <f>VLOOKUP($C53,$C$33:$Y$36,V$31,FALSE)*$C$42*$A53/8760/1000*INDEX('Bulb Weighting'!$B$2:$C$17,MATCH(RIGHT('SC-New'!$D53,LEN($D53)-7),'Bulb Weighting'!$B$3:$B$17,0)+1,2)</f>
        <v>0.10369807653581675</v>
      </c>
      <c r="W53" s="37">
        <f>VLOOKUP($C53,$C$33:$Y$36,W$31,FALSE)*$C$42*$A53/8760/1000*INDEX('Bulb Weighting'!$B$2:$C$17,MATCH(RIGHT('SC-New'!$D53,LEN($D53)-7),'Bulb Weighting'!$B$3:$B$17,0)+1,2)</f>
        <v>0.10435156128568079</v>
      </c>
      <c r="X53" s="37">
        <f>VLOOKUP($C53,$C$33:$Y$36,X$31,FALSE)*$C$42*$A53/8760/1000*INDEX('Bulb Weighting'!$B$2:$C$17,MATCH(RIGHT('SC-New'!$D53,LEN($D53)-7),'Bulb Weighting'!$B$3:$B$17,0)+1,2)</f>
        <v>0.10536589192714128</v>
      </c>
      <c r="Y53" s="37">
        <f t="shared" si="15"/>
        <v>1.7460867679635788</v>
      </c>
      <c r="AA53" s="31"/>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row>
    <row r="54" spans="1:80">
      <c r="A54" s="89">
        <f t="shared" si="13"/>
        <v>16.258824982644914</v>
      </c>
      <c r="B54" s="71">
        <f t="shared" si="14"/>
        <v>-57.558538168362972</v>
      </c>
      <c r="C54" s="1" t="s">
        <v>29</v>
      </c>
      <c r="D54" t="s">
        <v>756</v>
      </c>
      <c r="E54" s="37">
        <f>VLOOKUP($C54,$C$33:$Y$36,E$31,FALSE)*$C$42*$A54/8760/1000*INDEX('Bulb Weighting'!$B$2:$C$17,MATCH(RIGHT('SC-New'!$D54,LEN($D54)-7),'Bulb Weighting'!$B$3:$B$17,0)+1,2)</f>
        <v>0</v>
      </c>
      <c r="F54" s="37">
        <f>VLOOKUP($C54,$C$33:$Y$36,F$31,FALSE)*$C$42*$A54/8760/1000*INDEX('Bulb Weighting'!$B$2:$C$17,MATCH(RIGHT('SC-New'!$D54,LEN($D54)-7),'Bulb Weighting'!$B$3:$B$17,0)+1,2)</f>
        <v>0.39214576071198215</v>
      </c>
      <c r="G54" s="37">
        <f>VLOOKUP($C54,$C$33:$Y$36,G$31,FALSE)*$C$42*$A54/8760/1000*INDEX('Bulb Weighting'!$B$2:$C$17,MATCH(RIGHT('SC-New'!$D54,LEN($D54)-7),'Bulb Weighting'!$B$3:$B$17,0)+1,2)</f>
        <v>0.47772311735231682</v>
      </c>
      <c r="H54" s="37">
        <f>VLOOKUP($C54,$C$33:$Y$36,H$31,FALSE)*$C$42*$A54/8760/1000*INDEX('Bulb Weighting'!$B$2:$C$17,MATCH(RIGHT('SC-New'!$D54,LEN($D54)-7),'Bulb Weighting'!$B$3:$B$17,0)+1,2)</f>
        <v>0.54207480759038651</v>
      </c>
      <c r="I54" s="37">
        <f>VLOOKUP($C54,$C$33:$Y$36,I$31,FALSE)*$C$42*$A54/8760/1000*INDEX('Bulb Weighting'!$B$2:$C$17,MATCH(RIGHT('SC-New'!$D54,LEN($D54)-7),'Bulb Weighting'!$B$3:$B$17,0)+1,2)</f>
        <v>0.59562298307109129</v>
      </c>
      <c r="J54" s="37">
        <f>VLOOKUP($C54,$C$33:$Y$36,J$31,FALSE)*$C$42*$A54/8760/1000*INDEX('Bulb Weighting'!$B$2:$C$17,MATCH(RIGHT('SC-New'!$D54,LEN($D54)-7),'Bulb Weighting'!$B$3:$B$17,0)+1,2)</f>
        <v>0.62367243752787671</v>
      </c>
      <c r="K54" s="37">
        <f>VLOOKUP($C54,$C$33:$Y$36,K$31,FALSE)*$C$42*$A54/8760/1000*INDEX('Bulb Weighting'!$B$2:$C$17,MATCH(RIGHT('SC-New'!$D54,LEN($D54)-7),'Bulb Weighting'!$B$3:$B$17,0)+1,2)</f>
        <v>0.65306865221514487</v>
      </c>
      <c r="L54" s="37">
        <f>VLOOKUP($C54,$C$33:$Y$36,L$31,FALSE)*$C$42*$A54/8760/1000*INDEX('Bulb Weighting'!$B$2:$C$17,MATCH(RIGHT('SC-New'!$D54,LEN($D54)-7),'Bulb Weighting'!$B$3:$B$17,0)+1,2)</f>
        <v>0.68949111675887398</v>
      </c>
      <c r="M54" s="37">
        <f>VLOOKUP($C54,$C$33:$Y$36,M$31,FALSE)*$C$42*$A54/8760/1000*INDEX('Bulb Weighting'!$B$2:$C$17,MATCH(RIGHT('SC-New'!$D54,LEN($D54)-7),'Bulb Weighting'!$B$3:$B$17,0)+1,2)</f>
        <v>0.71540150382238121</v>
      </c>
      <c r="N54" s="37">
        <f>VLOOKUP($C54,$C$33:$Y$36,N$31,FALSE)*$C$42*$A54/8760/1000*INDEX('Bulb Weighting'!$B$2:$C$17,MATCH(RIGHT('SC-New'!$D54,LEN($D54)-7),'Bulb Weighting'!$B$3:$B$17,0)+1,2)</f>
        <v>0.75630257499914288</v>
      </c>
      <c r="O54" s="37">
        <f>VLOOKUP($C54,$C$33:$Y$36,O$31,FALSE)*$C$42*$A54/8760/1000*INDEX('Bulb Weighting'!$B$2:$C$17,MATCH(RIGHT('SC-New'!$D54,LEN($D54)-7),'Bulb Weighting'!$B$3:$B$17,0)+1,2)</f>
        <v>0.7852681517254132</v>
      </c>
      <c r="P54" s="37">
        <f>VLOOKUP($C54,$C$33:$Y$36,P$31,FALSE)*$C$42*$A54/8760/1000*INDEX('Bulb Weighting'!$B$2:$C$17,MATCH(RIGHT('SC-New'!$D54,LEN($D54)-7),'Bulb Weighting'!$B$3:$B$17,0)+1,2)</f>
        <v>0.79339466409878368</v>
      </c>
      <c r="Q54" s="37">
        <f>VLOOKUP($C54,$C$33:$Y$36,Q$31,FALSE)*$C$42*$A54/8760/1000*INDEX('Bulb Weighting'!$B$2:$C$17,MATCH(RIGHT('SC-New'!$D54,LEN($D54)-7),'Bulb Weighting'!$B$3:$B$17,0)+1,2)</f>
        <v>0.78618106855503334</v>
      </c>
      <c r="R54" s="37">
        <f>VLOOKUP($C54,$C$33:$Y$36,R$31,FALSE)*$C$42*$A54/8760/1000*INDEX('Bulb Weighting'!$B$2:$C$17,MATCH(RIGHT('SC-New'!$D54,LEN($D54)-7),'Bulb Weighting'!$B$3:$B$17,0)+1,2)</f>
        <v>0.79775675962876536</v>
      </c>
      <c r="S54" s="37">
        <f>VLOOKUP($C54,$C$33:$Y$36,S$31,FALSE)*$C$42*$A54/8760/1000*INDEX('Bulb Weighting'!$B$2:$C$17,MATCH(RIGHT('SC-New'!$D54,LEN($D54)-7),'Bulb Weighting'!$B$3:$B$17,0)+1,2)</f>
        <v>0.8155440982064025</v>
      </c>
      <c r="T54" s="37">
        <f>VLOOKUP($C54,$C$33:$Y$36,T$31,FALSE)*$C$42*$A54/8760/1000*INDEX('Bulb Weighting'!$B$2:$C$17,MATCH(RIGHT('SC-New'!$D54,LEN($D54)-7),'Bulb Weighting'!$B$3:$B$17,0)+1,2)</f>
        <v>0.81864117281975857</v>
      </c>
      <c r="U54" s="37">
        <f>VLOOKUP($C54,$C$33:$Y$36,U$31,FALSE)*$C$42*$A54/8760/1000*INDEX('Bulb Weighting'!$B$2:$C$17,MATCH(RIGHT('SC-New'!$D54,LEN($D54)-7),'Bulb Weighting'!$B$3:$B$17,0)+1,2)</f>
        <v>0.79651168067928024</v>
      </c>
      <c r="V54" s="37">
        <f>VLOOKUP($C54,$C$33:$Y$36,V$31,FALSE)*$C$42*$A54/8760/1000*INDEX('Bulb Weighting'!$B$2:$C$17,MATCH(RIGHT('SC-New'!$D54,LEN($D54)-7),'Bulb Weighting'!$B$3:$B$17,0)+1,2)</f>
        <v>0.79899864933364761</v>
      </c>
      <c r="W54" s="37">
        <f>VLOOKUP($C54,$C$33:$Y$36,W$31,FALSE)*$C$42*$A54/8760/1000*INDEX('Bulb Weighting'!$B$2:$C$17,MATCH(RIGHT('SC-New'!$D54,LEN($D54)-7),'Bulb Weighting'!$B$3:$B$17,0)+1,2)</f>
        <v>0.80403378064894426</v>
      </c>
      <c r="X54" s="37">
        <f>VLOOKUP($C54,$C$33:$Y$36,X$31,FALSE)*$C$42*$A54/8760/1000*INDEX('Bulb Weighting'!$B$2:$C$17,MATCH(RIGHT('SC-New'!$D54,LEN($D54)-7),'Bulb Weighting'!$B$3:$B$17,0)+1,2)</f>
        <v>0.81184924685216486</v>
      </c>
      <c r="Y54" s="37">
        <f t="shared" si="15"/>
        <v>13.45368222659739</v>
      </c>
      <c r="AA54" s="31"/>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row>
    <row r="55" spans="1:80">
      <c r="A55" s="89">
        <f t="shared" si="13"/>
        <v>87.041761167225999</v>
      </c>
      <c r="B55" s="71">
        <f t="shared" si="14"/>
        <v>-31.342168529326845</v>
      </c>
      <c r="C55" s="1" t="s">
        <v>29</v>
      </c>
      <c r="D55" t="s">
        <v>757</v>
      </c>
      <c r="E55" s="37">
        <f>VLOOKUP($C55,$C$33:$Y$36,E$31,FALSE)*$C$42*$A55/8760/1000*INDEX('Bulb Weighting'!$B$2:$C$17,MATCH(RIGHT('SC-New'!$D55,LEN($D55)-7),'Bulb Weighting'!$B$3:$B$17,0)+1,2)</f>
        <v>0</v>
      </c>
      <c r="F55" s="37">
        <f>VLOOKUP($C55,$C$33:$Y$36,F$31,FALSE)*$C$42*$A55/8760/1000*INDEX('Bulb Weighting'!$B$2:$C$17,MATCH(RIGHT('SC-New'!$D55,LEN($D55)-7),'Bulb Weighting'!$B$3:$B$17,0)+1,2)</f>
        <v>0.17251943520505164</v>
      </c>
      <c r="G55" s="37">
        <f>VLOOKUP($C55,$C$33:$Y$36,G$31,FALSE)*$C$42*$A55/8760/1000*INDEX('Bulb Weighting'!$B$2:$C$17,MATCH(RIGHT('SC-New'!$D55,LEN($D55)-7),'Bulb Weighting'!$B$3:$B$17,0)+1,2)</f>
        <v>0.21016808199171241</v>
      </c>
      <c r="H55" s="37">
        <f>VLOOKUP($C55,$C$33:$Y$36,H$31,FALSE)*$C$42*$A55/8760/1000*INDEX('Bulb Weighting'!$B$2:$C$17,MATCH(RIGHT('SC-New'!$D55,LEN($D55)-7),'Bulb Weighting'!$B$3:$B$17,0)+1,2)</f>
        <v>0.2384787724712053</v>
      </c>
      <c r="I55" s="37">
        <f>VLOOKUP($C55,$C$33:$Y$36,I$31,FALSE)*$C$42*$A55/8760/1000*INDEX('Bulb Weighting'!$B$2:$C$17,MATCH(RIGHT('SC-New'!$D55,LEN($D55)-7),'Bulb Weighting'!$B$3:$B$17,0)+1,2)</f>
        <v>0.26203659692255071</v>
      </c>
      <c r="J55" s="37">
        <f>VLOOKUP($C55,$C$33:$Y$36,J$31,FALSE)*$C$42*$A55/8760/1000*INDEX('Bulb Weighting'!$B$2:$C$17,MATCH(RIGHT('SC-New'!$D55,LEN($D55)-7),'Bulb Weighting'!$B$3:$B$17,0)+1,2)</f>
        <v>0.27437659017380656</v>
      </c>
      <c r="K55" s="37">
        <f>VLOOKUP($C55,$C$33:$Y$36,K$31,FALSE)*$C$42*$A55/8760/1000*INDEX('Bulb Weighting'!$B$2:$C$17,MATCH(RIGHT('SC-New'!$D55,LEN($D55)-7),'Bulb Weighting'!$B$3:$B$17,0)+1,2)</f>
        <v>0.28730907310006909</v>
      </c>
      <c r="L55" s="37">
        <f>VLOOKUP($C55,$C$33:$Y$36,L$31,FALSE)*$C$42*$A55/8760/1000*INDEX('Bulb Weighting'!$B$2:$C$17,MATCH(RIGHT('SC-New'!$D55,LEN($D55)-7),'Bulb Weighting'!$B$3:$B$17,0)+1,2)</f>
        <v>0.30333266341110976</v>
      </c>
      <c r="M55" s="37">
        <f>VLOOKUP($C55,$C$33:$Y$36,M$31,FALSE)*$C$42*$A55/8760/1000*INDEX('Bulb Weighting'!$B$2:$C$17,MATCH(RIGHT('SC-New'!$D55,LEN($D55)-7),'Bulb Weighting'!$B$3:$B$17,0)+1,2)</f>
        <v>0.31473160173961467</v>
      </c>
      <c r="N55" s="37">
        <f>VLOOKUP($C55,$C$33:$Y$36,N$31,FALSE)*$C$42*$A55/8760/1000*INDEX('Bulb Weighting'!$B$2:$C$17,MATCH(RIGHT('SC-New'!$D55,LEN($D55)-7),'Bulb Weighting'!$B$3:$B$17,0)+1,2)</f>
        <v>0.33272549688178121</v>
      </c>
      <c r="O55" s="37">
        <f>VLOOKUP($C55,$C$33:$Y$36,O$31,FALSE)*$C$42*$A55/8760/1000*INDEX('Bulb Weighting'!$B$2:$C$17,MATCH(RIGHT('SC-New'!$D55,LEN($D55)-7),'Bulb Weighting'!$B$3:$B$17,0)+1,2)</f>
        <v>0.34546852622916452</v>
      </c>
      <c r="P55" s="37">
        <f>VLOOKUP($C55,$C$33:$Y$36,P$31,FALSE)*$C$42*$A55/8760/1000*INDEX('Bulb Weighting'!$B$2:$C$17,MATCH(RIGHT('SC-New'!$D55,LEN($D55)-7),'Bulb Weighting'!$B$3:$B$17,0)+1,2)</f>
        <v>0.34904367982076595</v>
      </c>
      <c r="Q55" s="37">
        <f>VLOOKUP($C55,$C$33:$Y$36,Q$31,FALSE)*$C$42*$A55/8760/1000*INDEX('Bulb Weighting'!$B$2:$C$17,MATCH(RIGHT('SC-New'!$D55,LEN($D55)-7),'Bulb Weighting'!$B$3:$B$17,0)+1,2)</f>
        <v>0.3458701521336478</v>
      </c>
      <c r="R55" s="37">
        <f>VLOOKUP($C55,$C$33:$Y$36,R$31,FALSE)*$C$42*$A55/8760/1000*INDEX('Bulb Weighting'!$B$2:$C$17,MATCH(RIGHT('SC-New'!$D55,LEN($D55)-7),'Bulb Weighting'!$B$3:$B$17,0)+1,2)</f>
        <v>0.35096272710506304</v>
      </c>
      <c r="S55" s="37">
        <f>VLOOKUP($C55,$C$33:$Y$36,S$31,FALSE)*$C$42*$A55/8760/1000*INDEX('Bulb Weighting'!$B$2:$C$17,MATCH(RIGHT('SC-New'!$D55,LEN($D55)-7),'Bulb Weighting'!$B$3:$B$17,0)+1,2)</f>
        <v>0.35878803573429185</v>
      </c>
      <c r="T55" s="37">
        <f>VLOOKUP($C55,$C$33:$Y$36,T$31,FALSE)*$C$42*$A55/8760/1000*INDEX('Bulb Weighting'!$B$2:$C$17,MATCH(RIGHT('SC-New'!$D55,LEN($D55)-7),'Bulb Weighting'!$B$3:$B$17,0)+1,2)</f>
        <v>0.3601505534932854</v>
      </c>
      <c r="U55" s="37">
        <f>VLOOKUP($C55,$C$33:$Y$36,U$31,FALSE)*$C$42*$A55/8760/1000*INDEX('Bulb Weighting'!$B$2:$C$17,MATCH(RIGHT('SC-New'!$D55,LEN($D55)-7),'Bulb Weighting'!$B$3:$B$17,0)+1,2)</f>
        <v>0.35041497078924599</v>
      </c>
      <c r="V55" s="37">
        <f>VLOOKUP($C55,$C$33:$Y$36,V$31,FALSE)*$C$42*$A55/8760/1000*INDEX('Bulb Weighting'!$B$2:$C$17,MATCH(RIGHT('SC-New'!$D55,LEN($D55)-7),'Bulb Weighting'!$B$3:$B$17,0)+1,2)</f>
        <v>0.35150908035413109</v>
      </c>
      <c r="W55" s="37">
        <f>VLOOKUP($C55,$C$33:$Y$36,W$31,FALSE)*$C$42*$A55/8760/1000*INDEX('Bulb Weighting'!$B$2:$C$17,MATCH(RIGHT('SC-New'!$D55,LEN($D55)-7),'Bulb Weighting'!$B$3:$B$17,0)+1,2)</f>
        <v>0.35372422099245165</v>
      </c>
      <c r="X55" s="37">
        <f>VLOOKUP($C55,$C$33:$Y$36,X$31,FALSE)*$C$42*$A55/8760/1000*INDEX('Bulb Weighting'!$B$2:$C$17,MATCH(RIGHT('SC-New'!$D55,LEN($D55)-7),'Bulb Weighting'!$B$3:$B$17,0)+1,2)</f>
        <v>0.35716253386059482</v>
      </c>
      <c r="Y55" s="37">
        <f t="shared" si="15"/>
        <v>5.918772792409543</v>
      </c>
      <c r="AA55" s="31"/>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row>
    <row r="56" spans="1:80">
      <c r="A56" s="89">
        <f t="shared" si="13"/>
        <v>50.673589083344737</v>
      </c>
      <c r="B56" s="71">
        <f t="shared" si="14"/>
        <v>-6.4266835469852737</v>
      </c>
      <c r="C56" s="1" t="s">
        <v>29</v>
      </c>
      <c r="D56" t="s">
        <v>758</v>
      </c>
      <c r="E56" s="37">
        <f>VLOOKUP($C56,$C$33:$Y$36,E$31,FALSE)*$C$42*$A56/8760/1000*INDEX('Bulb Weighting'!$B$2:$C$17,MATCH(RIGHT('SC-New'!$D56,LEN($D56)-7),'Bulb Weighting'!$B$3:$B$17,0)+1,2)</f>
        <v>0</v>
      </c>
      <c r="F56" s="37">
        <f>VLOOKUP($C56,$C$33:$Y$36,F$31,FALSE)*$C$42*$A56/8760/1000*INDEX('Bulb Weighting'!$B$2:$C$17,MATCH(RIGHT('SC-New'!$D56,LEN($D56)-7),'Bulb Weighting'!$B$3:$B$17,0)+1,2)</f>
        <v>1.575986569272024E-3</v>
      </c>
      <c r="G56" s="37">
        <f>VLOOKUP($C56,$C$33:$Y$36,G$31,FALSE)*$C$42*$A56/8760/1000*INDEX('Bulb Weighting'!$B$2:$C$17,MATCH(RIGHT('SC-New'!$D56,LEN($D56)-7),'Bulb Weighting'!$B$3:$B$17,0)+1,2)</f>
        <v>1.9199116558370319E-3</v>
      </c>
      <c r="H56" s="37">
        <f>VLOOKUP($C56,$C$33:$Y$36,H$31,FALSE)*$C$42*$A56/8760/1000*INDEX('Bulb Weighting'!$B$2:$C$17,MATCH(RIGHT('SC-New'!$D56,LEN($D56)-7),'Bulb Weighting'!$B$3:$B$17,0)+1,2)</f>
        <v>2.1785333462539256E-3</v>
      </c>
      <c r="I56" s="37">
        <f>VLOOKUP($C56,$C$33:$Y$36,I$31,FALSE)*$C$42*$A56/8760/1000*INDEX('Bulb Weighting'!$B$2:$C$17,MATCH(RIGHT('SC-New'!$D56,LEN($D56)-7),'Bulb Weighting'!$B$3:$B$17,0)+1,2)</f>
        <v>2.3937370123942683E-3</v>
      </c>
      <c r="J56" s="37">
        <f>VLOOKUP($C56,$C$33:$Y$36,J$31,FALSE)*$C$42*$A56/8760/1000*INDEX('Bulb Weighting'!$B$2:$C$17,MATCH(RIGHT('SC-New'!$D56,LEN($D56)-7),'Bulb Weighting'!$B$3:$B$17,0)+1,2)</f>
        <v>2.506464390650357E-3</v>
      </c>
      <c r="K56" s="37">
        <f>VLOOKUP($C56,$C$33:$Y$36,K$31,FALSE)*$C$42*$A56/8760/1000*INDEX('Bulb Weighting'!$B$2:$C$17,MATCH(RIGHT('SC-New'!$D56,LEN($D56)-7),'Bulb Weighting'!$B$3:$B$17,0)+1,2)</f>
        <v>2.6246042360243268E-3</v>
      </c>
      <c r="L56" s="37">
        <f>VLOOKUP($C56,$C$33:$Y$36,L$31,FALSE)*$C$42*$A56/8760/1000*INDEX('Bulb Weighting'!$B$2:$C$17,MATCH(RIGHT('SC-New'!$D56,LEN($D56)-7),'Bulb Weighting'!$B$3:$B$17,0)+1,2)</f>
        <v>2.7709817330970623E-3</v>
      </c>
      <c r="M56" s="37">
        <f>VLOOKUP($C56,$C$33:$Y$36,M$31,FALSE)*$C$42*$A56/8760/1000*INDEX('Bulb Weighting'!$B$2:$C$17,MATCH(RIGHT('SC-New'!$D56,LEN($D56)-7),'Bulb Weighting'!$B$3:$B$17,0)+1,2)</f>
        <v>2.8751124571997216E-3</v>
      </c>
      <c r="N56" s="37">
        <f>VLOOKUP($C56,$C$33:$Y$36,N$31,FALSE)*$C$42*$A56/8760/1000*INDEX('Bulb Weighting'!$B$2:$C$17,MATCH(RIGHT('SC-New'!$D56,LEN($D56)-7),'Bulb Weighting'!$B$3:$B$17,0)+1,2)</f>
        <v>3.0394889347788302E-3</v>
      </c>
      <c r="O56" s="37">
        <f>VLOOKUP($C56,$C$33:$Y$36,O$31,FALSE)*$C$42*$A56/8760/1000*INDEX('Bulb Weighting'!$B$2:$C$17,MATCH(RIGHT('SC-New'!$D56,LEN($D56)-7),'Bulb Weighting'!$B$3:$B$17,0)+1,2)</f>
        <v>3.1558980980678553E-3</v>
      </c>
      <c r="P56" s="37">
        <f>VLOOKUP($C56,$C$33:$Y$36,P$31,FALSE)*$C$42*$A56/8760/1000*INDEX('Bulb Weighting'!$B$2:$C$17,MATCH(RIGHT('SC-New'!$D56,LEN($D56)-7),'Bulb Weighting'!$B$3:$B$17,0)+1,2)</f>
        <v>3.1885575722700034E-3</v>
      </c>
      <c r="Q56" s="37">
        <f>VLOOKUP($C56,$C$33:$Y$36,Q$31,FALSE)*$C$42*$A56/8760/1000*INDEX('Bulb Weighting'!$B$2:$C$17,MATCH(RIGHT('SC-New'!$D56,LEN($D56)-7),'Bulb Weighting'!$B$3:$B$17,0)+1,2)</f>
        <v>3.1595670008241457E-3</v>
      </c>
      <c r="R56" s="37">
        <f>VLOOKUP($C56,$C$33:$Y$36,R$31,FALSE)*$C$42*$A56/8760/1000*INDEX('Bulb Weighting'!$B$2:$C$17,MATCH(RIGHT('SC-New'!$D56,LEN($D56)-7),'Bulb Weighting'!$B$3:$B$17,0)+1,2)</f>
        <v>3.2060883086896738E-3</v>
      </c>
      <c r="S56" s="37">
        <f>VLOOKUP($C56,$C$33:$Y$36,S$31,FALSE)*$C$42*$A56/8760/1000*INDEX('Bulb Weighting'!$B$2:$C$17,MATCH(RIGHT('SC-New'!$D56,LEN($D56)-7),'Bulb Weighting'!$B$3:$B$17,0)+1,2)</f>
        <v>3.2775734795367434E-3</v>
      </c>
      <c r="T56" s="37">
        <f>VLOOKUP($C56,$C$33:$Y$36,T$31,FALSE)*$C$42*$A56/8760/1000*INDEX('Bulb Weighting'!$B$2:$C$17,MATCH(RIGHT('SC-New'!$D56,LEN($D56)-7),'Bulb Weighting'!$B$3:$B$17,0)+1,2)</f>
        <v>3.2900202492935327E-3</v>
      </c>
      <c r="U56" s="37">
        <f>VLOOKUP($C56,$C$33:$Y$36,U$31,FALSE)*$C$42*$A56/8760/1000*INDEX('Bulb Weighting'!$B$2:$C$17,MATCH(RIGHT('SC-New'!$D56,LEN($D56)-7),'Bulb Weighting'!$B$3:$B$17,0)+1,2)</f>
        <v>3.2010844863902587E-3</v>
      </c>
      <c r="V56" s="37">
        <f>VLOOKUP($C56,$C$33:$Y$36,V$31,FALSE)*$C$42*$A56/8760/1000*INDEX('Bulb Weighting'!$B$2:$C$17,MATCH(RIGHT('SC-New'!$D56,LEN($D56)-7),'Bulb Weighting'!$B$3:$B$17,0)+1,2)</f>
        <v>3.2110793137992491E-3</v>
      </c>
      <c r="W56" s="37">
        <f>VLOOKUP($C56,$C$33:$Y$36,W$31,FALSE)*$C$42*$A56/8760/1000*INDEX('Bulb Weighting'!$B$2:$C$17,MATCH(RIGHT('SC-New'!$D56,LEN($D56)-7),'Bulb Weighting'!$B$3:$B$17,0)+1,2)</f>
        <v>3.2313148999573681E-3</v>
      </c>
      <c r="X56" s="37">
        <f>VLOOKUP($C56,$C$33:$Y$36,X$31,FALSE)*$C$42*$A56/8760/1000*INDEX('Bulb Weighting'!$B$2:$C$17,MATCH(RIGHT('SC-New'!$D56,LEN($D56)-7),'Bulb Weighting'!$B$3:$B$17,0)+1,2)</f>
        <v>3.2627243170743904E-3</v>
      </c>
      <c r="Y56" s="37">
        <f t="shared" si="15"/>
        <v>5.4068728061410776E-2</v>
      </c>
      <c r="AA56" s="31"/>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c r="A57" s="89">
        <f t="shared" si="13"/>
        <v>54.583633546821666</v>
      </c>
      <c r="B57" s="71">
        <f t="shared" si="14"/>
        <v>-12.334283459818346</v>
      </c>
      <c r="C57" s="1" t="s">
        <v>29</v>
      </c>
      <c r="D57" t="s">
        <v>759</v>
      </c>
      <c r="E57" s="37">
        <f>VLOOKUP($C57,$C$33:$Y$36,E$31,FALSE)*$C$42*$A57/8760/1000*INDEX('Bulb Weighting'!$B$2:$C$17,MATCH(RIGHT('SC-New'!$D57,LEN($D57)-7),'Bulb Weighting'!$B$3:$B$17,0)+1,2)</f>
        <v>0</v>
      </c>
      <c r="F57" s="37">
        <f>VLOOKUP($C57,$C$33:$Y$36,F$31,FALSE)*$C$42*$A57/8760/1000*INDEX('Bulb Weighting'!$B$2:$C$17,MATCH(RIGHT('SC-New'!$D57,LEN($D57)-7),'Bulb Weighting'!$B$3:$B$17,0)+1,2)</f>
        <v>2.0954090883602155E-2</v>
      </c>
      <c r="G57" s="37">
        <f>VLOOKUP($C57,$C$33:$Y$36,G$31,FALSE)*$C$42*$A57/8760/1000*INDEX('Bulb Weighting'!$B$2:$C$17,MATCH(RIGHT('SC-New'!$D57,LEN($D57)-7),'Bulb Weighting'!$B$3:$B$17,0)+1,2)</f>
        <v>2.5526869396786302E-2</v>
      </c>
      <c r="H57" s="37">
        <f>VLOOKUP($C57,$C$33:$Y$36,H$31,FALSE)*$C$42*$A57/8760/1000*INDEX('Bulb Weighting'!$B$2:$C$17,MATCH(RIGHT('SC-New'!$D57,LEN($D57)-7),'Bulb Weighting'!$B$3:$B$17,0)+1,2)</f>
        <v>2.8965466216789422E-2</v>
      </c>
      <c r="I57" s="37">
        <f>VLOOKUP($C57,$C$33:$Y$36,I$31,FALSE)*$C$42*$A57/8760/1000*INDEX('Bulb Weighting'!$B$2:$C$17,MATCH(RIGHT('SC-New'!$D57,LEN($D57)-7),'Bulb Weighting'!$B$3:$B$17,0)+1,2)</f>
        <v>3.1826783227169836E-2</v>
      </c>
      <c r="J57" s="37">
        <f>VLOOKUP($C57,$C$33:$Y$36,J$31,FALSE)*$C$42*$A57/8760/1000*INDEX('Bulb Weighting'!$B$2:$C$17,MATCH(RIGHT('SC-New'!$D57,LEN($D57)-7),'Bulb Weighting'!$B$3:$B$17,0)+1,2)</f>
        <v>3.3325590244376445E-2</v>
      </c>
      <c r="K57" s="37">
        <f>VLOOKUP($C57,$C$33:$Y$36,K$31,FALSE)*$C$42*$A57/8760/1000*INDEX('Bulb Weighting'!$B$2:$C$17,MATCH(RIGHT('SC-New'!$D57,LEN($D57)-7),'Bulb Weighting'!$B$3:$B$17,0)+1,2)</f>
        <v>3.4896360646363027E-2</v>
      </c>
      <c r="L57" s="37">
        <f>VLOOKUP($C57,$C$33:$Y$36,L$31,FALSE)*$C$42*$A57/8760/1000*INDEX('Bulb Weighting'!$B$2:$C$17,MATCH(RIGHT('SC-New'!$D57,LEN($D57)-7),'Bulb Weighting'!$B$3:$B$17,0)+1,2)</f>
        <v>3.6842574806292765E-2</v>
      </c>
      <c r="M57" s="37">
        <f>VLOOKUP($C57,$C$33:$Y$36,M$31,FALSE)*$C$42*$A57/8760/1000*INDEX('Bulb Weighting'!$B$2:$C$17,MATCH(RIGHT('SC-New'!$D57,LEN($D57)-7),'Bulb Weighting'!$B$3:$B$17,0)+1,2)</f>
        <v>3.8227081945608248E-2</v>
      </c>
      <c r="N57" s="37">
        <f>VLOOKUP($C57,$C$33:$Y$36,N$31,FALSE)*$C$42*$A57/8760/1000*INDEX('Bulb Weighting'!$B$2:$C$17,MATCH(RIGHT('SC-New'!$D57,LEN($D57)-7),'Bulb Weighting'!$B$3:$B$17,0)+1,2)</f>
        <v>4.0412607963073006E-2</v>
      </c>
      <c r="O57" s="37">
        <f>VLOOKUP($C57,$C$33:$Y$36,O$31,FALSE)*$C$42*$A57/8760/1000*INDEX('Bulb Weighting'!$B$2:$C$17,MATCH(RIGHT('SC-New'!$D57,LEN($D57)-7),'Bulb Weighting'!$B$3:$B$17,0)+1,2)</f>
        <v>4.1960367464836425E-2</v>
      </c>
      <c r="P57" s="37">
        <f>VLOOKUP($C57,$C$33:$Y$36,P$31,FALSE)*$C$42*$A57/8760/1000*INDEX('Bulb Weighting'!$B$2:$C$17,MATCH(RIGHT('SC-New'!$D57,LEN($D57)-7),'Bulb Weighting'!$B$3:$B$17,0)+1,2)</f>
        <v>4.2394603139166182E-2</v>
      </c>
      <c r="Q57" s="37">
        <f>VLOOKUP($C57,$C$33:$Y$36,Q$31,FALSE)*$C$42*$A57/8760/1000*INDEX('Bulb Weighting'!$B$2:$C$17,MATCH(RIGHT('SC-New'!$D57,LEN($D57)-7),'Bulb Weighting'!$B$3:$B$17,0)+1,2)</f>
        <v>4.2009148668494728E-2</v>
      </c>
      <c r="R57" s="37">
        <f>VLOOKUP($C57,$C$33:$Y$36,R$31,FALSE)*$C$42*$A57/8760/1000*INDEX('Bulb Weighting'!$B$2:$C$17,MATCH(RIGHT('SC-New'!$D57,LEN($D57)-7),'Bulb Weighting'!$B$3:$B$17,0)+1,2)</f>
        <v>4.2627689290632514E-2</v>
      </c>
      <c r="S57" s="37">
        <f>VLOOKUP($C57,$C$33:$Y$36,S$31,FALSE)*$C$42*$A57/8760/1000*INDEX('Bulb Weighting'!$B$2:$C$17,MATCH(RIGHT('SC-New'!$D57,LEN($D57)-7),'Bulb Weighting'!$B$3:$B$17,0)+1,2)</f>
        <v>4.3578145846522608E-2</v>
      </c>
      <c r="T57" s="37">
        <f>VLOOKUP($C57,$C$33:$Y$36,T$31,FALSE)*$C$42*$A57/8760/1000*INDEX('Bulb Weighting'!$B$2:$C$17,MATCH(RIGHT('SC-New'!$D57,LEN($D57)-7),'Bulb Weighting'!$B$3:$B$17,0)+1,2)</f>
        <v>4.3743636308038084E-2</v>
      </c>
      <c r="U57" s="37">
        <f>VLOOKUP($C57,$C$33:$Y$36,U$31,FALSE)*$C$42*$A57/8760/1000*INDEX('Bulb Weighting'!$B$2:$C$17,MATCH(RIGHT('SC-New'!$D57,LEN($D57)-7),'Bulb Weighting'!$B$3:$B$17,0)+1,2)</f>
        <v>4.2561159188617886E-2</v>
      </c>
      <c r="V57" s="37">
        <f>VLOOKUP($C57,$C$33:$Y$36,V$31,FALSE)*$C$42*$A57/8760/1000*INDEX('Bulb Weighting'!$B$2:$C$17,MATCH(RIGHT('SC-New'!$D57,LEN($D57)-7),'Bulb Weighting'!$B$3:$B$17,0)+1,2)</f>
        <v>4.2694048977133435E-2</v>
      </c>
      <c r="W57" s="37">
        <f>VLOOKUP($C57,$C$33:$Y$36,W$31,FALSE)*$C$42*$A57/8760/1000*INDEX('Bulb Weighting'!$B$2:$C$17,MATCH(RIGHT('SC-New'!$D57,LEN($D57)-7),'Bulb Weighting'!$B$3:$B$17,0)+1,2)</f>
        <v>4.2963098421911414E-2</v>
      </c>
      <c r="X57" s="37">
        <f>VLOOKUP($C57,$C$33:$Y$36,X$31,FALSE)*$C$42*$A57/8760/1000*INDEX('Bulb Weighting'!$B$2:$C$17,MATCH(RIGHT('SC-New'!$D57,LEN($D57)-7),'Bulb Weighting'!$B$3:$B$17,0)+1,2)</f>
        <v>4.33807135169278E-2</v>
      </c>
      <c r="Y57" s="37">
        <f t="shared" si="15"/>
        <v>0.71889003615234248</v>
      </c>
      <c r="AA57" s="31"/>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row>
    <row r="58" spans="1:80">
      <c r="A58" s="89">
        <f t="shared" si="13"/>
        <v>48.844129164687544</v>
      </c>
      <c r="B58" s="71">
        <f t="shared" si="14"/>
        <v>-29.993229849727555</v>
      </c>
      <c r="C58" s="1" t="s">
        <v>29</v>
      </c>
      <c r="D58" t="s">
        <v>760</v>
      </c>
      <c r="E58" s="37">
        <f>VLOOKUP($C58,$C$33:$Y$36,E$31,FALSE)*$C$42*$A58/8760/1000*INDEX('Bulb Weighting'!$B$2:$C$17,MATCH(RIGHT('SC-New'!$D58,LEN($D58)-7),'Bulb Weighting'!$B$3:$B$17,0)+1,2)</f>
        <v>0</v>
      </c>
      <c r="F58" s="37">
        <f>VLOOKUP($C58,$C$33:$Y$36,F$31,FALSE)*$C$42*$A58/8760/1000*INDEX('Bulb Weighting'!$B$2:$C$17,MATCH(RIGHT('SC-New'!$D58,LEN($D58)-7),'Bulb Weighting'!$B$3:$B$17,0)+1,2)</f>
        <v>7.2507153600276875E-2</v>
      </c>
      <c r="G58" s="37">
        <f>VLOOKUP($C58,$C$33:$Y$36,G$31,FALSE)*$C$42*$A58/8760/1000*INDEX('Bulb Weighting'!$B$2:$C$17,MATCH(RIGHT('SC-New'!$D58,LEN($D58)-7),'Bulb Weighting'!$B$3:$B$17,0)+1,2)</f>
        <v>8.8330276439500297E-2</v>
      </c>
      <c r="H58" s="37">
        <f>VLOOKUP($C58,$C$33:$Y$36,H$31,FALSE)*$C$42*$A58/8760/1000*INDEX('Bulb Weighting'!$B$2:$C$17,MATCH(RIGHT('SC-New'!$D58,LEN($D58)-7),'Bulb Weighting'!$B$3:$B$17,0)+1,2)</f>
        <v>0.10022880590481345</v>
      </c>
      <c r="I58" s="37">
        <f>VLOOKUP($C58,$C$33:$Y$36,I$31,FALSE)*$C$42*$A58/8760/1000*INDEX('Bulb Weighting'!$B$2:$C$17,MATCH(RIGHT('SC-New'!$D58,LEN($D58)-7),'Bulb Weighting'!$B$3:$B$17,0)+1,2)</f>
        <v>0.11012978195398639</v>
      </c>
      <c r="J58" s="37">
        <f>VLOOKUP($C58,$C$33:$Y$36,J$31,FALSE)*$C$42*$A58/8760/1000*INDEX('Bulb Weighting'!$B$2:$C$17,MATCH(RIGHT('SC-New'!$D58,LEN($D58)-7),'Bulb Weighting'!$B$3:$B$17,0)+1,2)</f>
        <v>0.11531608334102562</v>
      </c>
      <c r="K58" s="37">
        <f>VLOOKUP($C58,$C$33:$Y$36,K$31,FALSE)*$C$42*$A58/8760/1000*INDEX('Bulb Weighting'!$B$2:$C$17,MATCH(RIGHT('SC-New'!$D58,LEN($D58)-7),'Bulb Weighting'!$B$3:$B$17,0)+1,2)</f>
        <v>0.1207513986424753</v>
      </c>
      <c r="L58" s="37">
        <f>VLOOKUP($C58,$C$33:$Y$36,L$31,FALSE)*$C$42*$A58/8760/1000*INDEX('Bulb Weighting'!$B$2:$C$17,MATCH(RIGHT('SC-New'!$D58,LEN($D58)-7),'Bulb Weighting'!$B$3:$B$17,0)+1,2)</f>
        <v>0.12748585683571959</v>
      </c>
      <c r="M58" s="37">
        <f>VLOOKUP($C58,$C$33:$Y$36,M$31,FALSE)*$C$42*$A58/8760/1000*INDEX('Bulb Weighting'!$B$2:$C$17,MATCH(RIGHT('SC-New'!$D58,LEN($D58)-7),'Bulb Weighting'!$B$3:$B$17,0)+1,2)</f>
        <v>0.13227664792127253</v>
      </c>
      <c r="N58" s="37">
        <f>VLOOKUP($C58,$C$33:$Y$36,N$31,FALSE)*$C$42*$A58/8760/1000*INDEX('Bulb Weighting'!$B$2:$C$17,MATCH(RIGHT('SC-New'!$D58,LEN($D58)-7),'Bulb Weighting'!$B$3:$B$17,0)+1,2)</f>
        <v>0.13983919365642192</v>
      </c>
      <c r="O58" s="37">
        <f>VLOOKUP($C58,$C$33:$Y$36,O$31,FALSE)*$C$42*$A58/8760/1000*INDEX('Bulb Weighting'!$B$2:$C$17,MATCH(RIGHT('SC-New'!$D58,LEN($D58)-7),'Bulb Weighting'!$B$3:$B$17,0)+1,2)</f>
        <v>0.14519488465509325</v>
      </c>
      <c r="P58" s="37">
        <f>VLOOKUP($C58,$C$33:$Y$36,P$31,FALSE)*$C$42*$A58/8760/1000*INDEX('Bulb Weighting'!$B$2:$C$17,MATCH(RIGHT('SC-New'!$D58,LEN($D58)-7),'Bulb Weighting'!$B$3:$B$17,0)+1,2)</f>
        <v>0.14669746440967404</v>
      </c>
      <c r="Q58" s="37">
        <f>VLOOKUP($C58,$C$33:$Y$36,Q$31,FALSE)*$C$42*$A58/8760/1000*INDEX('Bulb Weighting'!$B$2:$C$17,MATCH(RIGHT('SC-New'!$D58,LEN($D58)-7),'Bulb Weighting'!$B$3:$B$17,0)+1,2)</f>
        <v>0.14536368158577881</v>
      </c>
      <c r="R58" s="37">
        <f>VLOOKUP($C58,$C$33:$Y$36,R$31,FALSE)*$C$42*$A58/8760/1000*INDEX('Bulb Weighting'!$B$2:$C$17,MATCH(RIGHT('SC-New'!$D58,LEN($D58)-7),'Bulb Weighting'!$B$3:$B$17,0)+1,2)</f>
        <v>0.14750400922616586</v>
      </c>
      <c r="S58" s="37">
        <f>VLOOKUP($C58,$C$33:$Y$36,S$31,FALSE)*$C$42*$A58/8760/1000*INDEX('Bulb Weighting'!$B$2:$C$17,MATCH(RIGHT('SC-New'!$D58,LEN($D58)-7),'Bulb Weighting'!$B$3:$B$17,0)+1,2)</f>
        <v>0.15079286102465844</v>
      </c>
      <c r="T58" s="37">
        <f>VLOOKUP($C58,$C$33:$Y$36,T$31,FALSE)*$C$42*$A58/8760/1000*INDEX('Bulb Weighting'!$B$2:$C$17,MATCH(RIGHT('SC-New'!$D58,LEN($D58)-7),'Bulb Weighting'!$B$3:$B$17,0)+1,2)</f>
        <v>0.15136550540131682</v>
      </c>
      <c r="U58" s="37">
        <f>VLOOKUP($C58,$C$33:$Y$36,U$31,FALSE)*$C$42*$A58/8760/1000*INDEX('Bulb Weighting'!$B$2:$C$17,MATCH(RIGHT('SC-New'!$D58,LEN($D58)-7),'Bulb Weighting'!$B$3:$B$17,0)+1,2)</f>
        <v>0.14727379602566898</v>
      </c>
      <c r="V58" s="37">
        <f>VLOOKUP($C58,$C$33:$Y$36,V$31,FALSE)*$C$42*$A58/8760/1000*INDEX('Bulb Weighting'!$B$2:$C$17,MATCH(RIGHT('SC-New'!$D58,LEN($D58)-7),'Bulb Weighting'!$B$3:$B$17,0)+1,2)</f>
        <v>0.14773363274019541</v>
      </c>
      <c r="W58" s="37">
        <f>VLOOKUP($C58,$C$33:$Y$36,W$31,FALSE)*$C$42*$A58/8760/1000*INDEX('Bulb Weighting'!$B$2:$C$17,MATCH(RIGHT('SC-New'!$D58,LEN($D58)-7),'Bulb Weighting'!$B$3:$B$17,0)+1,2)</f>
        <v>0.14866462084781371</v>
      </c>
      <c r="X58" s="37">
        <f>VLOOKUP($C58,$C$33:$Y$36,X$31,FALSE)*$C$42*$A58/8760/1000*INDEX('Bulb Weighting'!$B$2:$C$17,MATCH(RIGHT('SC-New'!$D58,LEN($D58)-7),'Bulb Weighting'!$B$3:$B$17,0)+1,2)</f>
        <v>0.15010968863950885</v>
      </c>
      <c r="Y58" s="37">
        <f t="shared" si="15"/>
        <v>2.4875653428513664</v>
      </c>
      <c r="AA58" s="31"/>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row>
    <row r="59" spans="1:80">
      <c r="A59" s="89">
        <f t="shared" si="13"/>
        <v>20.131003317263307</v>
      </c>
      <c r="B59" s="71">
        <f t="shared" si="14"/>
        <v>-21.262756278752239</v>
      </c>
      <c r="C59" s="1" t="str">
        <f>C14</f>
        <v>Multifamily - Low Rise</v>
      </c>
      <c r="D59" t="s">
        <v>746</v>
      </c>
      <c r="E59" s="37">
        <f>VLOOKUP($C59,$C$33:$Y$36,E$31,FALSE)*$C$42*$A59/8760/1000*INDEX('Bulb Weighting'!$B$2:$C$17,MATCH(RIGHT('SC-New'!$D59,LEN($D59)-7),'Bulb Weighting'!$B$3:$B$17,0)+1,2)</f>
        <v>0</v>
      </c>
      <c r="F59" s="37">
        <f>VLOOKUP($C59,$C$33:$Y$36,F$31,FALSE)*$C$42*$A59/8760/1000*INDEX('Bulb Weighting'!$B$2:$C$17,MATCH(RIGHT('SC-New'!$D59,LEN($D59)-7),'Bulb Weighting'!$B$3:$B$17,0)+1,2)</f>
        <v>3.1546555616792156E-2</v>
      </c>
      <c r="G59" s="37">
        <f>VLOOKUP($C59,$C$33:$Y$36,G$31,FALSE)*$C$42*$A59/8760/1000*INDEX('Bulb Weighting'!$B$2:$C$17,MATCH(RIGHT('SC-New'!$D59,LEN($D59)-7),'Bulb Weighting'!$B$3:$B$17,0)+1,2)</f>
        <v>4.0183354974211112E-2</v>
      </c>
      <c r="H59" s="37">
        <f>VLOOKUP($C59,$C$33:$Y$36,H$31,FALSE)*$C$42*$A59/8760/1000*INDEX('Bulb Weighting'!$B$2:$C$17,MATCH(RIGHT('SC-New'!$D59,LEN($D59)-7),'Bulb Weighting'!$B$3:$B$17,0)+1,2)</f>
        <v>4.5630080501879854E-2</v>
      </c>
      <c r="I59" s="37">
        <f>VLOOKUP($C59,$C$33:$Y$36,I$31,FALSE)*$C$42*$A59/8760/1000*INDEX('Bulb Weighting'!$B$2:$C$17,MATCH(RIGHT('SC-New'!$D59,LEN($D59)-7),'Bulb Weighting'!$B$3:$B$17,0)+1,2)</f>
        <v>4.8564094512586038E-2</v>
      </c>
      <c r="J59" s="37">
        <f>VLOOKUP($C59,$C$33:$Y$36,J$31,FALSE)*$C$42*$A59/8760/1000*INDEX('Bulb Weighting'!$B$2:$C$17,MATCH(RIGHT('SC-New'!$D59,LEN($D59)-7),'Bulb Weighting'!$B$3:$B$17,0)+1,2)</f>
        <v>5.1453510972995491E-2</v>
      </c>
      <c r="K59" s="37">
        <f>VLOOKUP($C59,$C$33:$Y$36,K$31,FALSE)*$C$42*$A59/8760/1000*INDEX('Bulb Weighting'!$B$2:$C$17,MATCH(RIGHT('SC-New'!$D59,LEN($D59)-7),'Bulb Weighting'!$B$3:$B$17,0)+1,2)</f>
        <v>5.4919007854693565E-2</v>
      </c>
      <c r="L59" s="37">
        <f>VLOOKUP($C59,$C$33:$Y$36,L$31,FALSE)*$C$42*$A59/8760/1000*INDEX('Bulb Weighting'!$B$2:$C$17,MATCH(RIGHT('SC-New'!$D59,LEN($D59)-7),'Bulb Weighting'!$B$3:$B$17,0)+1,2)</f>
        <v>5.9343860842082971E-2</v>
      </c>
      <c r="M59" s="37">
        <f>VLOOKUP($C59,$C$33:$Y$36,M$31,FALSE)*$C$42*$A59/8760/1000*INDEX('Bulb Weighting'!$B$2:$C$17,MATCH(RIGHT('SC-New'!$D59,LEN($D59)-7),'Bulb Weighting'!$B$3:$B$17,0)+1,2)</f>
        <v>6.3729109398747957E-2</v>
      </c>
      <c r="N59" s="37">
        <f>VLOOKUP($C59,$C$33:$Y$36,N$31,FALSE)*$C$42*$A59/8760/1000*INDEX('Bulb Weighting'!$B$2:$C$17,MATCH(RIGHT('SC-New'!$D59,LEN($D59)-7),'Bulb Weighting'!$B$3:$B$17,0)+1,2)</f>
        <v>6.7995422699450789E-2</v>
      </c>
      <c r="O59" s="37">
        <f>VLOOKUP($C59,$C$33:$Y$36,O$31,FALSE)*$C$42*$A59/8760/1000*INDEX('Bulb Weighting'!$B$2:$C$17,MATCH(RIGHT('SC-New'!$D59,LEN($D59)-7),'Bulb Weighting'!$B$3:$B$17,0)+1,2)</f>
        <v>7.0402663921679903E-2</v>
      </c>
      <c r="P59" s="37">
        <f>VLOOKUP($C59,$C$33:$Y$36,P$31,FALSE)*$C$42*$A59/8760/1000*INDEX('Bulb Weighting'!$B$2:$C$17,MATCH(RIGHT('SC-New'!$D59,LEN($D59)-7),'Bulb Weighting'!$B$3:$B$17,0)+1,2)</f>
        <v>7.2076125467811378E-2</v>
      </c>
      <c r="Q59" s="37">
        <f>VLOOKUP($C59,$C$33:$Y$36,Q$31,FALSE)*$C$42*$A59/8760/1000*INDEX('Bulb Weighting'!$B$2:$C$17,MATCH(RIGHT('SC-New'!$D59,LEN($D59)-7),'Bulb Weighting'!$B$3:$B$17,0)+1,2)</f>
        <v>7.3481696291785664E-2</v>
      </c>
      <c r="R59" s="37">
        <f>VLOOKUP($C59,$C$33:$Y$36,R$31,FALSE)*$C$42*$A59/8760/1000*INDEX('Bulb Weighting'!$B$2:$C$17,MATCH(RIGHT('SC-New'!$D59,LEN($D59)-7),'Bulb Weighting'!$B$3:$B$17,0)+1,2)</f>
        <v>7.3675561154934968E-2</v>
      </c>
      <c r="S59" s="37">
        <f>VLOOKUP($C59,$C$33:$Y$36,S$31,FALSE)*$C$42*$A59/8760/1000*INDEX('Bulb Weighting'!$B$2:$C$17,MATCH(RIGHT('SC-New'!$D59,LEN($D59)-7),'Bulb Weighting'!$B$3:$B$17,0)+1,2)</f>
        <v>7.3552183321613715E-2</v>
      </c>
      <c r="T59" s="37">
        <f>VLOOKUP($C59,$C$33:$Y$36,T$31,FALSE)*$C$42*$A59/8760/1000*INDEX('Bulb Weighting'!$B$2:$C$17,MATCH(RIGHT('SC-New'!$D59,LEN($D59)-7),'Bulb Weighting'!$B$3:$B$17,0)+1,2)</f>
        <v>7.2630684672509799E-2</v>
      </c>
      <c r="U59" s="37">
        <f>VLOOKUP($C59,$C$33:$Y$36,U$31,FALSE)*$C$42*$A59/8760/1000*INDEX('Bulb Weighting'!$B$2:$C$17,MATCH(RIGHT('SC-New'!$D59,LEN($D59)-7),'Bulb Weighting'!$B$3:$B$17,0)+1,2)</f>
        <v>7.183904802777169E-2</v>
      </c>
      <c r="V59" s="37">
        <f>VLOOKUP($C59,$C$33:$Y$36,V$31,FALSE)*$C$42*$A59/8760/1000*INDEX('Bulb Weighting'!$B$2:$C$17,MATCH(RIGHT('SC-New'!$D59,LEN($D59)-7),'Bulb Weighting'!$B$3:$B$17,0)+1,2)</f>
        <v>7.1271711539553084E-2</v>
      </c>
      <c r="W59" s="37">
        <f>VLOOKUP($C59,$C$33:$Y$36,W$31,FALSE)*$C$42*$A59/8760/1000*INDEX('Bulb Weighting'!$B$2:$C$17,MATCH(RIGHT('SC-New'!$D59,LEN($D59)-7),'Bulb Weighting'!$B$3:$B$17,0)+1,2)</f>
        <v>7.0161773615043319E-2</v>
      </c>
      <c r="X59" s="37">
        <f>VLOOKUP($C59,$C$33:$Y$36,X$31,FALSE)*$C$42*$A59/8760/1000*INDEX('Bulb Weighting'!$B$2:$C$17,MATCH(RIGHT('SC-New'!$D59,LEN($D59)-7),'Bulb Weighting'!$B$3:$B$17,0)+1,2)</f>
        <v>7.009986175081373E-2</v>
      </c>
      <c r="Y59" s="37">
        <f t="shared" si="15"/>
        <v>1.1825563071369574</v>
      </c>
      <c r="AA59" s="31"/>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row>
    <row r="60" spans="1:80">
      <c r="A60" s="89">
        <f t="shared" si="13"/>
        <v>15.166068390464758</v>
      </c>
      <c r="B60" s="71">
        <f t="shared" si="14"/>
        <v>-19.792953526125213</v>
      </c>
      <c r="C60" s="1" t="s">
        <v>32</v>
      </c>
      <c r="D60" t="s">
        <v>747</v>
      </c>
      <c r="E60" s="37">
        <f>VLOOKUP($C60,$C$33:$Y$36,E$31,FALSE)*$C$42*$A60/8760/1000*INDEX('Bulb Weighting'!$B$2:$C$17,MATCH(RIGHT('SC-New'!$D60,LEN($D60)-7),'Bulb Weighting'!$B$3:$B$17,0)+1,2)</f>
        <v>0</v>
      </c>
      <c r="F60" s="37">
        <f>VLOOKUP($C60,$C$33:$Y$36,F$31,FALSE)*$C$42*$A60/8760/1000*INDEX('Bulb Weighting'!$B$2:$C$17,MATCH(RIGHT('SC-New'!$D60,LEN($D60)-7),'Bulb Weighting'!$B$3:$B$17,0)+1,2)</f>
        <v>6.5184082542774314E-3</v>
      </c>
      <c r="G60" s="37">
        <f>VLOOKUP($C60,$C$33:$Y$36,G$31,FALSE)*$C$42*$A60/8760/1000*INDEX('Bulb Weighting'!$B$2:$C$17,MATCH(RIGHT('SC-New'!$D60,LEN($D60)-7),'Bulb Weighting'!$B$3:$B$17,0)+1,2)</f>
        <v>8.3030146279751763E-3</v>
      </c>
      <c r="H60" s="37">
        <f>VLOOKUP($C60,$C$33:$Y$36,H$31,FALSE)*$C$42*$A60/8760/1000*INDEX('Bulb Weighting'!$B$2:$C$17,MATCH(RIGHT('SC-New'!$D60,LEN($D60)-7),'Bulb Weighting'!$B$3:$B$17,0)+1,2)</f>
        <v>9.4284617629847699E-3</v>
      </c>
      <c r="I60" s="37">
        <f>VLOOKUP($C60,$C$33:$Y$36,I$31,FALSE)*$C$42*$A60/8760/1000*INDEX('Bulb Weighting'!$B$2:$C$17,MATCH(RIGHT('SC-New'!$D60,LEN($D60)-7),'Bulb Weighting'!$B$3:$B$17,0)+1,2)</f>
        <v>1.0034711820134358E-2</v>
      </c>
      <c r="J60" s="37">
        <f>VLOOKUP($C60,$C$33:$Y$36,J$31,FALSE)*$C$42*$A60/8760/1000*INDEX('Bulb Weighting'!$B$2:$C$17,MATCH(RIGHT('SC-New'!$D60,LEN($D60)-7),'Bulb Weighting'!$B$3:$B$17,0)+1,2)</f>
        <v>1.0631746765386908E-2</v>
      </c>
      <c r="K60" s="37">
        <f>VLOOKUP($C60,$C$33:$Y$36,K$31,FALSE)*$C$42*$A60/8760/1000*INDEX('Bulb Weighting'!$B$2:$C$17,MATCH(RIGHT('SC-New'!$D60,LEN($D60)-7),'Bulb Weighting'!$B$3:$B$17,0)+1,2)</f>
        <v>1.1347816175728779E-2</v>
      </c>
      <c r="L60" s="37">
        <f>VLOOKUP($C60,$C$33:$Y$36,L$31,FALSE)*$C$42*$A60/8760/1000*INDEX('Bulb Weighting'!$B$2:$C$17,MATCH(RIGHT('SC-New'!$D60,LEN($D60)-7),'Bulb Weighting'!$B$3:$B$17,0)+1,2)</f>
        <v>1.2262115618981155E-2</v>
      </c>
      <c r="M60" s="37">
        <f>VLOOKUP($C60,$C$33:$Y$36,M$31,FALSE)*$C$42*$A60/8760/1000*INDEX('Bulb Weighting'!$B$2:$C$17,MATCH(RIGHT('SC-New'!$D60,LEN($D60)-7),'Bulb Weighting'!$B$3:$B$17,0)+1,2)</f>
        <v>1.3168231669685837E-2</v>
      </c>
      <c r="N60" s="37">
        <f>VLOOKUP($C60,$C$33:$Y$36,N$31,FALSE)*$C$42*$A60/8760/1000*INDEX('Bulb Weighting'!$B$2:$C$17,MATCH(RIGHT('SC-New'!$D60,LEN($D60)-7),'Bulb Weighting'!$B$3:$B$17,0)+1,2)</f>
        <v>1.4049772341588287E-2</v>
      </c>
      <c r="O60" s="37">
        <f>VLOOKUP($C60,$C$33:$Y$36,O$31,FALSE)*$C$42*$A60/8760/1000*INDEX('Bulb Weighting'!$B$2:$C$17,MATCH(RIGHT('SC-New'!$D60,LEN($D60)-7),'Bulb Weighting'!$B$3:$B$17,0)+1,2)</f>
        <v>1.4547176281454948E-2</v>
      </c>
      <c r="P60" s="37">
        <f>VLOOKUP($C60,$C$33:$Y$36,P$31,FALSE)*$C$42*$A60/8760/1000*INDEX('Bulb Weighting'!$B$2:$C$17,MATCH(RIGHT('SC-New'!$D60,LEN($D60)-7),'Bulb Weighting'!$B$3:$B$17,0)+1,2)</f>
        <v>1.4892960641815127E-2</v>
      </c>
      <c r="Q60" s="37">
        <f>VLOOKUP($C60,$C$33:$Y$36,Q$31,FALSE)*$C$42*$A60/8760/1000*INDEX('Bulb Weighting'!$B$2:$C$17,MATCH(RIGHT('SC-New'!$D60,LEN($D60)-7),'Bulb Weighting'!$B$3:$B$17,0)+1,2)</f>
        <v>1.5183391222327968E-2</v>
      </c>
      <c r="R60" s="37">
        <f>VLOOKUP($C60,$C$33:$Y$36,R$31,FALSE)*$C$42*$A60/8760/1000*INDEX('Bulb Weighting'!$B$2:$C$17,MATCH(RIGHT('SC-New'!$D60,LEN($D60)-7),'Bulb Weighting'!$B$3:$B$17,0)+1,2)</f>
        <v>1.5223449171586112E-2</v>
      </c>
      <c r="S60" s="37">
        <f>VLOOKUP($C60,$C$33:$Y$36,S$31,FALSE)*$C$42*$A60/8760/1000*INDEX('Bulb Weighting'!$B$2:$C$17,MATCH(RIGHT('SC-New'!$D60,LEN($D60)-7),'Bulb Weighting'!$B$3:$B$17,0)+1,2)</f>
        <v>1.5197955830985465E-2</v>
      </c>
      <c r="T60" s="37">
        <f>VLOOKUP($C60,$C$33:$Y$36,T$31,FALSE)*$C$42*$A60/8760/1000*INDEX('Bulb Weighting'!$B$2:$C$17,MATCH(RIGHT('SC-New'!$D60,LEN($D60)-7),'Bulb Weighting'!$B$3:$B$17,0)+1,2)</f>
        <v>1.5007548216487384E-2</v>
      </c>
      <c r="U60" s="37">
        <f>VLOOKUP($C60,$C$33:$Y$36,U$31,FALSE)*$C$42*$A60/8760/1000*INDEX('Bulb Weighting'!$B$2:$C$17,MATCH(RIGHT('SC-New'!$D60,LEN($D60)-7),'Bulb Weighting'!$B$3:$B$17,0)+1,2)</f>
        <v>1.4843973755232965E-2</v>
      </c>
      <c r="V60" s="37">
        <f>VLOOKUP($C60,$C$33:$Y$36,V$31,FALSE)*$C$42*$A60/8760/1000*INDEX('Bulb Weighting'!$B$2:$C$17,MATCH(RIGHT('SC-New'!$D60,LEN($D60)-7),'Bulb Weighting'!$B$3:$B$17,0)+1,2)</f>
        <v>1.4726746033364387E-2</v>
      </c>
      <c r="W60" s="37">
        <f>VLOOKUP($C60,$C$33:$Y$36,W$31,FALSE)*$C$42*$A60/8760/1000*INDEX('Bulb Weighting'!$B$2:$C$17,MATCH(RIGHT('SC-New'!$D60,LEN($D60)-7),'Bulb Weighting'!$B$3:$B$17,0)+1,2)</f>
        <v>1.4497401549080691E-2</v>
      </c>
      <c r="X60" s="37">
        <f>VLOOKUP($C60,$C$33:$Y$36,X$31,FALSE)*$C$42*$A60/8760/1000*INDEX('Bulb Weighting'!$B$2:$C$17,MATCH(RIGHT('SC-New'!$D60,LEN($D60)-7),'Bulb Weighting'!$B$3:$B$17,0)+1,2)</f>
        <v>1.4484608811523728E-2</v>
      </c>
      <c r="Y60" s="37">
        <f t="shared" si="15"/>
        <v>0.24434949055060148</v>
      </c>
      <c r="AA60" s="31"/>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row>
    <row r="61" spans="1:80">
      <c r="A61" s="89">
        <f t="shared" si="13"/>
        <v>7.5107020440195642</v>
      </c>
      <c r="B61" s="71">
        <f t="shared" si="14"/>
        <v>253.66864707291808</v>
      </c>
      <c r="C61" s="1" t="s">
        <v>32</v>
      </c>
      <c r="D61" t="s">
        <v>748</v>
      </c>
      <c r="E61" s="37">
        <f>VLOOKUP($C61,$C$33:$Y$36,E$31,FALSE)*$C$42*$A61/8760/1000*INDEX('Bulb Weighting'!$B$2:$C$17,MATCH(RIGHT('SC-New'!$D61,LEN($D61)-7),'Bulb Weighting'!$B$3:$B$17,0)+1,2)</f>
        <v>0</v>
      </c>
      <c r="F61" s="37">
        <f>VLOOKUP($C61,$C$33:$Y$36,F$31,FALSE)*$C$42*$A61/8760/1000*INDEX('Bulb Weighting'!$B$2:$C$17,MATCH(RIGHT('SC-New'!$D61,LEN($D61)-7),'Bulb Weighting'!$B$3:$B$17,0)+1,2)</f>
        <v>6.3421098803523822E-5</v>
      </c>
      <c r="G61" s="37">
        <f>VLOOKUP($C61,$C$33:$Y$36,G$31,FALSE)*$C$42*$A61/8760/1000*INDEX('Bulb Weighting'!$B$2:$C$17,MATCH(RIGHT('SC-New'!$D61,LEN($D61)-7),'Bulb Weighting'!$B$3:$B$17,0)+1,2)</f>
        <v>8.0784493782261516E-5</v>
      </c>
      <c r="H61" s="37">
        <f>VLOOKUP($C61,$C$33:$Y$36,H$31,FALSE)*$C$42*$A61/8760/1000*INDEX('Bulb Weighting'!$B$2:$C$17,MATCH(RIGHT('SC-New'!$D61,LEN($D61)-7),'Bulb Weighting'!$B$3:$B$17,0)+1,2)</f>
        <v>9.1734574102982127E-5</v>
      </c>
      <c r="I61" s="37">
        <f>VLOOKUP($C61,$C$33:$Y$36,I$31,FALSE)*$C$42*$A61/8760/1000*INDEX('Bulb Weighting'!$B$2:$C$17,MATCH(RIGHT('SC-New'!$D61,LEN($D61)-7),'Bulb Weighting'!$B$3:$B$17,0)+1,2)</f>
        <v>9.7633106884953137E-5</v>
      </c>
      <c r="J61" s="37">
        <f>VLOOKUP($C61,$C$33:$Y$36,J$31,FALSE)*$C$42*$A61/8760/1000*INDEX('Bulb Weighting'!$B$2:$C$17,MATCH(RIGHT('SC-New'!$D61,LEN($D61)-7),'Bulb Weighting'!$B$3:$B$17,0)+1,2)</f>
        <v>1.0344198088838357E-4</v>
      </c>
      <c r="K61" s="37">
        <f>VLOOKUP($C61,$C$33:$Y$36,K$31,FALSE)*$C$42*$A61/8760/1000*INDEX('Bulb Weighting'!$B$2:$C$17,MATCH(RIGHT('SC-New'!$D61,LEN($D61)-7),'Bulb Weighting'!$B$3:$B$17,0)+1,2)</f>
        <v>1.1040900520657842E-4</v>
      </c>
      <c r="L61" s="37">
        <f>VLOOKUP($C61,$C$33:$Y$36,L$31,FALSE)*$C$42*$A61/8760/1000*INDEX('Bulb Weighting'!$B$2:$C$17,MATCH(RIGHT('SC-New'!$D61,LEN($D61)-7),'Bulb Weighting'!$B$3:$B$17,0)+1,2)</f>
        <v>1.1930471610171373E-4</v>
      </c>
      <c r="M61" s="37">
        <f>VLOOKUP($C61,$C$33:$Y$36,M$31,FALSE)*$C$42*$A61/8760/1000*INDEX('Bulb Weighting'!$B$2:$C$17,MATCH(RIGHT('SC-New'!$D61,LEN($D61)-7),'Bulb Weighting'!$B$3:$B$17,0)+1,2)</f>
        <v>1.2812080637060569E-4</v>
      </c>
      <c r="N61" s="37">
        <f>VLOOKUP($C61,$C$33:$Y$36,N$31,FALSE)*$C$42*$A61/8760/1000*INDEX('Bulb Weighting'!$B$2:$C$17,MATCH(RIGHT('SC-New'!$D61,LEN($D61)-7),'Bulb Weighting'!$B$3:$B$17,0)+1,2)</f>
        <v>1.3669778956513983E-4</v>
      </c>
      <c r="O61" s="37">
        <f>VLOOKUP($C61,$C$33:$Y$36,O$31,FALSE)*$C$42*$A61/8760/1000*INDEX('Bulb Weighting'!$B$2:$C$17,MATCH(RIGHT('SC-New'!$D61,LEN($D61)-7),'Bulb Weighting'!$B$3:$B$17,0)+1,2)</f>
        <v>1.4153729994635059E-4</v>
      </c>
      <c r="P61" s="37">
        <f>VLOOKUP($C61,$C$33:$Y$36,P$31,FALSE)*$C$42*$A61/8760/1000*INDEX('Bulb Weighting'!$B$2:$C$17,MATCH(RIGHT('SC-New'!$D61,LEN($D61)-7),'Bulb Weighting'!$B$3:$B$17,0)+1,2)</f>
        <v>1.4490162191386859E-4</v>
      </c>
      <c r="Q61" s="37">
        <f>VLOOKUP($C61,$C$33:$Y$36,Q$31,FALSE)*$C$42*$A61/8760/1000*INDEX('Bulb Weighting'!$B$2:$C$17,MATCH(RIGHT('SC-New'!$D61,LEN($D61)-7),'Bulb Weighting'!$B$3:$B$17,0)+1,2)</f>
        <v>1.4772737719395291E-4</v>
      </c>
      <c r="R61" s="37">
        <f>VLOOKUP($C61,$C$33:$Y$36,R$31,FALSE)*$C$42*$A61/8760/1000*INDEX('Bulb Weighting'!$B$2:$C$17,MATCH(RIGHT('SC-New'!$D61,LEN($D61)-7),'Bulb Weighting'!$B$3:$B$17,0)+1,2)</f>
        <v>1.4811712252113461E-4</v>
      </c>
      <c r="S61" s="37">
        <f>VLOOKUP($C61,$C$33:$Y$36,S$31,FALSE)*$C$42*$A61/8760/1000*INDEX('Bulb Weighting'!$B$2:$C$17,MATCH(RIGHT('SC-New'!$D61,LEN($D61)-7),'Bulb Weighting'!$B$3:$B$17,0)+1,2)</f>
        <v>1.4786908410285905E-4</v>
      </c>
      <c r="T61" s="37">
        <f>VLOOKUP($C61,$C$33:$Y$36,T$31,FALSE)*$C$42*$A61/8760/1000*INDEX('Bulb Weighting'!$B$2:$C$17,MATCH(RIGHT('SC-New'!$D61,LEN($D61)-7),'Bulb Weighting'!$B$3:$B$17,0)+1,2)</f>
        <v>1.4601650604070682E-4</v>
      </c>
      <c r="U61" s="37">
        <f>VLOOKUP($C61,$C$33:$Y$36,U$31,FALSE)*$C$42*$A61/8760/1000*INDEX('Bulb Weighting'!$B$2:$C$17,MATCH(RIGHT('SC-New'!$D61,LEN($D61)-7),'Bulb Weighting'!$B$3:$B$17,0)+1,2)</f>
        <v>1.4442500215444104E-4</v>
      </c>
      <c r="V61" s="37">
        <f>VLOOKUP($C61,$C$33:$Y$36,V$31,FALSE)*$C$42*$A61/8760/1000*INDEX('Bulb Weighting'!$B$2:$C$17,MATCH(RIGHT('SC-New'!$D61,LEN($D61)-7),'Bulb Weighting'!$B$3:$B$17,0)+1,2)</f>
        <v>1.4328443061594306E-4</v>
      </c>
      <c r="W61" s="37">
        <f>VLOOKUP($C61,$C$33:$Y$36,W$31,FALSE)*$C$42*$A61/8760/1000*INDEX('Bulb Weighting'!$B$2:$C$17,MATCH(RIGHT('SC-New'!$D61,LEN($D61)-7),'Bulb Weighting'!$B$3:$B$17,0)+1,2)</f>
        <v>1.4105301481159317E-4</v>
      </c>
      <c r="X61" s="37">
        <f>VLOOKUP($C61,$C$33:$Y$36,X$31,FALSE)*$C$42*$A61/8760/1000*INDEX('Bulb Weighting'!$B$2:$C$17,MATCH(RIGHT('SC-New'!$D61,LEN($D61)-7),'Bulb Weighting'!$B$3:$B$17,0)+1,2)</f>
        <v>1.4092854738934551E-4</v>
      </c>
      <c r="Y61" s="37">
        <f t="shared" si="15"/>
        <v>2.3774075783963376E-3</v>
      </c>
      <c r="AA61" s="3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c r="A62" s="89">
        <f t="shared" si="13"/>
        <v>1.9210010172979759</v>
      </c>
      <c r="B62" s="71">
        <f t="shared" si="14"/>
        <v>19.879331870717266</v>
      </c>
      <c r="C62" s="1" t="s">
        <v>32</v>
      </c>
      <c r="D62" t="s">
        <v>749</v>
      </c>
      <c r="E62" s="37">
        <f>VLOOKUP($C62,$C$33:$Y$36,E$31,FALSE)*$C$42*$A62/8760/1000*INDEX('Bulb Weighting'!$B$2:$C$17,MATCH(RIGHT('SC-New'!$D62,LEN($D62)-7),'Bulb Weighting'!$B$3:$B$17,0)+1,2)</f>
        <v>0</v>
      </c>
      <c r="F62" s="37">
        <f>VLOOKUP($C62,$C$33:$Y$36,F$31,FALSE)*$C$42*$A62/8760/1000*INDEX('Bulb Weighting'!$B$2:$C$17,MATCH(RIGHT('SC-New'!$D62,LEN($D62)-7),'Bulb Weighting'!$B$3:$B$17,0)+1,2)</f>
        <v>2.5137738611723864E-3</v>
      </c>
      <c r="G62" s="37">
        <f>VLOOKUP($C62,$C$33:$Y$36,G$31,FALSE)*$C$42*$A62/8760/1000*INDEX('Bulb Weighting'!$B$2:$C$17,MATCH(RIGHT('SC-New'!$D62,LEN($D62)-7),'Bulb Weighting'!$B$3:$B$17,0)+1,2)</f>
        <v>3.2019935429849242E-3</v>
      </c>
      <c r="H62" s="37">
        <f>VLOOKUP($C62,$C$33:$Y$36,H$31,FALSE)*$C$42*$A62/8760/1000*INDEX('Bulb Weighting'!$B$2:$C$17,MATCH(RIGHT('SC-New'!$D62,LEN($D62)-7),'Bulb Weighting'!$B$3:$B$17,0)+1,2)</f>
        <v>3.6360135490595626E-3</v>
      </c>
      <c r="I62" s="37">
        <f>VLOOKUP($C62,$C$33:$Y$36,I$31,FALSE)*$C$42*$A62/8760/1000*INDEX('Bulb Weighting'!$B$2:$C$17,MATCH(RIGHT('SC-New'!$D62,LEN($D62)-7),'Bulb Weighting'!$B$3:$B$17,0)+1,2)</f>
        <v>3.8698092070711407E-3</v>
      </c>
      <c r="J62" s="37">
        <f>VLOOKUP($C62,$C$33:$Y$36,J$31,FALSE)*$C$42*$A62/8760/1000*INDEX('Bulb Weighting'!$B$2:$C$17,MATCH(RIGHT('SC-New'!$D62,LEN($D62)-7),'Bulb Weighting'!$B$3:$B$17,0)+1,2)</f>
        <v>4.1000511282637117E-3</v>
      </c>
      <c r="K62" s="37">
        <f>VLOOKUP($C62,$C$33:$Y$36,K$31,FALSE)*$C$42*$A62/8760/1000*INDEX('Bulb Weighting'!$B$2:$C$17,MATCH(RIGHT('SC-New'!$D62,LEN($D62)-7),'Bulb Weighting'!$B$3:$B$17,0)+1,2)</f>
        <v>4.3761977727027621E-3</v>
      </c>
      <c r="L62" s="37">
        <f>VLOOKUP($C62,$C$33:$Y$36,L$31,FALSE)*$C$42*$A62/8760/1000*INDEX('Bulb Weighting'!$B$2:$C$17,MATCH(RIGHT('SC-New'!$D62,LEN($D62)-7),'Bulb Weighting'!$B$3:$B$17,0)+1,2)</f>
        <v>4.728790300214997E-3</v>
      </c>
      <c r="M62" s="37">
        <f>VLOOKUP($C62,$C$33:$Y$36,M$31,FALSE)*$C$42*$A62/8760/1000*INDEX('Bulb Weighting'!$B$2:$C$17,MATCH(RIGHT('SC-New'!$D62,LEN($D62)-7),'Bulb Weighting'!$B$3:$B$17,0)+1,2)</f>
        <v>5.0782269655167576E-3</v>
      </c>
      <c r="N62" s="37">
        <f>VLOOKUP($C62,$C$33:$Y$36,N$31,FALSE)*$C$42*$A62/8760/1000*INDEX('Bulb Weighting'!$B$2:$C$17,MATCH(RIGHT('SC-New'!$D62,LEN($D62)-7),'Bulb Weighting'!$B$3:$B$17,0)+1,2)</f>
        <v>5.4181863255544725E-3</v>
      </c>
      <c r="O62" s="37">
        <f>VLOOKUP($C62,$C$33:$Y$36,O$31,FALSE)*$C$42*$A62/8760/1000*INDEX('Bulb Weighting'!$B$2:$C$17,MATCH(RIGHT('SC-New'!$D62,LEN($D62)-7),'Bulb Weighting'!$B$3:$B$17,0)+1,2)</f>
        <v>5.6100063180596184E-3</v>
      </c>
      <c r="P62" s="37">
        <f>VLOOKUP($C62,$C$33:$Y$36,P$31,FALSE)*$C$42*$A62/8760/1000*INDEX('Bulb Weighting'!$B$2:$C$17,MATCH(RIGHT('SC-New'!$D62,LEN($D62)-7),'Bulb Weighting'!$B$3:$B$17,0)+1,2)</f>
        <v>5.7433553893003223E-3</v>
      </c>
      <c r="Q62" s="37">
        <f>VLOOKUP($C62,$C$33:$Y$36,Q$31,FALSE)*$C$42*$A62/8760/1000*INDEX('Bulb Weighting'!$B$2:$C$17,MATCH(RIGHT('SC-New'!$D62,LEN($D62)-7),'Bulb Weighting'!$B$3:$B$17,0)+1,2)</f>
        <v>5.8553577023342162E-3</v>
      </c>
      <c r="R62" s="37">
        <f>VLOOKUP($C62,$C$33:$Y$36,R$31,FALSE)*$C$42*$A62/8760/1000*INDEX('Bulb Weighting'!$B$2:$C$17,MATCH(RIGHT('SC-New'!$D62,LEN($D62)-7),'Bulb Weighting'!$B$3:$B$17,0)+1,2)</f>
        <v>5.8708057414642014E-3</v>
      </c>
      <c r="S62" s="37">
        <f>VLOOKUP($C62,$C$33:$Y$36,S$31,FALSE)*$C$42*$A62/8760/1000*INDEX('Bulb Weighting'!$B$2:$C$17,MATCH(RIGHT('SC-New'!$D62,LEN($D62)-7),'Bulb Weighting'!$B$3:$B$17,0)+1,2)</f>
        <v>5.8609744313136269E-3</v>
      </c>
      <c r="T62" s="37">
        <f>VLOOKUP($C62,$C$33:$Y$36,T$31,FALSE)*$C$42*$A62/8760/1000*INDEX('Bulb Weighting'!$B$2:$C$17,MATCH(RIGHT('SC-New'!$D62,LEN($D62)-7),'Bulb Weighting'!$B$3:$B$17,0)+1,2)</f>
        <v>5.7875452035601512E-3</v>
      </c>
      <c r="U62" s="37">
        <f>VLOOKUP($C62,$C$33:$Y$36,U$31,FALSE)*$C$42*$A62/8760/1000*INDEX('Bulb Weighting'!$B$2:$C$17,MATCH(RIGHT('SC-New'!$D62,LEN($D62)-7),'Bulb Weighting'!$B$3:$B$17,0)+1,2)</f>
        <v>5.724463974367904E-3</v>
      </c>
      <c r="V62" s="37">
        <f>VLOOKUP($C62,$C$33:$Y$36,V$31,FALSE)*$C$42*$A62/8760/1000*INDEX('Bulb Weighting'!$B$2:$C$17,MATCH(RIGHT('SC-New'!$D62,LEN($D62)-7),'Bulb Weighting'!$B$3:$B$17,0)+1,2)</f>
        <v>5.6792560077075392E-3</v>
      </c>
      <c r="W62" s="37">
        <f>VLOOKUP($C62,$C$33:$Y$36,W$31,FALSE)*$C$42*$A62/8760/1000*INDEX('Bulb Weighting'!$B$2:$C$17,MATCH(RIGHT('SC-New'!$D62,LEN($D62)-7),'Bulb Weighting'!$B$3:$B$17,0)+1,2)</f>
        <v>5.5908110764748111E-3</v>
      </c>
      <c r="X62" s="37">
        <f>VLOOKUP($C62,$C$33:$Y$36,X$31,FALSE)*$C$42*$A62/8760/1000*INDEX('Bulb Weighting'!$B$2:$C$17,MATCH(RIGHT('SC-New'!$D62,LEN($D62)-7),'Bulb Weighting'!$B$3:$B$17,0)+1,2)</f>
        <v>5.5858776559173573E-3</v>
      </c>
      <c r="Y62" s="440">
        <f t="shared" si="15"/>
        <v>9.4231496153040453E-2</v>
      </c>
      <c r="AA62" s="31"/>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row>
    <row r="63" spans="1:80">
      <c r="A63" s="89">
        <f t="shared" si="13"/>
        <v>7.4978046901704554</v>
      </c>
      <c r="B63" s="71">
        <f t="shared" si="14"/>
        <v>38.047469279788793</v>
      </c>
      <c r="C63" s="1" t="s">
        <v>32</v>
      </c>
      <c r="D63" t="s">
        <v>750</v>
      </c>
      <c r="E63" s="37">
        <f>VLOOKUP($C63,$C$33:$Y$36,E$31,FALSE)*$C$42*$A63/8760/1000*INDEX('Bulb Weighting'!$B$2:$C$17,MATCH(RIGHT('SC-New'!$D63,LEN($D63)-7),'Bulb Weighting'!$B$3:$B$17,0)+1,2)</f>
        <v>0</v>
      </c>
      <c r="F63" s="37">
        <f>VLOOKUP($C63,$C$33:$Y$36,F$31,FALSE)*$C$42*$A63/8760/1000*INDEX('Bulb Weighting'!$B$2:$C$17,MATCH(RIGHT('SC-New'!$D63,LEN($D63)-7),'Bulb Weighting'!$B$3:$B$17,0)+1,2)</f>
        <v>7.5709612325668002E-2</v>
      </c>
      <c r="G63" s="37">
        <f>VLOOKUP($C63,$C$33:$Y$36,G$31,FALSE)*$C$42*$A63/8760/1000*INDEX('Bulb Weighting'!$B$2:$C$17,MATCH(RIGHT('SC-New'!$D63,LEN($D63)-7),'Bulb Weighting'!$B$3:$B$17,0)+1,2)</f>
        <v>9.6437350054876816E-2</v>
      </c>
      <c r="H63" s="37">
        <f>VLOOKUP($C63,$C$33:$Y$36,H$31,FALSE)*$C$42*$A63/8760/1000*INDEX('Bulb Weighting'!$B$2:$C$17,MATCH(RIGHT('SC-New'!$D63,LEN($D63)-7),'Bulb Weighting'!$B$3:$B$17,0)+1,2)</f>
        <v>0.10950912508963265</v>
      </c>
      <c r="I63" s="37">
        <f>VLOOKUP($C63,$C$33:$Y$36,I$31,FALSE)*$C$42*$A63/8760/1000*INDEX('Bulb Weighting'!$B$2:$C$17,MATCH(RIGHT('SC-New'!$D63,LEN($D63)-7),'Bulb Weighting'!$B$3:$B$17,0)+1,2)</f>
        <v>0.11655056143555191</v>
      </c>
      <c r="J63" s="37">
        <f>VLOOKUP($C63,$C$33:$Y$36,J$31,FALSE)*$C$42*$A63/8760/1000*INDEX('Bulb Weighting'!$B$2:$C$17,MATCH(RIGHT('SC-New'!$D63,LEN($D63)-7),'Bulb Weighting'!$B$3:$B$17,0)+1,2)</f>
        <v>0.12348496665944772</v>
      </c>
      <c r="K63" s="37">
        <f>VLOOKUP($C63,$C$33:$Y$36,K$31,FALSE)*$C$42*$A63/8760/1000*INDEX('Bulb Weighting'!$B$2:$C$17,MATCH(RIGHT('SC-New'!$D63,LEN($D63)-7),'Bulb Weighting'!$B$3:$B$17,0)+1,2)</f>
        <v>0.13180192615944186</v>
      </c>
      <c r="L63" s="37">
        <f>VLOOKUP($C63,$C$33:$Y$36,L$31,FALSE)*$C$42*$A63/8760/1000*INDEX('Bulb Weighting'!$B$2:$C$17,MATCH(RIGHT('SC-New'!$D63,LEN($D63)-7),'Bulb Weighting'!$B$3:$B$17,0)+1,2)</f>
        <v>0.14242127580707828</v>
      </c>
      <c r="M63" s="37">
        <f>VLOOKUP($C63,$C$33:$Y$36,M$31,FALSE)*$C$42*$A63/8760/1000*INDEX('Bulb Weighting'!$B$2:$C$17,MATCH(RIGHT('SC-New'!$D63,LEN($D63)-7),'Bulb Weighting'!$B$3:$B$17,0)+1,2)</f>
        <v>0.1529455774839332</v>
      </c>
      <c r="N63" s="37">
        <f>VLOOKUP($C63,$C$33:$Y$36,N$31,FALSE)*$C$42*$A63/8760/1000*INDEX('Bulb Weighting'!$B$2:$C$17,MATCH(RIGHT('SC-New'!$D63,LEN($D63)-7),'Bulb Weighting'!$B$3:$B$17,0)+1,2)</f>
        <v>0.16318444254355063</v>
      </c>
      <c r="O63" s="37">
        <f>VLOOKUP($C63,$C$33:$Y$36,O$31,FALSE)*$C$42*$A63/8760/1000*INDEX('Bulb Weighting'!$B$2:$C$17,MATCH(RIGHT('SC-New'!$D63,LEN($D63)-7),'Bulb Weighting'!$B$3:$B$17,0)+1,2)</f>
        <v>0.16896165961672999</v>
      </c>
      <c r="P63" s="37">
        <f>VLOOKUP($C63,$C$33:$Y$36,P$31,FALSE)*$C$42*$A63/8760/1000*INDEX('Bulb Weighting'!$B$2:$C$17,MATCH(RIGHT('SC-New'!$D63,LEN($D63)-7),'Bulb Weighting'!$B$3:$B$17,0)+1,2)</f>
        <v>0.17297785480578848</v>
      </c>
      <c r="Q63" s="37">
        <f>VLOOKUP($C63,$C$33:$Y$36,Q$31,FALSE)*$C$42*$A63/8760/1000*INDEX('Bulb Weighting'!$B$2:$C$17,MATCH(RIGHT('SC-New'!$D63,LEN($D63)-7),'Bulb Weighting'!$B$3:$B$17,0)+1,2)</f>
        <v>0.17635113027433819</v>
      </c>
      <c r="R63" s="37">
        <f>VLOOKUP($C63,$C$33:$Y$36,R$31,FALSE)*$C$42*$A63/8760/1000*INDEX('Bulb Weighting'!$B$2:$C$17,MATCH(RIGHT('SC-New'!$D63,LEN($D63)-7),'Bulb Weighting'!$B$3:$B$17,0)+1,2)</f>
        <v>0.17681639291064288</v>
      </c>
      <c r="S63" s="37">
        <f>VLOOKUP($C63,$C$33:$Y$36,S$31,FALSE)*$C$42*$A63/8760/1000*INDEX('Bulb Weighting'!$B$2:$C$17,MATCH(RIGHT('SC-New'!$D63,LEN($D63)-7),'Bulb Weighting'!$B$3:$B$17,0)+1,2)</f>
        <v>0.17652029440645753</v>
      </c>
      <c r="T63" s="37">
        <f>VLOOKUP($C63,$C$33:$Y$36,T$31,FALSE)*$C$42*$A63/8760/1000*INDEX('Bulb Weighting'!$B$2:$C$17,MATCH(RIGHT('SC-New'!$D63,LEN($D63)-7),'Bulb Weighting'!$B$3:$B$17,0)+1,2)</f>
        <v>0.1743087596091325</v>
      </c>
      <c r="U63" s="37">
        <f>VLOOKUP($C63,$C$33:$Y$36,U$31,FALSE)*$C$42*$A63/8760/1000*INDEX('Bulb Weighting'!$B$2:$C$17,MATCH(RIGHT('SC-New'!$D63,LEN($D63)-7),'Bulb Weighting'!$B$3:$B$17,0)+1,2)</f>
        <v>0.17240888489051151</v>
      </c>
      <c r="V63" s="37">
        <f>VLOOKUP($C63,$C$33:$Y$36,V$31,FALSE)*$C$42*$A63/8760/1000*INDEX('Bulb Weighting'!$B$2:$C$17,MATCH(RIGHT('SC-New'!$D63,LEN($D63)-7),'Bulb Weighting'!$B$3:$B$17,0)+1,2)</f>
        <v>0.17104731546584911</v>
      </c>
      <c r="W63" s="37">
        <f>VLOOKUP($C63,$C$33:$Y$36,W$31,FALSE)*$C$42*$A63/8760/1000*INDEX('Bulb Weighting'!$B$2:$C$17,MATCH(RIGHT('SC-New'!$D63,LEN($D63)-7),'Bulb Weighting'!$B$3:$B$17,0)+1,2)</f>
        <v>0.16838353907799325</v>
      </c>
      <c r="X63" s="37">
        <f>VLOOKUP($C63,$C$33:$Y$36,X$31,FALSE)*$C$42*$A63/8760/1000*INDEX('Bulb Weighting'!$B$2:$C$17,MATCH(RIGHT('SC-New'!$D63,LEN($D63)-7),'Bulb Weighting'!$B$3:$B$17,0)+1,2)</f>
        <v>0.16823495476672581</v>
      </c>
      <c r="Y63" s="440">
        <f t="shared" si="15"/>
        <v>2.83805562338335</v>
      </c>
      <c r="AA63" s="31"/>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row>
    <row r="64" spans="1:80">
      <c r="A64" s="89">
        <f t="shared" si="13"/>
        <v>14.009308234872018</v>
      </c>
      <c r="B64" s="71">
        <f t="shared" si="14"/>
        <v>64.372768585347757</v>
      </c>
      <c r="C64" s="1" t="s">
        <v>32</v>
      </c>
      <c r="D64" t="s">
        <v>751</v>
      </c>
      <c r="E64" s="37">
        <f>VLOOKUP($C64,$C$33:$Y$36,E$31,FALSE)*$C$42*$A64/8760/1000*INDEX('Bulb Weighting'!$B$2:$C$17,MATCH(RIGHT('SC-New'!$D64,LEN($D64)-7),'Bulb Weighting'!$B$3:$B$17,0)+1,2)</f>
        <v>0</v>
      </c>
      <c r="F64" s="37">
        <f>VLOOKUP($C64,$C$33:$Y$36,F$31,FALSE)*$C$42*$A64/8760/1000*INDEX('Bulb Weighting'!$B$2:$C$17,MATCH(RIGHT('SC-New'!$D64,LEN($D64)-7),'Bulb Weighting'!$B$3:$B$17,0)+1,2)</f>
        <v>1.4103741294533026E-2</v>
      </c>
      <c r="G64" s="37">
        <f>VLOOKUP($C64,$C$33:$Y$36,G$31,FALSE)*$C$42*$A64/8760/1000*INDEX('Bulb Weighting'!$B$2:$C$17,MATCH(RIGHT('SC-New'!$D64,LEN($D64)-7),'Bulb Weighting'!$B$3:$B$17,0)+1,2)</f>
        <v>1.796505614708023E-2</v>
      </c>
      <c r="H64" s="37">
        <f>VLOOKUP($C64,$C$33:$Y$36,H$31,FALSE)*$C$42*$A64/8760/1000*INDEX('Bulb Weighting'!$B$2:$C$17,MATCH(RIGHT('SC-New'!$D64,LEN($D64)-7),'Bulb Weighting'!$B$3:$B$17,0)+1,2)</f>
        <v>2.0400162175063775E-2</v>
      </c>
      <c r="I64" s="37">
        <f>VLOOKUP($C64,$C$33:$Y$36,I$31,FALSE)*$C$42*$A64/8760/1000*INDEX('Bulb Weighting'!$B$2:$C$17,MATCH(RIGHT('SC-New'!$D64,LEN($D64)-7),'Bulb Weighting'!$B$3:$B$17,0)+1,2)</f>
        <v>2.1711892528900201E-2</v>
      </c>
      <c r="J64" s="37">
        <f>VLOOKUP($C64,$C$33:$Y$36,J$31,FALSE)*$C$42*$A64/8760/1000*INDEX('Bulb Weighting'!$B$2:$C$17,MATCH(RIGHT('SC-New'!$D64,LEN($D64)-7),'Bulb Weighting'!$B$3:$B$17,0)+1,2)</f>
        <v>2.3003684341128615E-2</v>
      </c>
      <c r="K64" s="37">
        <f>VLOOKUP($C64,$C$33:$Y$36,K$31,FALSE)*$C$42*$A64/8760/1000*INDEX('Bulb Weighting'!$B$2:$C$17,MATCH(RIGHT('SC-New'!$D64,LEN($D64)-7),'Bulb Weighting'!$B$3:$B$17,0)+1,2)</f>
        <v>2.455302849363139E-2</v>
      </c>
      <c r="L64" s="37">
        <f>VLOOKUP($C64,$C$33:$Y$36,L$31,FALSE)*$C$42*$A64/8760/1000*INDEX('Bulb Weighting'!$B$2:$C$17,MATCH(RIGHT('SC-New'!$D64,LEN($D64)-7),'Bulb Weighting'!$B$3:$B$17,0)+1,2)</f>
        <v>2.6531278752029257E-2</v>
      </c>
      <c r="M64" s="37">
        <f>VLOOKUP($C64,$C$33:$Y$36,M$31,FALSE)*$C$42*$A64/8760/1000*INDEX('Bulb Weighting'!$B$2:$C$17,MATCH(RIGHT('SC-New'!$D64,LEN($D64)-7),'Bulb Weighting'!$B$3:$B$17,0)+1,2)</f>
        <v>2.8491822778030799E-2</v>
      </c>
      <c r="N64" s="37">
        <f>VLOOKUP($C64,$C$33:$Y$36,N$31,FALSE)*$C$42*$A64/8760/1000*INDEX('Bulb Weighting'!$B$2:$C$17,MATCH(RIGHT('SC-New'!$D64,LEN($D64)-7),'Bulb Weighting'!$B$3:$B$17,0)+1,2)</f>
        <v>3.0399193579631379E-2</v>
      </c>
      <c r="O64" s="37">
        <f>VLOOKUP($C64,$C$33:$Y$36,O$31,FALSE)*$C$42*$A64/8760/1000*INDEX('Bulb Weighting'!$B$2:$C$17,MATCH(RIGHT('SC-New'!$D64,LEN($D64)-7),'Bulb Weighting'!$B$3:$B$17,0)+1,2)</f>
        <v>3.1475415904638003E-2</v>
      </c>
      <c r="P64" s="37">
        <f>VLOOKUP($C64,$C$33:$Y$36,P$31,FALSE)*$C$42*$A64/8760/1000*INDEX('Bulb Weighting'!$B$2:$C$17,MATCH(RIGHT('SC-New'!$D64,LEN($D64)-7),'Bulb Weighting'!$B$3:$B$17,0)+1,2)</f>
        <v>3.2223582170384762E-2</v>
      </c>
      <c r="Q64" s="37">
        <f>VLOOKUP($C64,$C$33:$Y$36,Q$31,FALSE)*$C$42*$A64/8760/1000*INDEX('Bulb Weighting'!$B$2:$C$17,MATCH(RIGHT('SC-New'!$D64,LEN($D64)-7),'Bulb Weighting'!$B$3:$B$17,0)+1,2)</f>
        <v>3.2851980640039712E-2</v>
      </c>
      <c r="R64" s="37">
        <f>VLOOKUP($C64,$C$33:$Y$36,R$31,FALSE)*$C$42*$A64/8760/1000*INDEX('Bulb Weighting'!$B$2:$C$17,MATCH(RIGHT('SC-New'!$D64,LEN($D64)-7),'Bulb Weighting'!$B$3:$B$17,0)+1,2)</f>
        <v>3.2938653172824947E-2</v>
      </c>
      <c r="S64" s="37">
        <f>VLOOKUP($C64,$C$33:$Y$36,S$31,FALSE)*$C$42*$A64/8760/1000*INDEX('Bulb Weighting'!$B$2:$C$17,MATCH(RIGHT('SC-New'!$D64,LEN($D64)-7),'Bulb Weighting'!$B$3:$B$17,0)+1,2)</f>
        <v>3.2883493774005616E-2</v>
      </c>
      <c r="T64" s="37">
        <f>VLOOKUP($C64,$C$33:$Y$36,T$31,FALSE)*$C$42*$A64/8760/1000*INDEX('Bulb Weighting'!$B$2:$C$17,MATCH(RIGHT('SC-New'!$D64,LEN($D64)-7),'Bulb Weighting'!$B$3:$B$17,0)+1,2)</f>
        <v>3.2471512868448203E-2</v>
      </c>
      <c r="U64" s="37">
        <f>VLOOKUP($C64,$C$33:$Y$36,U$31,FALSE)*$C$42*$A64/8760/1000*INDEX('Bulb Weighting'!$B$2:$C$17,MATCH(RIGHT('SC-New'!$D64,LEN($D64)-7),'Bulb Weighting'!$B$3:$B$17,0)+1,2)</f>
        <v>3.2117590285828272E-2</v>
      </c>
      <c r="V64" s="37">
        <f>VLOOKUP($C64,$C$33:$Y$36,V$31,FALSE)*$C$42*$A64/8760/1000*INDEX('Bulb Weighting'!$B$2:$C$17,MATCH(RIGHT('SC-New'!$D64,LEN($D64)-7),'Bulb Weighting'!$B$3:$B$17,0)+1,2)</f>
        <v>3.1863947157431551E-2</v>
      </c>
      <c r="W64" s="37">
        <f>VLOOKUP($C64,$C$33:$Y$36,W$31,FALSE)*$C$42*$A64/8760/1000*INDEX('Bulb Weighting'!$B$2:$C$17,MATCH(RIGHT('SC-New'!$D64,LEN($D64)-7),'Bulb Weighting'!$B$3:$B$17,0)+1,2)</f>
        <v>3.1367719374898483E-2</v>
      </c>
      <c r="X64" s="37">
        <f>VLOOKUP($C64,$C$33:$Y$36,X$31,FALSE)*$C$42*$A64/8760/1000*INDEX('Bulb Weighting'!$B$2:$C$17,MATCH(RIGHT('SC-New'!$D64,LEN($D64)-7),'Bulb Weighting'!$B$3:$B$17,0)+1,2)</f>
        <v>3.1340040000745459E-2</v>
      </c>
      <c r="Y64" s="440">
        <f t="shared" si="15"/>
        <v>0.52869379543927375</v>
      </c>
      <c r="AA64" s="31"/>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row>
    <row r="65" spans="1:80">
      <c r="A65" s="89">
        <f t="shared" si="13"/>
        <v>15.001215681785107</v>
      </c>
      <c r="B65" s="71">
        <f t="shared" si="14"/>
        <v>-40.723166254238713</v>
      </c>
      <c r="C65" s="1" t="s">
        <v>32</v>
      </c>
      <c r="D65" t="s">
        <v>752</v>
      </c>
      <c r="E65" s="37">
        <f>VLOOKUP($C65,$C$33:$Y$36,E$31,FALSE)*$C$42*$A65/8760/1000*INDEX('Bulb Weighting'!$B$2:$C$17,MATCH(RIGHT('SC-New'!$D65,LEN($D65)-7),'Bulb Weighting'!$B$3:$B$17,0)+1,2)</f>
        <v>0</v>
      </c>
      <c r="F65" s="37">
        <f>VLOOKUP($C65,$C$33:$Y$36,F$31,FALSE)*$C$42*$A65/8760/1000*INDEX('Bulb Weighting'!$B$2:$C$17,MATCH(RIGHT('SC-New'!$D65,LEN($D65)-7),'Bulb Weighting'!$B$3:$B$17,0)+1,2)</f>
        <v>1.2907602773339267E-2</v>
      </c>
      <c r="G65" s="37">
        <f>VLOOKUP($C65,$C$33:$Y$36,G$31,FALSE)*$C$42*$A65/8760/1000*INDEX('Bulb Weighting'!$B$2:$C$17,MATCH(RIGHT('SC-New'!$D65,LEN($D65)-7),'Bulb Weighting'!$B$3:$B$17,0)+1,2)</f>
        <v>1.6441439452461688E-2</v>
      </c>
      <c r="H65" s="37">
        <f>VLOOKUP($C65,$C$33:$Y$36,H$31,FALSE)*$C$42*$A65/8760/1000*INDEX('Bulb Weighting'!$B$2:$C$17,MATCH(RIGHT('SC-New'!$D65,LEN($D65)-7),'Bulb Weighting'!$B$3:$B$17,0)+1,2)</f>
        <v>1.8670024099881392E-2</v>
      </c>
      <c r="I65" s="37">
        <f>VLOOKUP($C65,$C$33:$Y$36,I$31,FALSE)*$C$42*$A65/8760/1000*INDEX('Bulb Weighting'!$B$2:$C$17,MATCH(RIGHT('SC-New'!$D65,LEN($D65)-7),'Bulb Weighting'!$B$3:$B$17,0)+1,2)</f>
        <v>1.9870506581761243E-2</v>
      </c>
      <c r="J65" s="37">
        <f>VLOOKUP($C65,$C$33:$Y$36,J$31,FALSE)*$C$42*$A65/8760/1000*INDEX('Bulb Weighting'!$B$2:$C$17,MATCH(RIGHT('SC-New'!$D65,LEN($D65)-7),'Bulb Weighting'!$B$3:$B$17,0)+1,2)</f>
        <v>2.1052741510060705E-2</v>
      </c>
      <c r="K65" s="37">
        <f>VLOOKUP($C65,$C$33:$Y$36,K$31,FALSE)*$C$42*$A65/8760/1000*INDEX('Bulb Weighting'!$B$2:$C$17,MATCH(RIGHT('SC-New'!$D65,LEN($D65)-7),'Bulb Weighting'!$B$3:$B$17,0)+1,2)</f>
        <v>2.2470685760601777E-2</v>
      </c>
      <c r="L65" s="37">
        <f>VLOOKUP($C65,$C$33:$Y$36,L$31,FALSE)*$C$42*$A65/8760/1000*INDEX('Bulb Weighting'!$B$2:$C$17,MATCH(RIGHT('SC-New'!$D65,LEN($D65)-7),'Bulb Weighting'!$B$3:$B$17,0)+1,2)</f>
        <v>2.4281160583445642E-2</v>
      </c>
      <c r="M65" s="37">
        <f>VLOOKUP($C65,$C$33:$Y$36,M$31,FALSE)*$C$42*$A65/8760/1000*INDEX('Bulb Weighting'!$B$2:$C$17,MATCH(RIGHT('SC-New'!$D65,LEN($D65)-7),'Bulb Weighting'!$B$3:$B$17,0)+1,2)</f>
        <v>2.6075430839741433E-2</v>
      </c>
      <c r="N65" s="37">
        <f>VLOOKUP($C65,$C$33:$Y$36,N$31,FALSE)*$C$42*$A65/8760/1000*INDEX('Bulb Weighting'!$B$2:$C$17,MATCH(RIGHT('SC-New'!$D65,LEN($D65)-7),'Bulb Weighting'!$B$3:$B$17,0)+1,2)</f>
        <v>2.7821037493634695E-2</v>
      </c>
      <c r="O65" s="37">
        <f>VLOOKUP($C65,$C$33:$Y$36,O$31,FALSE)*$C$42*$A65/8760/1000*INDEX('Bulb Weighting'!$B$2:$C$17,MATCH(RIGHT('SC-New'!$D65,LEN($D65)-7),'Bulb Weighting'!$B$3:$B$17,0)+1,2)</f>
        <v>2.8805985386316884E-2</v>
      </c>
      <c r="P65" s="37">
        <f>VLOOKUP($C65,$C$33:$Y$36,P$31,FALSE)*$C$42*$A65/8760/1000*INDEX('Bulb Weighting'!$B$2:$C$17,MATCH(RIGHT('SC-New'!$D65,LEN($D65)-7),'Bulb Weighting'!$B$3:$B$17,0)+1,2)</f>
        <v>2.9490699659288903E-2</v>
      </c>
      <c r="Q65" s="37">
        <f>VLOOKUP($C65,$C$33:$Y$36,Q$31,FALSE)*$C$42*$A65/8760/1000*INDEX('Bulb Weighting'!$B$2:$C$17,MATCH(RIGHT('SC-New'!$D65,LEN($D65)-7),'Bulb Weighting'!$B$3:$B$17,0)+1,2)</f>
        <v>3.0065803644840919E-2</v>
      </c>
      <c r="R65" s="37">
        <f>VLOOKUP($C65,$C$33:$Y$36,R$31,FALSE)*$C$42*$A65/8760/1000*INDEX('Bulb Weighting'!$B$2:$C$17,MATCH(RIGHT('SC-New'!$D65,LEN($D65)-7),'Bulb Weighting'!$B$3:$B$17,0)+1,2)</f>
        <v>3.0145125478756342E-2</v>
      </c>
      <c r="S65" s="37">
        <f>VLOOKUP($C65,$C$33:$Y$36,S$31,FALSE)*$C$42*$A65/8760/1000*INDEX('Bulb Weighting'!$B$2:$C$17,MATCH(RIGHT('SC-New'!$D65,LEN($D65)-7),'Bulb Weighting'!$B$3:$B$17,0)+1,2)</f>
        <v>3.0094644149419127E-2</v>
      </c>
      <c r="T65" s="37">
        <f>VLOOKUP($C65,$C$33:$Y$36,T$31,FALSE)*$C$42*$A65/8760/1000*INDEX('Bulb Weighting'!$B$2:$C$17,MATCH(RIGHT('SC-New'!$D65,LEN($D65)-7),'Bulb Weighting'!$B$3:$B$17,0)+1,2)</f>
        <v>2.9717603350946958E-2</v>
      </c>
      <c r="U65" s="37">
        <f>VLOOKUP($C65,$C$33:$Y$36,U$31,FALSE)*$C$42*$A65/8760/1000*INDEX('Bulb Weighting'!$B$2:$C$17,MATCH(RIGHT('SC-New'!$D65,LEN($D65)-7),'Bulb Weighting'!$B$3:$B$17,0)+1,2)</f>
        <v>2.9393696948130058E-2</v>
      </c>
      <c r="V65" s="37">
        <f>VLOOKUP($C65,$C$33:$Y$36,V$31,FALSE)*$C$42*$A65/8760/1000*INDEX('Bulb Weighting'!$B$2:$C$17,MATCH(RIGHT('SC-New'!$D65,LEN($D65)-7),'Bulb Weighting'!$B$3:$B$17,0)+1,2)</f>
        <v>2.9161565297445211E-2</v>
      </c>
      <c r="W65" s="37">
        <f>VLOOKUP($C65,$C$33:$Y$36,W$31,FALSE)*$C$42*$A65/8760/1000*INDEX('Bulb Weighting'!$B$2:$C$17,MATCH(RIGHT('SC-New'!$D65,LEN($D65)-7),'Bulb Weighting'!$B$3:$B$17,0)+1,2)</f>
        <v>2.8707422600959806E-2</v>
      </c>
      <c r="X65" s="37">
        <f>VLOOKUP($C65,$C$33:$Y$36,X$31,FALSE)*$C$42*$A65/8760/1000*INDEX('Bulb Weighting'!$B$2:$C$17,MATCH(RIGHT('SC-New'!$D65,LEN($D65)-7),'Bulb Weighting'!$B$3:$B$17,0)+1,2)</f>
        <v>2.8682090714964397E-2</v>
      </c>
      <c r="Y65" s="37">
        <f t="shared" si="15"/>
        <v>0.48385526632599657</v>
      </c>
      <c r="AA65" s="31"/>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c r="A66" s="89">
        <f t="shared" si="13"/>
        <v>10.331554133000125</v>
      </c>
      <c r="B66" s="71">
        <f t="shared" si="14"/>
        <v>-97.483290128606981</v>
      </c>
      <c r="C66" s="1" t="s">
        <v>32</v>
      </c>
      <c r="D66" t="s">
        <v>753</v>
      </c>
      <c r="E66" s="37">
        <f>VLOOKUP($C66,$C$33:$Y$36,E$31,FALSE)*$C$42*$A66/8760/1000*INDEX('Bulb Weighting'!$B$2:$C$17,MATCH(RIGHT('SC-New'!$D66,LEN($D66)-7),'Bulb Weighting'!$B$3:$B$17,0)+1,2)</f>
        <v>0</v>
      </c>
      <c r="F66" s="37">
        <f>VLOOKUP($C66,$C$33:$Y$36,F$31,FALSE)*$C$42*$A66/8760/1000*INDEX('Bulb Weighting'!$B$2:$C$17,MATCH(RIGHT('SC-New'!$D66,LEN($D66)-7),'Bulb Weighting'!$B$3:$B$17,0)+1,2)</f>
        <v>5.4206829949481113E-3</v>
      </c>
      <c r="G66" s="37">
        <f>VLOOKUP($C66,$C$33:$Y$36,G$31,FALSE)*$C$42*$A66/8760/1000*INDEX('Bulb Weighting'!$B$2:$C$17,MATCH(RIGHT('SC-New'!$D66,LEN($D66)-7),'Bulb Weighting'!$B$3:$B$17,0)+1,2)</f>
        <v>6.9047547261458873E-3</v>
      </c>
      <c r="H66" s="37">
        <f>VLOOKUP($C66,$C$33:$Y$36,H$31,FALSE)*$C$42*$A66/8760/1000*INDEX('Bulb Weighting'!$B$2:$C$17,MATCH(RIGHT('SC-New'!$D66,LEN($D66)-7),'Bulb Weighting'!$B$3:$B$17,0)+1,2)</f>
        <v>7.8406721937970183E-3</v>
      </c>
      <c r="I66" s="37">
        <f>VLOOKUP($C66,$C$33:$Y$36,I$31,FALSE)*$C$42*$A66/8760/1000*INDEX('Bulb Weighting'!$B$2:$C$17,MATCH(RIGHT('SC-New'!$D66,LEN($D66)-7),'Bulb Weighting'!$B$3:$B$17,0)+1,2)</f>
        <v>8.3448273874089859E-3</v>
      </c>
      <c r="J66" s="37">
        <f>VLOOKUP($C66,$C$33:$Y$36,J$31,FALSE)*$C$42*$A66/8760/1000*INDEX('Bulb Weighting'!$B$2:$C$17,MATCH(RIGHT('SC-New'!$D66,LEN($D66)-7),'Bulb Weighting'!$B$3:$B$17,0)+1,2)</f>
        <v>8.8413193297472974E-3</v>
      </c>
      <c r="K66" s="37">
        <f>VLOOKUP($C66,$C$33:$Y$36,K$31,FALSE)*$C$42*$A66/8760/1000*INDEX('Bulb Weighting'!$B$2:$C$17,MATCH(RIGHT('SC-New'!$D66,LEN($D66)-7),'Bulb Weighting'!$B$3:$B$17,0)+1,2)</f>
        <v>9.4367998710735614E-3</v>
      </c>
      <c r="L66" s="37">
        <f>VLOOKUP($C66,$C$33:$Y$36,L$31,FALSE)*$C$42*$A66/8760/1000*INDEX('Bulb Weighting'!$B$2:$C$17,MATCH(RIGHT('SC-New'!$D66,LEN($D66)-7),'Bulb Weighting'!$B$3:$B$17,0)+1,2)</f>
        <v>1.0197127738091777E-2</v>
      </c>
      <c r="M66" s="37">
        <f>VLOOKUP($C66,$C$33:$Y$36,M$31,FALSE)*$C$42*$A66/8760/1000*INDEX('Bulb Weighting'!$B$2:$C$17,MATCH(RIGHT('SC-New'!$D66,LEN($D66)-7),'Bulb Weighting'!$B$3:$B$17,0)+1,2)</f>
        <v>1.0950650327641342E-2</v>
      </c>
      <c r="N66" s="37">
        <f>VLOOKUP($C66,$C$33:$Y$36,N$31,FALSE)*$C$42*$A66/8760/1000*INDEX('Bulb Weighting'!$B$2:$C$17,MATCH(RIGHT('SC-New'!$D66,LEN($D66)-7),'Bulb Weighting'!$B$3:$B$17,0)+1,2)</f>
        <v>1.1683736127598873E-2</v>
      </c>
      <c r="O66" s="37">
        <f>VLOOKUP($C66,$C$33:$Y$36,O$31,FALSE)*$C$42*$A66/8760/1000*INDEX('Bulb Weighting'!$B$2:$C$17,MATCH(RIGHT('SC-New'!$D66,LEN($D66)-7),'Bulb Weighting'!$B$3:$B$17,0)+1,2)</f>
        <v>1.2097375312699941E-2</v>
      </c>
      <c r="P66" s="37">
        <f>VLOOKUP($C66,$C$33:$Y$36,P$31,FALSE)*$C$42*$A66/8760/1000*INDEX('Bulb Weighting'!$B$2:$C$17,MATCH(RIGHT('SC-New'!$D66,LEN($D66)-7),'Bulb Weighting'!$B$3:$B$17,0)+1,2)</f>
        <v>1.2384928244183399E-2</v>
      </c>
      <c r="Q66" s="37">
        <f>VLOOKUP($C66,$C$33:$Y$36,Q$31,FALSE)*$C$42*$A66/8760/1000*INDEX('Bulb Weighting'!$B$2:$C$17,MATCH(RIGHT('SC-New'!$D66,LEN($D66)-7),'Bulb Weighting'!$B$3:$B$17,0)+1,2)</f>
        <v>1.262644918727035E-2</v>
      </c>
      <c r="R66" s="37">
        <f>VLOOKUP($C66,$C$33:$Y$36,R$31,FALSE)*$C$42*$A66/8760/1000*INDEX('Bulb Weighting'!$B$2:$C$17,MATCH(RIGHT('SC-New'!$D66,LEN($D66)-7),'Bulb Weighting'!$B$3:$B$17,0)+1,2)</f>
        <v>1.265976122233867E-2</v>
      </c>
      <c r="S66" s="37">
        <f>VLOOKUP($C66,$C$33:$Y$36,S$31,FALSE)*$C$42*$A66/8760/1000*INDEX('Bulb Weighting'!$B$2:$C$17,MATCH(RIGHT('SC-New'!$D66,LEN($D66)-7),'Bulb Weighting'!$B$3:$B$17,0)+1,2)</f>
        <v>1.2638561059279284E-2</v>
      </c>
      <c r="T66" s="37">
        <f>VLOOKUP($C66,$C$33:$Y$36,T$31,FALSE)*$C$42*$A66/8760/1000*INDEX('Bulb Weighting'!$B$2:$C$17,MATCH(RIGHT('SC-New'!$D66,LEN($D66)-7),'Bulb Weighting'!$B$3:$B$17,0)+1,2)</f>
        <v>1.2480218826366655E-2</v>
      </c>
      <c r="U66" s="37">
        <f>VLOOKUP($C66,$C$33:$Y$36,U$31,FALSE)*$C$42*$A66/8760/1000*INDEX('Bulb Weighting'!$B$2:$C$17,MATCH(RIGHT('SC-New'!$D66,LEN($D66)-7),'Bulb Weighting'!$B$3:$B$17,0)+1,2)</f>
        <v>1.2344190939505202E-2</v>
      </c>
      <c r="V66" s="37">
        <f>VLOOKUP($C66,$C$33:$Y$36,V$31,FALSE)*$C$42*$A66/8760/1000*INDEX('Bulb Weighting'!$B$2:$C$17,MATCH(RIGHT('SC-New'!$D66,LEN($D66)-7),'Bulb Weighting'!$B$3:$B$17,0)+1,2)</f>
        <v>1.22467048211645E-2</v>
      </c>
      <c r="W66" s="37">
        <f>VLOOKUP($C66,$C$33:$Y$36,W$31,FALSE)*$C$42*$A66/8760/1000*INDEX('Bulb Weighting'!$B$2:$C$17,MATCH(RIGHT('SC-New'!$D66,LEN($D66)-7),'Bulb Weighting'!$B$3:$B$17,0)+1,2)</f>
        <v>1.2055982838520043E-2</v>
      </c>
      <c r="X66" s="37">
        <f>VLOOKUP($C66,$C$33:$Y$36,X$31,FALSE)*$C$42*$A66/8760/1000*INDEX('Bulb Weighting'!$B$2:$C$17,MATCH(RIGHT('SC-New'!$D66,LEN($D66)-7),'Bulb Weighting'!$B$3:$B$17,0)+1,2)</f>
        <v>1.2045344447638594E-2</v>
      </c>
      <c r="Y66" s="37">
        <f t="shared" si="15"/>
        <v>0.20320008759541952</v>
      </c>
      <c r="AA66" s="31"/>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row>
    <row r="67" spans="1:80">
      <c r="A67" s="89">
        <f t="shared" si="13"/>
        <v>11.177995908414712</v>
      </c>
      <c r="B67" s="71">
        <f t="shared" si="14"/>
        <v>-118.66739310804593</v>
      </c>
      <c r="C67" s="1" t="s">
        <v>32</v>
      </c>
      <c r="D67" t="s">
        <v>754</v>
      </c>
      <c r="E67" s="37">
        <f>VLOOKUP($C67,$C$33:$Y$36,E$31,FALSE)*$C$42*$A67/8760/1000*INDEX('Bulb Weighting'!$B$2:$C$17,MATCH(RIGHT('SC-New'!$D67,LEN($D67)-7),'Bulb Weighting'!$B$3:$B$17,0)+1,2)</f>
        <v>0</v>
      </c>
      <c r="F67" s="37">
        <f>VLOOKUP($C67,$C$33:$Y$36,F$31,FALSE)*$C$42*$A67/8760/1000*INDEX('Bulb Weighting'!$B$2:$C$17,MATCH(RIGHT('SC-New'!$D67,LEN($D67)-7),'Bulb Weighting'!$B$3:$B$17,0)+1,2)</f>
        <v>4.4191654111282733E-4</v>
      </c>
      <c r="G67" s="37">
        <f>VLOOKUP($C67,$C$33:$Y$36,G$31,FALSE)*$C$42*$A67/8760/1000*INDEX('Bulb Weighting'!$B$2:$C$17,MATCH(RIGHT('SC-New'!$D67,LEN($D67)-7),'Bulb Weighting'!$B$3:$B$17,0)+1,2)</f>
        <v>5.6290421864819756E-4</v>
      </c>
      <c r="H67" s="37">
        <f>VLOOKUP($C67,$C$33:$Y$36,H$31,FALSE)*$C$42*$A67/8760/1000*INDEX('Bulb Weighting'!$B$2:$C$17,MATCH(RIGHT('SC-New'!$D67,LEN($D67)-7),'Bulb Weighting'!$B$3:$B$17,0)+1,2)</f>
        <v>6.3920408906248361E-4</v>
      </c>
      <c r="I67" s="37">
        <f>VLOOKUP($C67,$C$33:$Y$36,I$31,FALSE)*$C$42*$A67/8760/1000*INDEX('Bulb Weighting'!$B$2:$C$17,MATCH(RIGHT('SC-New'!$D67,LEN($D67)-7),'Bulb Weighting'!$B$3:$B$17,0)+1,2)</f>
        <v>6.8030490966990609E-4</v>
      </c>
      <c r="J67" s="37">
        <f>VLOOKUP($C67,$C$33:$Y$36,J$31,FALSE)*$C$42*$A67/8760/1000*INDEX('Bulb Weighting'!$B$2:$C$17,MATCH(RIGHT('SC-New'!$D67,LEN($D67)-7),'Bulb Weighting'!$B$3:$B$17,0)+1,2)</f>
        <v>7.2078099027691014E-4</v>
      </c>
      <c r="K67" s="37">
        <f>VLOOKUP($C67,$C$33:$Y$36,K$31,FALSE)*$C$42*$A67/8760/1000*INDEX('Bulb Weighting'!$B$2:$C$17,MATCH(RIGHT('SC-New'!$D67,LEN($D67)-7),'Bulb Weighting'!$B$3:$B$17,0)+1,2)</f>
        <v>7.6932703168315826E-4</v>
      </c>
      <c r="L67" s="37">
        <f>VLOOKUP($C67,$C$33:$Y$36,L$31,FALSE)*$C$42*$A67/8760/1000*INDEX('Bulb Weighting'!$B$2:$C$17,MATCH(RIGHT('SC-New'!$D67,LEN($D67)-7),'Bulb Weighting'!$B$3:$B$17,0)+1,2)</f>
        <v>8.3131211020878422E-4</v>
      </c>
      <c r="M67" s="37">
        <f>VLOOKUP($C67,$C$33:$Y$36,M$31,FALSE)*$C$42*$A67/8760/1000*INDEX('Bulb Weighting'!$B$2:$C$17,MATCH(RIGHT('SC-New'!$D67,LEN($D67)-7),'Bulb Weighting'!$B$3:$B$17,0)+1,2)</f>
        <v>8.927423943140278E-4</v>
      </c>
      <c r="N67" s="37">
        <f>VLOOKUP($C67,$C$33:$Y$36,N$31,FALSE)*$C$42*$A67/8760/1000*INDEX('Bulb Weighting'!$B$2:$C$17,MATCH(RIGHT('SC-New'!$D67,LEN($D67)-7),'Bulb Weighting'!$B$3:$B$17,0)+1,2)</f>
        <v>9.5250658664146771E-4</v>
      </c>
      <c r="O67" s="37">
        <f>VLOOKUP($C67,$C$33:$Y$36,O$31,FALSE)*$C$42*$A67/8760/1000*INDEX('Bulb Weighting'!$B$2:$C$17,MATCH(RIGHT('SC-New'!$D67,LEN($D67)-7),'Bulb Weighting'!$B$3:$B$17,0)+1,2)</f>
        <v>9.8622816713583535E-4</v>
      </c>
      <c r="P67" s="37">
        <f>VLOOKUP($C67,$C$33:$Y$36,P$31,FALSE)*$C$42*$A67/8760/1000*INDEX('Bulb Weighting'!$B$2:$C$17,MATCH(RIGHT('SC-New'!$D67,LEN($D67)-7),'Bulb Weighting'!$B$3:$B$17,0)+1,2)</f>
        <v>1.0096706737325967E-3</v>
      </c>
      <c r="Q67" s="37">
        <f>VLOOKUP($C67,$C$33:$Y$36,Q$31,FALSE)*$C$42*$A67/8760/1000*INDEX('Bulb Weighting'!$B$2:$C$17,MATCH(RIGHT('SC-New'!$D67,LEN($D67)-7),'Bulb Weighting'!$B$3:$B$17,0)+1,2)</f>
        <v>1.0293604618782537E-3</v>
      </c>
      <c r="R67" s="37">
        <f>VLOOKUP($C67,$C$33:$Y$36,R$31,FALSE)*$C$42*$A67/8760/1000*INDEX('Bulb Weighting'!$B$2:$C$17,MATCH(RIGHT('SC-New'!$D67,LEN($D67)-7),'Bulb Weighting'!$B$3:$B$17,0)+1,2)</f>
        <v>1.0320761970224305E-3</v>
      </c>
      <c r="S67" s="37">
        <f>VLOOKUP($C67,$C$33:$Y$36,S$31,FALSE)*$C$42*$A67/8760/1000*INDEX('Bulb Weighting'!$B$2:$C$17,MATCH(RIGHT('SC-New'!$D67,LEN($D67)-7),'Bulb Weighting'!$B$3:$B$17,0)+1,2)</f>
        <v>1.0303478718761408E-3</v>
      </c>
      <c r="T67" s="37">
        <f>VLOOKUP($C67,$C$33:$Y$36,T$31,FALSE)*$C$42*$A67/8760/1000*INDEX('Bulb Weighting'!$B$2:$C$17,MATCH(RIGHT('SC-New'!$D67,LEN($D67)-7),'Bulb Weighting'!$B$3:$B$17,0)+1,2)</f>
        <v>1.0174391568773034E-3</v>
      </c>
      <c r="U67" s="37">
        <f>VLOOKUP($C67,$C$33:$Y$36,U$31,FALSE)*$C$42*$A67/8760/1000*INDEX('Bulb Weighting'!$B$2:$C$17,MATCH(RIGHT('SC-New'!$D67,LEN($D67)-7),'Bulb Weighting'!$B$3:$B$17,0)+1,2)</f>
        <v>1.0063495998394313E-3</v>
      </c>
      <c r="V67" s="37">
        <f>VLOOKUP($C67,$C$33:$Y$36,V$31,FALSE)*$C$42*$A67/8760/1000*INDEX('Bulb Weighting'!$B$2:$C$17,MATCH(RIGHT('SC-New'!$D67,LEN($D67)-7),'Bulb Weighting'!$B$3:$B$17,0)+1,2)</f>
        <v>9.9840212748884567E-4</v>
      </c>
      <c r="W67" s="37">
        <f>VLOOKUP($C67,$C$33:$Y$36,W$31,FALSE)*$C$42*$A67/8760/1000*INDEX('Bulb Weighting'!$B$2:$C$17,MATCH(RIGHT('SC-New'!$D67,LEN($D67)-7),'Bulb Weighting'!$B$3:$B$17,0)+1,2)</f>
        <v>9.828536811098622E-4</v>
      </c>
      <c r="X67" s="37">
        <f>VLOOKUP($C67,$C$33:$Y$36,X$31,FALSE)*$C$42*$A67/8760/1000*INDEX('Bulb Weighting'!$B$2:$C$17,MATCH(RIGHT('SC-New'!$D67,LEN($D67)-7),'Bulb Weighting'!$B$3:$B$17,0)+1,2)</f>
        <v>9.8198639539960803E-4</v>
      </c>
      <c r="Y67" s="37">
        <f t="shared" si="15"/>
        <v>1.6565713203978073E-2</v>
      </c>
      <c r="AA67" s="31"/>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c r="A68" s="89">
        <f t="shared" si="13"/>
        <v>21.322455076849025</v>
      </c>
      <c r="B68" s="71">
        <f t="shared" si="14"/>
        <v>-49.256412709384371</v>
      </c>
      <c r="C68" s="1" t="s">
        <v>32</v>
      </c>
      <c r="D68" t="s">
        <v>755</v>
      </c>
      <c r="E68" s="37">
        <f>VLOOKUP($C68,$C$33:$Y$36,E$31,FALSE)*$C$42*$A68/8760/1000*INDEX('Bulb Weighting'!$B$2:$C$17,MATCH(RIGHT('SC-New'!$D68,LEN($D68)-7),'Bulb Weighting'!$B$3:$B$17,0)+1,2)</f>
        <v>0</v>
      </c>
      <c r="F68" s="37">
        <f>VLOOKUP($C68,$C$33:$Y$36,F$31,FALSE)*$C$42*$A68/8760/1000*INDEX('Bulb Weighting'!$B$2:$C$17,MATCH(RIGHT('SC-New'!$D68,LEN($D68)-7),'Bulb Weighting'!$B$3:$B$17,0)+1,2)</f>
        <v>5.8356787159077658E-3</v>
      </c>
      <c r="G68" s="37">
        <f>VLOOKUP($C68,$C$33:$Y$36,G$31,FALSE)*$C$42*$A68/8760/1000*INDEX('Bulb Weighting'!$B$2:$C$17,MATCH(RIGHT('SC-New'!$D68,LEN($D68)-7),'Bulb Weighting'!$B$3:$B$17,0)+1,2)</f>
        <v>7.4333677566988596E-3</v>
      </c>
      <c r="H68" s="37">
        <f>VLOOKUP($C68,$C$33:$Y$36,H$31,FALSE)*$C$42*$A68/8760/1000*INDEX('Bulb Weighting'!$B$2:$C$17,MATCH(RIGHT('SC-New'!$D68,LEN($D68)-7),'Bulb Weighting'!$B$3:$B$17,0)+1,2)</f>
        <v>8.4409370336531002E-3</v>
      </c>
      <c r="I68" s="37">
        <f>VLOOKUP($C68,$C$33:$Y$36,I$31,FALSE)*$C$42*$A68/8760/1000*INDEX('Bulb Weighting'!$B$2:$C$17,MATCH(RIGHT('SC-New'!$D68,LEN($D68)-7),'Bulb Weighting'!$B$3:$B$17,0)+1,2)</f>
        <v>8.9836892542898041E-3</v>
      </c>
      <c r="J68" s="37">
        <f>VLOOKUP($C68,$C$33:$Y$36,J$31,FALSE)*$C$42*$A68/8760/1000*INDEX('Bulb Weighting'!$B$2:$C$17,MATCH(RIGHT('SC-New'!$D68,LEN($D68)-7),'Bulb Weighting'!$B$3:$B$17,0)+1,2)</f>
        <v>9.5181915417734356E-3</v>
      </c>
      <c r="K68" s="37">
        <f>VLOOKUP($C68,$C$33:$Y$36,K$31,FALSE)*$C$42*$A68/8760/1000*INDEX('Bulb Weighting'!$B$2:$C$17,MATCH(RIGHT('SC-New'!$D68,LEN($D68)-7),'Bulb Weighting'!$B$3:$B$17,0)+1,2)</f>
        <v>1.0159260780464117E-2</v>
      </c>
      <c r="L68" s="37">
        <f>VLOOKUP($C68,$C$33:$Y$36,L$31,FALSE)*$C$42*$A68/8760/1000*INDEX('Bulb Weighting'!$B$2:$C$17,MATCH(RIGHT('SC-New'!$D68,LEN($D68)-7),'Bulb Weighting'!$B$3:$B$17,0)+1,2)</f>
        <v>1.0977797698192916E-2</v>
      </c>
      <c r="M68" s="37">
        <f>VLOOKUP($C68,$C$33:$Y$36,M$31,FALSE)*$C$42*$A68/8760/1000*INDEX('Bulb Weighting'!$B$2:$C$17,MATCH(RIGHT('SC-New'!$D68,LEN($D68)-7),'Bulb Weighting'!$B$3:$B$17,0)+1,2)</f>
        <v>1.178900834118537E-2</v>
      </c>
      <c r="N68" s="37">
        <f>VLOOKUP($C68,$C$33:$Y$36,N$31,FALSE)*$C$42*$A68/8760/1000*INDEX('Bulb Weighting'!$B$2:$C$17,MATCH(RIGHT('SC-New'!$D68,LEN($D68)-7),'Bulb Weighting'!$B$3:$B$17,0)+1,2)</f>
        <v>1.2578217598346021E-2</v>
      </c>
      <c r="O68" s="37">
        <f>VLOOKUP($C68,$C$33:$Y$36,O$31,FALSE)*$C$42*$A68/8760/1000*INDEX('Bulb Weighting'!$B$2:$C$17,MATCH(RIGHT('SC-New'!$D68,LEN($D68)-7),'Bulb Weighting'!$B$3:$B$17,0)+1,2)</f>
        <v>1.3023524101384359E-2</v>
      </c>
      <c r="P68" s="37">
        <f>VLOOKUP($C68,$C$33:$Y$36,P$31,FALSE)*$C$42*$A68/8760/1000*INDEX('Bulb Weighting'!$B$2:$C$17,MATCH(RIGHT('SC-New'!$D68,LEN($D68)-7),'Bulb Weighting'!$B$3:$B$17,0)+1,2)</f>
        <v>1.3333091460980705E-2</v>
      </c>
      <c r="Q68" s="37">
        <f>VLOOKUP($C68,$C$33:$Y$36,Q$31,FALSE)*$C$42*$A68/8760/1000*INDEX('Bulb Weighting'!$B$2:$C$17,MATCH(RIGHT('SC-New'!$D68,LEN($D68)-7),'Bulb Weighting'!$B$3:$B$17,0)+1,2)</f>
        <v>1.3593102723091414E-2</v>
      </c>
      <c r="R68" s="37">
        <f>VLOOKUP($C68,$C$33:$Y$36,R$31,FALSE)*$C$42*$A68/8760/1000*INDEX('Bulb Weighting'!$B$2:$C$17,MATCH(RIGHT('SC-New'!$D68,LEN($D68)-7),'Bulb Weighting'!$B$3:$B$17,0)+1,2)</f>
        <v>1.3628965055239028E-2</v>
      </c>
      <c r="S68" s="37">
        <f>VLOOKUP($C68,$C$33:$Y$36,S$31,FALSE)*$C$42*$A68/8760/1000*INDEX('Bulb Weighting'!$B$2:$C$17,MATCH(RIGHT('SC-New'!$D68,LEN($D68)-7),'Bulb Weighting'!$B$3:$B$17,0)+1,2)</f>
        <v>1.3606141853724617E-2</v>
      </c>
      <c r="T68" s="37">
        <f>VLOOKUP($C68,$C$33:$Y$36,T$31,FALSE)*$C$42*$A68/8760/1000*INDEX('Bulb Weighting'!$B$2:$C$17,MATCH(RIGHT('SC-New'!$D68,LEN($D68)-7),'Bulb Weighting'!$B$3:$B$17,0)+1,2)</f>
        <v>1.3435677283245457E-2</v>
      </c>
      <c r="U68" s="37">
        <f>VLOOKUP($C68,$C$33:$Y$36,U$31,FALSE)*$C$42*$A68/8760/1000*INDEX('Bulb Weighting'!$B$2:$C$17,MATCH(RIGHT('SC-New'!$D68,LEN($D68)-7),'Bulb Weighting'!$B$3:$B$17,0)+1,2)</f>
        <v>1.3289235396703278E-2</v>
      </c>
      <c r="V68" s="37">
        <f>VLOOKUP($C68,$C$33:$Y$36,V$31,FALSE)*$C$42*$A68/8760/1000*INDEX('Bulb Weighting'!$B$2:$C$17,MATCH(RIGHT('SC-New'!$D68,LEN($D68)-7),'Bulb Weighting'!$B$3:$B$17,0)+1,2)</f>
        <v>1.3184285952799713E-2</v>
      </c>
      <c r="W68" s="37">
        <f>VLOOKUP($C68,$C$33:$Y$36,W$31,FALSE)*$C$42*$A68/8760/1000*INDEX('Bulb Weighting'!$B$2:$C$17,MATCH(RIGHT('SC-New'!$D68,LEN($D68)-7),'Bulb Weighting'!$B$3:$B$17,0)+1,2)</f>
        <v>1.2978962709250655E-2</v>
      </c>
      <c r="X68" s="37">
        <f>VLOOKUP($C68,$C$33:$Y$36,X$31,FALSE)*$C$42*$A68/8760/1000*INDEX('Bulb Weighting'!$B$2:$C$17,MATCH(RIGHT('SC-New'!$D68,LEN($D68)-7),'Bulb Weighting'!$B$3:$B$17,0)+1,2)</f>
        <v>1.2967509866260897E-2</v>
      </c>
      <c r="Y68" s="37">
        <f t="shared" si="15"/>
        <v>0.21875664512319148</v>
      </c>
      <c r="AA68" s="31"/>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c r="A69" s="89">
        <f t="shared" si="13"/>
        <v>16.258824982644914</v>
      </c>
      <c r="B69" s="71">
        <f t="shared" si="14"/>
        <v>-57.558538168362972</v>
      </c>
      <c r="C69" s="1" t="s">
        <v>32</v>
      </c>
      <c r="D69" t="s">
        <v>756</v>
      </c>
      <c r="E69" s="37">
        <f>VLOOKUP($C69,$C$33:$Y$36,E$31,FALSE)*$C$42*$A69/8760/1000*INDEX('Bulb Weighting'!$B$2:$C$17,MATCH(RIGHT('SC-New'!$D69,LEN($D69)-7),'Bulb Weighting'!$B$3:$B$17,0)+1,2)</f>
        <v>0</v>
      </c>
      <c r="F69" s="37">
        <f>VLOOKUP($C69,$C$33:$Y$36,F$31,FALSE)*$C$42*$A69/8760/1000*INDEX('Bulb Weighting'!$B$2:$C$17,MATCH(RIGHT('SC-New'!$D69,LEN($D69)-7),'Bulb Weighting'!$B$3:$B$17,0)+1,2)</f>
        <v>4.4964184175055058E-2</v>
      </c>
      <c r="G69" s="37">
        <f>VLOOKUP($C69,$C$33:$Y$36,G$31,FALSE)*$C$42*$A69/8760/1000*INDEX('Bulb Weighting'!$B$2:$C$17,MATCH(RIGHT('SC-New'!$D69,LEN($D69)-7),'Bulb Weighting'!$B$3:$B$17,0)+1,2)</f>
        <v>5.7274454801977848E-2</v>
      </c>
      <c r="H69" s="37">
        <f>VLOOKUP($C69,$C$33:$Y$36,H$31,FALSE)*$C$42*$A69/8760/1000*INDEX('Bulb Weighting'!$B$2:$C$17,MATCH(RIGHT('SC-New'!$D69,LEN($D69)-7),'Bulb Weighting'!$B$3:$B$17,0)+1,2)</f>
        <v>6.5037824367646282E-2</v>
      </c>
      <c r="I69" s="37">
        <f>VLOOKUP($C69,$C$33:$Y$36,I$31,FALSE)*$C$42*$A69/8760/1000*INDEX('Bulb Weighting'!$B$2:$C$17,MATCH(RIGHT('SC-New'!$D69,LEN($D69)-7),'Bulb Weighting'!$B$3:$B$17,0)+1,2)</f>
        <v>6.9219756238501989E-2</v>
      </c>
      <c r="J69" s="37">
        <f>VLOOKUP($C69,$C$33:$Y$36,J$31,FALSE)*$C$42*$A69/8760/1000*INDEX('Bulb Weighting'!$B$2:$C$17,MATCH(RIGHT('SC-New'!$D69,LEN($D69)-7),'Bulb Weighting'!$B$3:$B$17,0)+1,2)</f>
        <v>7.3338121979043575E-2</v>
      </c>
      <c r="K69" s="37">
        <f>VLOOKUP($C69,$C$33:$Y$36,K$31,FALSE)*$C$42*$A69/8760/1000*INDEX('Bulb Weighting'!$B$2:$C$17,MATCH(RIGHT('SC-New'!$D69,LEN($D69)-7),'Bulb Weighting'!$B$3:$B$17,0)+1,2)</f>
        <v>7.8277591185748577E-2</v>
      </c>
      <c r="L69" s="37">
        <f>VLOOKUP($C69,$C$33:$Y$36,L$31,FALSE)*$C$42*$A69/8760/1000*INDEX('Bulb Weighting'!$B$2:$C$17,MATCH(RIGHT('SC-New'!$D69,LEN($D69)-7),'Bulb Weighting'!$B$3:$B$17,0)+1,2)</f>
        <v>8.4584457364400845E-2</v>
      </c>
      <c r="M69" s="37">
        <f>VLOOKUP($C69,$C$33:$Y$36,M$31,FALSE)*$C$42*$A69/8760/1000*INDEX('Bulb Weighting'!$B$2:$C$17,MATCH(RIGHT('SC-New'!$D69,LEN($D69)-7),'Bulb Weighting'!$B$3:$B$17,0)+1,2)</f>
        <v>9.0834874245105293E-2</v>
      </c>
      <c r="N69" s="37">
        <f>VLOOKUP($C69,$C$33:$Y$36,N$31,FALSE)*$C$42*$A69/8760/1000*INDEX('Bulb Weighting'!$B$2:$C$17,MATCH(RIGHT('SC-New'!$D69,LEN($D69)-7),'Bulb Weighting'!$B$3:$B$17,0)+1,2)</f>
        <v>9.6915769393581569E-2</v>
      </c>
      <c r="O69" s="37">
        <f>VLOOKUP($C69,$C$33:$Y$36,O$31,FALSE)*$C$42*$A69/8760/1000*INDEX('Bulb Weighting'!$B$2:$C$17,MATCH(RIGHT('SC-New'!$D69,LEN($D69)-7),'Bulb Weighting'!$B$3:$B$17,0)+1,2)</f>
        <v>0.10034687734035466</v>
      </c>
      <c r="P69" s="37">
        <f>VLOOKUP($C69,$C$33:$Y$36,P$31,FALSE)*$C$42*$A69/8760/1000*INDEX('Bulb Weighting'!$B$2:$C$17,MATCH(RIGHT('SC-New'!$D69,LEN($D69)-7),'Bulb Weighting'!$B$3:$B$17,0)+1,2)</f>
        <v>0.10273210868174634</v>
      </c>
      <c r="Q69" s="37">
        <f>VLOOKUP($C69,$C$33:$Y$36,Q$31,FALSE)*$C$42*$A69/8760/1000*INDEX('Bulb Weighting'!$B$2:$C$17,MATCH(RIGHT('SC-New'!$D69,LEN($D69)-7),'Bulb Weighting'!$B$3:$B$17,0)+1,2)</f>
        <v>0.10473550791708544</v>
      </c>
      <c r="R69" s="37">
        <f>VLOOKUP($C69,$C$33:$Y$36,R$31,FALSE)*$C$42*$A69/8760/1000*INDEX('Bulb Weighting'!$B$2:$C$17,MATCH(RIGHT('SC-New'!$D69,LEN($D69)-7),'Bulb Weighting'!$B$3:$B$17,0)+1,2)</f>
        <v>0.10501182890494873</v>
      </c>
      <c r="S69" s="37">
        <f>VLOOKUP($C69,$C$33:$Y$36,S$31,FALSE)*$C$42*$A69/8760/1000*INDEX('Bulb Weighting'!$B$2:$C$17,MATCH(RIGHT('SC-New'!$D69,LEN($D69)-7),'Bulb Weighting'!$B$3:$B$17,0)+1,2)</f>
        <v>0.10483597504350141</v>
      </c>
      <c r="T69" s="37">
        <f>VLOOKUP($C69,$C$33:$Y$36,T$31,FALSE)*$C$42*$A69/8760/1000*INDEX('Bulb Weighting'!$B$2:$C$17,MATCH(RIGHT('SC-New'!$D69,LEN($D69)-7),'Bulb Weighting'!$B$3:$B$17,0)+1,2)</f>
        <v>0.10352253735861773</v>
      </c>
      <c r="U69" s="37">
        <f>VLOOKUP($C69,$C$33:$Y$36,U$31,FALSE)*$C$42*$A69/8760/1000*INDEX('Bulb Weighting'!$B$2:$C$17,MATCH(RIGHT('SC-New'!$D69,LEN($D69)-7),'Bulb Weighting'!$B$3:$B$17,0)+1,2)</f>
        <v>0.10239419560473131</v>
      </c>
      <c r="V69" s="37">
        <f>VLOOKUP($C69,$C$33:$Y$36,V$31,FALSE)*$C$42*$A69/8760/1000*INDEX('Bulb Weighting'!$B$2:$C$17,MATCH(RIGHT('SC-New'!$D69,LEN($D69)-7),'Bulb Weighting'!$B$3:$B$17,0)+1,2)</f>
        <v>0.10158555510985869</v>
      </c>
      <c r="W69" s="37">
        <f>VLOOKUP($C69,$C$33:$Y$36,W$31,FALSE)*$C$42*$A69/8760/1000*INDEX('Bulb Weighting'!$B$2:$C$17,MATCH(RIGHT('SC-New'!$D69,LEN($D69)-7),'Bulb Weighting'!$B$3:$B$17,0)+1,2)</f>
        <v>0.10000352967840491</v>
      </c>
      <c r="X69" s="37">
        <f>VLOOKUP($C69,$C$33:$Y$36,X$31,FALSE)*$C$42*$A69/8760/1000*INDEX('Bulb Weighting'!$B$2:$C$17,MATCH(RIGHT('SC-New'!$D69,LEN($D69)-7),'Bulb Weighting'!$B$3:$B$17,0)+1,2)</f>
        <v>9.9915284974302951E-2</v>
      </c>
      <c r="Y69" s="37">
        <f t="shared" si="15"/>
        <v>1.6855304343646136</v>
      </c>
      <c r="AA69" s="31"/>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c r="A70" s="89">
        <f t="shared" si="13"/>
        <v>87.041761167225999</v>
      </c>
      <c r="B70" s="71">
        <f t="shared" si="14"/>
        <v>-31.342168529326845</v>
      </c>
      <c r="C70" s="1" t="s">
        <v>32</v>
      </c>
      <c r="D70" t="s">
        <v>757</v>
      </c>
      <c r="E70" s="37">
        <f>VLOOKUP($C70,$C$33:$Y$36,E$31,FALSE)*$C$42*$A70/8760/1000*INDEX('Bulb Weighting'!$B$2:$C$17,MATCH(RIGHT('SC-New'!$D70,LEN($D70)-7),'Bulb Weighting'!$B$3:$B$17,0)+1,2)</f>
        <v>0</v>
      </c>
      <c r="F70" s="37">
        <f>VLOOKUP($C70,$C$33:$Y$36,F$31,FALSE)*$C$42*$A70/8760/1000*INDEX('Bulb Weighting'!$B$2:$C$17,MATCH(RIGHT('SC-New'!$D70,LEN($D70)-7),'Bulb Weighting'!$B$3:$B$17,0)+1,2)</f>
        <v>1.9781408944093665E-2</v>
      </c>
      <c r="G70" s="37">
        <f>VLOOKUP($C70,$C$33:$Y$36,G$31,FALSE)*$C$42*$A70/8760/1000*INDEX('Bulb Weighting'!$B$2:$C$17,MATCH(RIGHT('SC-New'!$D70,LEN($D70)-7),'Bulb Weighting'!$B$3:$B$17,0)+1,2)</f>
        <v>2.5197152651030969E-2</v>
      </c>
      <c r="H70" s="37">
        <f>VLOOKUP($C70,$C$33:$Y$36,H$31,FALSE)*$C$42*$A70/8760/1000*INDEX('Bulb Weighting'!$B$2:$C$17,MATCH(RIGHT('SC-New'!$D70,LEN($D70)-7),'Bulb Weighting'!$B$3:$B$17,0)+1,2)</f>
        <v>2.8612546279985437E-2</v>
      </c>
      <c r="I70" s="37">
        <f>VLOOKUP($C70,$C$33:$Y$36,I$31,FALSE)*$C$42*$A70/8760/1000*INDEX('Bulb Weighting'!$B$2:$C$17,MATCH(RIGHT('SC-New'!$D70,LEN($D70)-7),'Bulb Weighting'!$B$3:$B$17,0)+1,2)</f>
        <v>3.0452332901970424E-2</v>
      </c>
      <c r="J70" s="37">
        <f>VLOOKUP($C70,$C$33:$Y$36,J$31,FALSE)*$C$42*$A70/8760/1000*INDEX('Bulb Weighting'!$B$2:$C$17,MATCH(RIGHT('SC-New'!$D70,LEN($D70)-7),'Bulb Weighting'!$B$3:$B$17,0)+1,2)</f>
        <v>3.226415443036354E-2</v>
      </c>
      <c r="K70" s="37">
        <f>VLOOKUP($C70,$C$33:$Y$36,K$31,FALSE)*$C$42*$A70/8760/1000*INDEX('Bulb Weighting'!$B$2:$C$17,MATCH(RIGHT('SC-New'!$D70,LEN($D70)-7),'Bulb Weighting'!$B$3:$B$17,0)+1,2)</f>
        <v>3.443720976623231E-2</v>
      </c>
      <c r="L70" s="37">
        <f>VLOOKUP($C70,$C$33:$Y$36,L$31,FALSE)*$C$42*$A70/8760/1000*INDEX('Bulb Weighting'!$B$2:$C$17,MATCH(RIGHT('SC-New'!$D70,LEN($D70)-7),'Bulb Weighting'!$B$3:$B$17,0)+1,2)</f>
        <v>3.7211833643536127E-2</v>
      </c>
      <c r="M70" s="37">
        <f>VLOOKUP($C70,$C$33:$Y$36,M$31,FALSE)*$C$42*$A70/8760/1000*INDEX('Bulb Weighting'!$B$2:$C$17,MATCH(RIGHT('SC-New'!$D70,LEN($D70)-7),'Bulb Weighting'!$B$3:$B$17,0)+1,2)</f>
        <v>3.9961623385231786E-2</v>
      </c>
      <c r="N70" s="37">
        <f>VLOOKUP($C70,$C$33:$Y$36,N$31,FALSE)*$C$42*$A70/8760/1000*INDEX('Bulb Weighting'!$B$2:$C$17,MATCH(RIGHT('SC-New'!$D70,LEN($D70)-7),'Bulb Weighting'!$B$3:$B$17,0)+1,2)</f>
        <v>4.2636834242163066E-2</v>
      </c>
      <c r="O70" s="37">
        <f>VLOOKUP($C70,$C$33:$Y$36,O$31,FALSE)*$C$42*$A70/8760/1000*INDEX('Bulb Weighting'!$B$2:$C$17,MATCH(RIGHT('SC-New'!$D70,LEN($D70)-7),'Bulb Weighting'!$B$3:$B$17,0)+1,2)</f>
        <v>4.4146305628593813E-2</v>
      </c>
      <c r="P70" s="37">
        <f>VLOOKUP($C70,$C$33:$Y$36,P$31,FALSE)*$C$42*$A70/8760/1000*INDEX('Bulb Weighting'!$B$2:$C$17,MATCH(RIGHT('SC-New'!$D70,LEN($D70)-7),'Bulb Weighting'!$B$3:$B$17,0)+1,2)</f>
        <v>4.5195657183748093E-2</v>
      </c>
      <c r="Q70" s="37">
        <f>VLOOKUP($C70,$C$33:$Y$36,Q$31,FALSE)*$C$42*$A70/8760/1000*INDEX('Bulb Weighting'!$B$2:$C$17,MATCH(RIGHT('SC-New'!$D70,LEN($D70)-7),'Bulb Weighting'!$B$3:$B$17,0)+1,2)</f>
        <v>4.6077026662136485E-2</v>
      </c>
      <c r="R70" s="37">
        <f>VLOOKUP($C70,$C$33:$Y$36,R$31,FALSE)*$C$42*$A70/8760/1000*INDEX('Bulb Weighting'!$B$2:$C$17,MATCH(RIGHT('SC-New'!$D70,LEN($D70)-7),'Bulb Weighting'!$B$3:$B$17,0)+1,2)</f>
        <v>4.6198590492572709E-2</v>
      </c>
      <c r="S70" s="37">
        <f>VLOOKUP($C70,$C$33:$Y$36,S$31,FALSE)*$C$42*$A70/8760/1000*INDEX('Bulb Weighting'!$B$2:$C$17,MATCH(RIGHT('SC-New'!$D70,LEN($D70)-7),'Bulb Weighting'!$B$3:$B$17,0)+1,2)</f>
        <v>4.6121225869784399E-2</v>
      </c>
      <c r="T70" s="37">
        <f>VLOOKUP($C70,$C$33:$Y$36,T$31,FALSE)*$C$42*$A70/8760/1000*INDEX('Bulb Weighting'!$B$2:$C$17,MATCH(RIGHT('SC-New'!$D70,LEN($D70)-7),'Bulb Weighting'!$B$3:$B$17,0)+1,2)</f>
        <v>4.5543396016003095E-2</v>
      </c>
      <c r="U70" s="37">
        <f>VLOOKUP($C70,$C$33:$Y$36,U$31,FALSE)*$C$42*$A70/8760/1000*INDEX('Bulb Weighting'!$B$2:$C$17,MATCH(RIGHT('SC-New'!$D70,LEN($D70)-7),'Bulb Weighting'!$B$3:$B$17,0)+1,2)</f>
        <v>4.5046996713495442E-2</v>
      </c>
      <c r="V70" s="37">
        <f>VLOOKUP($C70,$C$33:$Y$36,V$31,FALSE)*$C$42*$A70/8760/1000*INDEX('Bulb Weighting'!$B$2:$C$17,MATCH(RIGHT('SC-New'!$D70,LEN($D70)-7),'Bulb Weighting'!$B$3:$B$17,0)+1,2)</f>
        <v>4.4691245828400887E-2</v>
      </c>
      <c r="W70" s="37">
        <f>VLOOKUP($C70,$C$33:$Y$36,W$31,FALSE)*$C$42*$A70/8760/1000*INDEX('Bulb Weighting'!$B$2:$C$17,MATCH(RIGHT('SC-New'!$D70,LEN($D70)-7),'Bulb Weighting'!$B$3:$B$17,0)+1,2)</f>
        <v>4.3995254283270065E-2</v>
      </c>
      <c r="X70" s="37">
        <f>VLOOKUP($C70,$C$33:$Y$36,X$31,FALSE)*$C$42*$A70/8760/1000*INDEX('Bulb Weighting'!$B$2:$C$17,MATCH(RIGHT('SC-New'!$D70,LEN($D70)-7),'Bulb Weighting'!$B$3:$B$17,0)+1,2)</f>
        <v>4.3956432171604588E-2</v>
      </c>
      <c r="Y70" s="37">
        <f t="shared" si="15"/>
        <v>0.74152722709421692</v>
      </c>
      <c r="AA70" s="31"/>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c r="A71" s="89">
        <f t="shared" si="13"/>
        <v>50.673589083344737</v>
      </c>
      <c r="B71" s="71">
        <f t="shared" si="14"/>
        <v>-6.4266835469852737</v>
      </c>
      <c r="C71" s="1" t="s">
        <v>32</v>
      </c>
      <c r="D71" t="s">
        <v>758</v>
      </c>
      <c r="E71" s="37">
        <f>VLOOKUP($C71,$C$33:$Y$36,E$31,FALSE)*$C$42*$A71/8760/1000*INDEX('Bulb Weighting'!$B$2:$C$17,MATCH(RIGHT('SC-New'!$D71,LEN($D71)-7),'Bulb Weighting'!$B$3:$B$17,0)+1,2)</f>
        <v>0</v>
      </c>
      <c r="F71" s="37">
        <f>VLOOKUP($C71,$C$33:$Y$36,F$31,FALSE)*$C$42*$A71/8760/1000*INDEX('Bulb Weighting'!$B$2:$C$17,MATCH(RIGHT('SC-New'!$D71,LEN($D71)-7),'Bulb Weighting'!$B$3:$B$17,0)+1,2)</f>
        <v>1.8070563922328587E-4</v>
      </c>
      <c r="G71" s="37">
        <f>VLOOKUP($C71,$C$33:$Y$36,G$31,FALSE)*$C$42*$A71/8760/1000*INDEX('Bulb Weighting'!$B$2:$C$17,MATCH(RIGHT('SC-New'!$D71,LEN($D71)-7),'Bulb Weighting'!$B$3:$B$17,0)+1,2)</f>
        <v>2.3017913381598524E-4</v>
      </c>
      <c r="H71" s="37">
        <f>VLOOKUP($C71,$C$33:$Y$36,H$31,FALSE)*$C$42*$A71/8760/1000*INDEX('Bulb Weighting'!$B$2:$C$17,MATCH(RIGHT('SC-New'!$D71,LEN($D71)-7),'Bulb Weighting'!$B$3:$B$17,0)+1,2)</f>
        <v>2.6137918082293177E-4</v>
      </c>
      <c r="I71" s="37">
        <f>VLOOKUP($C71,$C$33:$Y$36,I$31,FALSE)*$C$42*$A71/8760/1000*INDEX('Bulb Weighting'!$B$2:$C$17,MATCH(RIGHT('SC-New'!$D71,LEN($D71)-7),'Bulb Weighting'!$B$3:$B$17,0)+1,2)</f>
        <v>2.7818586120145517E-4</v>
      </c>
      <c r="J71" s="37">
        <f>VLOOKUP($C71,$C$33:$Y$36,J$31,FALSE)*$C$42*$A71/8760/1000*INDEX('Bulb Weighting'!$B$2:$C$17,MATCH(RIGHT('SC-New'!$D71,LEN($D71)-7),'Bulb Weighting'!$B$3:$B$17,0)+1,2)</f>
        <v>2.9473707696025717E-4</v>
      </c>
      <c r="K71" s="37">
        <f>VLOOKUP($C71,$C$33:$Y$36,K$31,FALSE)*$C$42*$A71/8760/1000*INDEX('Bulb Weighting'!$B$2:$C$17,MATCH(RIGHT('SC-New'!$D71,LEN($D71)-7),'Bulb Weighting'!$B$3:$B$17,0)+1,2)</f>
        <v>3.1458820862866071E-4</v>
      </c>
      <c r="L71" s="37">
        <f>VLOOKUP($C71,$C$33:$Y$36,L$31,FALSE)*$C$42*$A71/8760/1000*INDEX('Bulb Weighting'!$B$2:$C$17,MATCH(RIGHT('SC-New'!$D71,LEN($D71)-7),'Bulb Weighting'!$B$3:$B$17,0)+1,2)</f>
        <v>3.3993474399271944E-4</v>
      </c>
      <c r="M71" s="37">
        <f>VLOOKUP($C71,$C$33:$Y$36,M$31,FALSE)*$C$42*$A71/8760/1000*INDEX('Bulb Weighting'!$B$2:$C$17,MATCH(RIGHT('SC-New'!$D71,LEN($D71)-7),'Bulb Weighting'!$B$3:$B$17,0)+1,2)</f>
        <v>3.6505441642894966E-4</v>
      </c>
      <c r="N71" s="37">
        <f>VLOOKUP($C71,$C$33:$Y$36,N$31,FALSE)*$C$42*$A71/8760/1000*INDEX('Bulb Weighting'!$B$2:$C$17,MATCH(RIGHT('SC-New'!$D71,LEN($D71)-7),'Bulb Weighting'!$B$3:$B$17,0)+1,2)</f>
        <v>3.8949280144616959E-4</v>
      </c>
      <c r="O71" s="37">
        <f>VLOOKUP($C71,$C$33:$Y$36,O$31,FALSE)*$C$42*$A71/8760/1000*INDEX('Bulb Weighting'!$B$2:$C$17,MATCH(RIGHT('SC-New'!$D71,LEN($D71)-7),'Bulb Weighting'!$B$3:$B$17,0)+1,2)</f>
        <v>4.032820109279174E-4</v>
      </c>
      <c r="P71" s="37">
        <f>VLOOKUP($C71,$C$33:$Y$36,P$31,FALSE)*$C$42*$A71/8760/1000*INDEX('Bulb Weighting'!$B$2:$C$17,MATCH(RIGHT('SC-New'!$D71,LEN($D71)-7),'Bulb Weighting'!$B$3:$B$17,0)+1,2)</f>
        <v>4.1286796833267156E-4</v>
      </c>
      <c r="Q71" s="37">
        <f>VLOOKUP($C71,$C$33:$Y$36,Q$31,FALSE)*$C$42*$A71/8760/1000*INDEX('Bulb Weighting'!$B$2:$C$17,MATCH(RIGHT('SC-New'!$D71,LEN($D71)-7),'Bulb Weighting'!$B$3:$B$17,0)+1,2)</f>
        <v>4.2091938850371158E-4</v>
      </c>
      <c r="R71" s="37">
        <f>VLOOKUP($C71,$C$33:$Y$36,R$31,FALSE)*$C$42*$A71/8760/1000*INDEX('Bulb Weighting'!$B$2:$C$17,MATCH(RIGHT('SC-New'!$D71,LEN($D71)-7),'Bulb Weighting'!$B$3:$B$17,0)+1,2)</f>
        <v>4.2202988926467837E-4</v>
      </c>
      <c r="S71" s="37">
        <f>VLOOKUP($C71,$C$33:$Y$36,S$31,FALSE)*$C$42*$A71/8760/1000*INDEX('Bulb Weighting'!$B$2:$C$17,MATCH(RIGHT('SC-New'!$D71,LEN($D71)-7),'Bulb Weighting'!$B$3:$B$17,0)+1,2)</f>
        <v>4.2132315378118769E-4</v>
      </c>
      <c r="T71" s="37">
        <f>VLOOKUP($C71,$C$33:$Y$36,T$31,FALSE)*$C$42*$A71/8760/1000*INDEX('Bulb Weighting'!$B$2:$C$17,MATCH(RIGHT('SC-New'!$D71,LEN($D71)-7),'Bulb Weighting'!$B$3:$B$17,0)+1,2)</f>
        <v>4.1604460595959664E-4</v>
      </c>
      <c r="U71" s="37">
        <f>VLOOKUP($C71,$C$33:$Y$36,U$31,FALSE)*$C$42*$A71/8760/1000*INDEX('Bulb Weighting'!$B$2:$C$17,MATCH(RIGHT('SC-New'!$D71,LEN($D71)-7),'Bulb Weighting'!$B$3:$B$17,0)+1,2)</f>
        <v>4.1150993638559624E-4</v>
      </c>
      <c r="V71" s="37">
        <f>VLOOKUP($C71,$C$33:$Y$36,V$31,FALSE)*$C$42*$A71/8760/1000*INDEX('Bulb Weighting'!$B$2:$C$17,MATCH(RIGHT('SC-New'!$D71,LEN($D71)-7),'Bulb Weighting'!$B$3:$B$17,0)+1,2)</f>
        <v>4.0826010765615924E-4</v>
      </c>
      <c r="W71" s="37">
        <f>VLOOKUP($C71,$C$33:$Y$36,W$31,FALSE)*$C$42*$A71/8760/1000*INDEX('Bulb Weighting'!$B$2:$C$17,MATCH(RIGHT('SC-New'!$D71,LEN($D71)-7),'Bulb Weighting'!$B$3:$B$17,0)+1,2)</f>
        <v>4.0190213803871093E-4</v>
      </c>
      <c r="X71" s="37">
        <f>VLOOKUP($C71,$C$33:$Y$36,X$31,FALSE)*$C$42*$A71/8760/1000*INDEX('Bulb Weighting'!$B$2:$C$17,MATCH(RIGHT('SC-New'!$D71,LEN($D71)-7),'Bulb Weighting'!$B$3:$B$17,0)+1,2)</f>
        <v>4.0154749320404139E-4</v>
      </c>
      <c r="Y71" s="37">
        <f t="shared" si="15"/>
        <v>6.773943754574685E-3</v>
      </c>
      <c r="AA71" s="3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c r="A72" s="89">
        <f t="shared" si="13"/>
        <v>54.583633546821666</v>
      </c>
      <c r="B72" s="71">
        <f t="shared" si="14"/>
        <v>-12.334283459818346</v>
      </c>
      <c r="C72" s="1" t="s">
        <v>32</v>
      </c>
      <c r="D72" t="s">
        <v>759</v>
      </c>
      <c r="E72" s="37">
        <f>VLOOKUP($C72,$C$33:$Y$36,E$31,FALSE)*$C$42*$A72/8760/1000*INDEX('Bulb Weighting'!$B$2:$C$17,MATCH(RIGHT('SC-New'!$D72,LEN($D72)-7),'Bulb Weighting'!$B$3:$B$17,0)+1,2)</f>
        <v>0</v>
      </c>
      <c r="F72" s="37">
        <f>VLOOKUP($C72,$C$33:$Y$36,F$31,FALSE)*$C$42*$A72/8760/1000*INDEX('Bulb Weighting'!$B$2:$C$17,MATCH(RIGHT('SC-New'!$D72,LEN($D72)-7),'Bulb Weighting'!$B$3:$B$17,0)+1,2)</f>
        <v>2.4026362034374545E-3</v>
      </c>
      <c r="G72" s="37">
        <f>VLOOKUP($C72,$C$33:$Y$36,G$31,FALSE)*$C$42*$A72/8760/1000*INDEX('Bulb Weighting'!$B$2:$C$17,MATCH(RIGHT('SC-New'!$D72,LEN($D72)-7),'Bulb Weighting'!$B$3:$B$17,0)+1,2)</f>
        <v>3.0604286759352865E-3</v>
      </c>
      <c r="H72" s="37">
        <f>VLOOKUP($C72,$C$33:$Y$36,H$31,FALSE)*$C$42*$A72/8760/1000*INDEX('Bulb Weighting'!$B$2:$C$17,MATCH(RIGHT('SC-New'!$D72,LEN($D72)-7),'Bulb Weighting'!$B$3:$B$17,0)+1,2)</f>
        <v>3.4752600160641587E-3</v>
      </c>
      <c r="I72" s="37">
        <f>VLOOKUP($C72,$C$33:$Y$36,I$31,FALSE)*$C$42*$A72/8760/1000*INDEX('Bulb Weighting'!$B$2:$C$17,MATCH(RIGHT('SC-New'!$D72,LEN($D72)-7),'Bulb Weighting'!$B$3:$B$17,0)+1,2)</f>
        <v>3.6987192224874122E-3</v>
      </c>
      <c r="J72" s="37">
        <f>VLOOKUP($C72,$C$33:$Y$36,J$31,FALSE)*$C$42*$A72/8760/1000*INDEX('Bulb Weighting'!$B$2:$C$17,MATCH(RIGHT('SC-New'!$D72,LEN($D72)-7),'Bulb Weighting'!$B$3:$B$17,0)+1,2)</f>
        <v>3.9187818080488141E-3</v>
      </c>
      <c r="K72" s="37">
        <f>VLOOKUP($C72,$C$33:$Y$36,K$31,FALSE)*$C$42*$A72/8760/1000*INDEX('Bulb Weighting'!$B$2:$C$17,MATCH(RIGHT('SC-New'!$D72,LEN($D72)-7),'Bulb Weighting'!$B$3:$B$17,0)+1,2)</f>
        <v>4.1827196011952504E-3</v>
      </c>
      <c r="L72" s="37">
        <f>VLOOKUP($C72,$C$33:$Y$36,L$31,FALSE)*$C$42*$A72/8760/1000*INDEX('Bulb Weighting'!$B$2:$C$17,MATCH(RIGHT('SC-New'!$D72,LEN($D72)-7),'Bulb Weighting'!$B$3:$B$17,0)+1,2)</f>
        <v>4.5197234919379563E-3</v>
      </c>
      <c r="M72" s="37">
        <f>VLOOKUP($C72,$C$33:$Y$36,M$31,FALSE)*$C$42*$A72/8760/1000*INDEX('Bulb Weighting'!$B$2:$C$17,MATCH(RIGHT('SC-New'!$D72,LEN($D72)-7),'Bulb Weighting'!$B$3:$B$17,0)+1,2)</f>
        <v>4.8537110458028478E-3</v>
      </c>
      <c r="N72" s="37">
        <f>VLOOKUP($C72,$C$33:$Y$36,N$31,FALSE)*$C$42*$A72/8760/1000*INDEX('Bulb Weighting'!$B$2:$C$17,MATCH(RIGHT('SC-New'!$D72,LEN($D72)-7),'Bulb Weighting'!$B$3:$B$17,0)+1,2)</f>
        <v>5.1786403000767785E-3</v>
      </c>
      <c r="O72" s="37">
        <f>VLOOKUP($C72,$C$33:$Y$36,O$31,FALSE)*$C$42*$A72/8760/1000*INDEX('Bulb Weighting'!$B$2:$C$17,MATCH(RIGHT('SC-New'!$D72,LEN($D72)-7),'Bulb Weighting'!$B$3:$B$17,0)+1,2)</f>
        <v>5.3619796472052506E-3</v>
      </c>
      <c r="P72" s="37">
        <f>VLOOKUP($C72,$C$33:$Y$36,P$31,FALSE)*$C$42*$A72/8760/1000*INDEX('Bulb Weighting'!$B$2:$C$17,MATCH(RIGHT('SC-New'!$D72,LEN($D72)-7),'Bulb Weighting'!$B$3:$B$17,0)+1,2)</f>
        <v>5.4894331589178148E-3</v>
      </c>
      <c r="Q72" s="37">
        <f>VLOOKUP($C72,$C$33:$Y$36,Q$31,FALSE)*$C$42*$A72/8760/1000*INDEX('Bulb Weighting'!$B$2:$C$17,MATCH(RIGHT('SC-New'!$D72,LEN($D72)-7),'Bulb Weighting'!$B$3:$B$17,0)+1,2)</f>
        <v>5.5964836841541875E-3</v>
      </c>
      <c r="R72" s="37">
        <f>VLOOKUP($C72,$C$33:$Y$36,R$31,FALSE)*$C$42*$A72/8760/1000*INDEX('Bulb Weighting'!$B$2:$C$17,MATCH(RIGHT('SC-New'!$D72,LEN($D72)-7),'Bulb Weighting'!$B$3:$B$17,0)+1,2)</f>
        <v>5.6112487426421892E-3</v>
      </c>
      <c r="S72" s="37">
        <f>VLOOKUP($C72,$C$33:$Y$36,S$31,FALSE)*$C$42*$A72/8760/1000*INDEX('Bulb Weighting'!$B$2:$C$17,MATCH(RIGHT('SC-New'!$D72,LEN($D72)-7),'Bulb Weighting'!$B$3:$B$17,0)+1,2)</f>
        <v>5.6018520892439491E-3</v>
      </c>
      <c r="T72" s="37">
        <f>VLOOKUP($C72,$C$33:$Y$36,T$31,FALSE)*$C$42*$A72/8760/1000*INDEX('Bulb Weighting'!$B$2:$C$17,MATCH(RIGHT('SC-New'!$D72,LEN($D72)-7),'Bulb Weighting'!$B$3:$B$17,0)+1,2)</f>
        <v>5.5316692761771162E-3</v>
      </c>
      <c r="U72" s="37">
        <f>VLOOKUP($C72,$C$33:$Y$36,U$31,FALSE)*$C$42*$A72/8760/1000*INDEX('Bulb Weighting'!$B$2:$C$17,MATCH(RIGHT('SC-New'!$D72,LEN($D72)-7),'Bulb Weighting'!$B$3:$B$17,0)+1,2)</f>
        <v>5.4713769613608807E-3</v>
      </c>
      <c r="V72" s="37">
        <f>VLOOKUP($C72,$C$33:$Y$36,V$31,FALSE)*$C$42*$A72/8760/1000*INDEX('Bulb Weighting'!$B$2:$C$17,MATCH(RIGHT('SC-New'!$D72,LEN($D72)-7),'Bulb Weighting'!$B$3:$B$17,0)+1,2)</f>
        <v>5.428167705723492E-3</v>
      </c>
      <c r="W72" s="37">
        <f>VLOOKUP($C72,$C$33:$Y$36,W$31,FALSE)*$C$42*$A72/8760/1000*INDEX('Bulb Weighting'!$B$2:$C$17,MATCH(RIGHT('SC-New'!$D72,LEN($D72)-7),'Bulb Weighting'!$B$3:$B$17,0)+1,2)</f>
        <v>5.3436330556212823E-3</v>
      </c>
      <c r="X72" s="37">
        <f>VLOOKUP($C72,$C$33:$Y$36,X$31,FALSE)*$C$42*$A72/8760/1000*INDEX('Bulb Weighting'!$B$2:$C$17,MATCH(RIGHT('SC-New'!$D72,LEN($D72)-7),'Bulb Weighting'!$B$3:$B$17,0)+1,2)</f>
        <v>5.3389177488782184E-3</v>
      </c>
      <c r="Y72" s="37">
        <f t="shared" si="15"/>
        <v>9.0065382434910343E-2</v>
      </c>
      <c r="AA72" s="31"/>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c r="A73" s="89">
        <f t="shared" si="13"/>
        <v>48.844129164687544</v>
      </c>
      <c r="B73" s="71">
        <f t="shared" si="14"/>
        <v>-29.993229849727555</v>
      </c>
      <c r="C73" s="1" t="str">
        <f>C15</f>
        <v>Multifamily - High Rise</v>
      </c>
      <c r="D73" t="s">
        <v>760</v>
      </c>
      <c r="E73" s="37">
        <f>VLOOKUP($C73,$C$33:$Y$36,E$31,FALSE)*$C$42*$A73/8760/1000*INDEX('Bulb Weighting'!$B$2:$C$17,MATCH(RIGHT('SC-New'!$D73,LEN($D73)-7),'Bulb Weighting'!$B$3:$B$17,0)+1,2)</f>
        <v>0</v>
      </c>
      <c r="F73" s="37">
        <f>VLOOKUP($C73,$C$33:$Y$36,F$31,FALSE)*$C$42*$A73/8760/1000*INDEX('Bulb Weighting'!$B$2:$C$17,MATCH(RIGHT('SC-New'!$D73,LEN($D73)-7),'Bulb Weighting'!$B$3:$B$17,0)+1,2)</f>
        <v>1.892652337877457E-3</v>
      </c>
      <c r="G73" s="37">
        <f>VLOOKUP($C73,$C$33:$Y$36,G$31,FALSE)*$C$42*$A73/8760/1000*INDEX('Bulb Weighting'!$B$2:$C$17,MATCH(RIGHT('SC-New'!$D73,LEN($D73)-7),'Bulb Weighting'!$B$3:$B$17,0)+1,2)</f>
        <v>2.4471068283239846E-3</v>
      </c>
      <c r="H73" s="37">
        <f>VLOOKUP($C73,$C$33:$Y$36,H$31,FALSE)*$C$42*$A73/8760/1000*INDEX('Bulb Weighting'!$B$2:$C$17,MATCH(RIGHT('SC-New'!$D73,LEN($D73)-7),'Bulb Weighting'!$B$3:$B$17,0)+1,2)</f>
        <v>2.7147262639598199E-3</v>
      </c>
      <c r="I73" s="37">
        <f>VLOOKUP($C73,$C$33:$Y$36,I$31,FALSE)*$C$42*$A73/8760/1000*INDEX('Bulb Weighting'!$B$2:$C$17,MATCH(RIGHT('SC-New'!$D73,LEN($D73)-7),'Bulb Weighting'!$B$3:$B$17,0)+1,2)</f>
        <v>2.8333200025263748E-3</v>
      </c>
      <c r="J73" s="37">
        <f>VLOOKUP($C73,$C$33:$Y$36,J$31,FALSE)*$C$42*$A73/8760/1000*INDEX('Bulb Weighting'!$B$2:$C$17,MATCH(RIGHT('SC-New'!$D73,LEN($D73)-7),'Bulb Weighting'!$B$3:$B$17,0)+1,2)</f>
        <v>3.0468518813754663E-3</v>
      </c>
      <c r="K73" s="37">
        <f>VLOOKUP($C73,$C$33:$Y$36,K$31,FALSE)*$C$42*$A73/8760/1000*INDEX('Bulb Weighting'!$B$2:$C$17,MATCH(RIGHT('SC-New'!$D73,LEN($D73)-7),'Bulb Weighting'!$B$3:$B$17,0)+1,2)</f>
        <v>3.2616096843352724E-3</v>
      </c>
      <c r="L73" s="37">
        <f>VLOOKUP($C73,$C$33:$Y$36,L$31,FALSE)*$C$42*$A73/8760/1000*INDEX('Bulb Weighting'!$B$2:$C$17,MATCH(RIGHT('SC-New'!$D73,LEN($D73)-7),'Bulb Weighting'!$B$3:$B$17,0)+1,2)</f>
        <v>3.5682095854981579E-3</v>
      </c>
      <c r="M73" s="37">
        <f>VLOOKUP($C73,$C$33:$Y$36,M$31,FALSE)*$C$42*$A73/8760/1000*INDEX('Bulb Weighting'!$B$2:$C$17,MATCH(RIGHT('SC-New'!$D73,LEN($D73)-7),'Bulb Weighting'!$B$3:$B$17,0)+1,2)</f>
        <v>3.8049450871910045E-3</v>
      </c>
      <c r="N73" s="37">
        <f>VLOOKUP($C73,$C$33:$Y$36,N$31,FALSE)*$C$42*$A73/8760/1000*INDEX('Bulb Weighting'!$B$2:$C$17,MATCH(RIGHT('SC-New'!$D73,LEN($D73)-7),'Bulb Weighting'!$B$3:$B$17,0)+1,2)</f>
        <v>4.0592404874605602E-3</v>
      </c>
      <c r="O73" s="37">
        <f>VLOOKUP($C73,$C$33:$Y$36,O$31,FALSE)*$C$42*$A73/8760/1000*INDEX('Bulb Weighting'!$B$2:$C$17,MATCH(RIGHT('SC-New'!$D73,LEN($D73)-7),'Bulb Weighting'!$B$3:$B$17,0)+1,2)</f>
        <v>4.1523552982612386E-3</v>
      </c>
      <c r="P73" s="37">
        <f>VLOOKUP($C73,$C$33:$Y$36,P$31,FALSE)*$C$42*$A73/8760/1000*INDEX('Bulb Weighting'!$B$2:$C$17,MATCH(RIGHT('SC-New'!$D73,LEN($D73)-7),'Bulb Weighting'!$B$3:$B$17,0)+1,2)</f>
        <v>4.2428320166178826E-3</v>
      </c>
      <c r="Q73" s="37">
        <f>VLOOKUP($C73,$C$33:$Y$36,Q$31,FALSE)*$C$42*$A73/8760/1000*INDEX('Bulb Weighting'!$B$2:$C$17,MATCH(RIGHT('SC-New'!$D73,LEN($D73)-7),'Bulb Weighting'!$B$3:$B$17,0)+1,2)</f>
        <v>4.2882582424008586E-3</v>
      </c>
      <c r="R73" s="37">
        <f>VLOOKUP($C73,$C$33:$Y$36,R$31,FALSE)*$C$42*$A73/8760/1000*INDEX('Bulb Weighting'!$B$2:$C$17,MATCH(RIGHT('SC-New'!$D73,LEN($D73)-7),'Bulb Weighting'!$B$3:$B$17,0)+1,2)</f>
        <v>4.3332565382103389E-3</v>
      </c>
      <c r="S73" s="37">
        <f>VLOOKUP($C73,$C$33:$Y$36,S$31,FALSE)*$C$42*$A73/8760/1000*INDEX('Bulb Weighting'!$B$2:$C$17,MATCH(RIGHT('SC-New'!$D73,LEN($D73)-7),'Bulb Weighting'!$B$3:$B$17,0)+1,2)</f>
        <v>4.3466082375694928E-3</v>
      </c>
      <c r="T73" s="37">
        <f>VLOOKUP($C73,$C$33:$Y$36,T$31,FALSE)*$C$42*$A73/8760/1000*INDEX('Bulb Weighting'!$B$2:$C$17,MATCH(RIGHT('SC-New'!$D73,LEN($D73)-7),'Bulb Weighting'!$B$3:$B$17,0)+1,2)</f>
        <v>4.2891119648114711E-3</v>
      </c>
      <c r="U73" s="37">
        <f>VLOOKUP($C73,$C$33:$Y$36,U$31,FALSE)*$C$42*$A73/8760/1000*INDEX('Bulb Weighting'!$B$2:$C$17,MATCH(RIGHT('SC-New'!$D73,LEN($D73)-7),'Bulb Weighting'!$B$3:$B$17,0)+1,2)</f>
        <v>4.247452970806964E-3</v>
      </c>
      <c r="V73" s="37">
        <f>VLOOKUP($C73,$C$33:$Y$36,V$31,FALSE)*$C$42*$A73/8760/1000*INDEX('Bulb Weighting'!$B$2:$C$17,MATCH(RIGHT('SC-New'!$D73,LEN($D73)-7),'Bulb Weighting'!$B$3:$B$17,0)+1,2)</f>
        <v>4.1697172891357413E-3</v>
      </c>
      <c r="W73" s="37">
        <f>VLOOKUP($C73,$C$33:$Y$36,W$31,FALSE)*$C$42*$A73/8760/1000*INDEX('Bulb Weighting'!$B$2:$C$17,MATCH(RIGHT('SC-New'!$D73,LEN($D73)-7),'Bulb Weighting'!$B$3:$B$17,0)+1,2)</f>
        <v>4.1693906855944851E-3</v>
      </c>
      <c r="X73" s="37">
        <f>VLOOKUP($C73,$C$33:$Y$36,X$31,FALSE)*$C$42*$A73/8760/1000*INDEX('Bulb Weighting'!$B$2:$C$17,MATCH(RIGHT('SC-New'!$D73,LEN($D73)-7),'Bulb Weighting'!$B$3:$B$17,0)+1,2)</f>
        <v>4.1624808287026591E-3</v>
      </c>
      <c r="Y73" s="37">
        <f t="shared" si="15"/>
        <v>7.0030126230659226E-2</v>
      </c>
      <c r="AA73" s="31"/>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c r="A74" s="89">
        <f t="shared" si="13"/>
        <v>20.131003317263307</v>
      </c>
      <c r="B74" s="71">
        <f t="shared" si="14"/>
        <v>-21.262756278752239</v>
      </c>
      <c r="C74" s="1" t="s">
        <v>33</v>
      </c>
      <c r="D74" t="s">
        <v>746</v>
      </c>
      <c r="E74" s="37">
        <f>VLOOKUP($C74,$C$33:$Y$36,E$31,FALSE)*$C$42*$A74/8760/1000*INDEX('Bulb Weighting'!$B$2:$C$17,MATCH(RIGHT('SC-New'!$D74,LEN($D74)-7),'Bulb Weighting'!$B$3:$B$17,0)+1,2)</f>
        <v>0</v>
      </c>
      <c r="F74" s="37">
        <f>VLOOKUP($C74,$C$33:$Y$36,F$31,FALSE)*$C$42*$A74/8760/1000*INDEX('Bulb Weighting'!$B$2:$C$17,MATCH(RIGHT('SC-New'!$D74,LEN($D74)-7),'Bulb Weighting'!$B$3:$B$17,0)+1,2)</f>
        <v>7.1816253242439456E-3</v>
      </c>
      <c r="G74" s="37">
        <f>VLOOKUP($C74,$C$33:$Y$36,G$31,FALSE)*$C$42*$A74/8760/1000*INDEX('Bulb Weighting'!$B$2:$C$17,MATCH(RIGHT('SC-New'!$D74,LEN($D74)-7),'Bulb Weighting'!$B$3:$B$17,0)+1,2)</f>
        <v>9.2854900066489006E-3</v>
      </c>
      <c r="H74" s="37">
        <f>VLOOKUP($C74,$C$33:$Y$36,H$31,FALSE)*$C$42*$A74/8760/1000*INDEX('Bulb Weighting'!$B$2:$C$17,MATCH(RIGHT('SC-New'!$D74,LEN($D74)-7),'Bulb Weighting'!$B$3:$B$17,0)+1,2)</f>
        <v>1.0300965737589311E-2</v>
      </c>
      <c r="I74" s="37">
        <f>VLOOKUP($C74,$C$33:$Y$36,I$31,FALSE)*$C$42*$A74/8760/1000*INDEX('Bulb Weighting'!$B$2:$C$17,MATCH(RIGHT('SC-New'!$D74,LEN($D74)-7),'Bulb Weighting'!$B$3:$B$17,0)+1,2)</f>
        <v>1.0750966923301783E-2</v>
      </c>
      <c r="J74" s="37">
        <f>VLOOKUP($C74,$C$33:$Y$36,J$31,FALSE)*$C$42*$A74/8760/1000*INDEX('Bulb Weighting'!$B$2:$C$17,MATCH(RIGHT('SC-New'!$D74,LEN($D74)-7),'Bulb Weighting'!$B$3:$B$17,0)+1,2)</f>
        <v>1.1561208676626538E-2</v>
      </c>
      <c r="K74" s="37">
        <f>VLOOKUP($C74,$C$33:$Y$36,K$31,FALSE)*$C$42*$A74/8760/1000*INDEX('Bulb Weighting'!$B$2:$C$17,MATCH(RIGHT('SC-New'!$D74,LEN($D74)-7),'Bulb Weighting'!$B$3:$B$17,0)+1,2)</f>
        <v>1.2376102170507608E-2</v>
      </c>
      <c r="L74" s="37">
        <f>VLOOKUP($C74,$C$33:$Y$36,L$31,FALSE)*$C$42*$A74/8760/1000*INDEX('Bulb Weighting'!$B$2:$C$17,MATCH(RIGHT('SC-New'!$D74,LEN($D74)-7),'Bulb Weighting'!$B$3:$B$17,0)+1,2)</f>
        <v>1.3539488372260542E-2</v>
      </c>
      <c r="M74" s="37">
        <f>VLOOKUP($C74,$C$33:$Y$36,M$31,FALSE)*$C$42*$A74/8760/1000*INDEX('Bulb Weighting'!$B$2:$C$17,MATCH(RIGHT('SC-New'!$D74,LEN($D74)-7),'Bulb Weighting'!$B$3:$B$17,0)+1,2)</f>
        <v>1.4437775733378113E-2</v>
      </c>
      <c r="N74" s="37">
        <f>VLOOKUP($C74,$C$33:$Y$36,N$31,FALSE)*$C$42*$A74/8760/1000*INDEX('Bulb Weighting'!$B$2:$C$17,MATCH(RIGHT('SC-New'!$D74,LEN($D74)-7),'Bulb Weighting'!$B$3:$B$17,0)+1,2)</f>
        <v>1.5402693721677366E-2</v>
      </c>
      <c r="O74" s="37">
        <f>VLOOKUP($C74,$C$33:$Y$36,O$31,FALSE)*$C$42*$A74/8760/1000*INDEX('Bulb Weighting'!$B$2:$C$17,MATCH(RIGHT('SC-New'!$D74,LEN($D74)-7),'Bulb Weighting'!$B$3:$B$17,0)+1,2)</f>
        <v>1.5756015707931996E-2</v>
      </c>
      <c r="P74" s="37">
        <f>VLOOKUP($C74,$C$33:$Y$36,P$31,FALSE)*$C$42*$A74/8760/1000*INDEX('Bulb Weighting'!$B$2:$C$17,MATCH(RIGHT('SC-New'!$D74,LEN($D74)-7),'Bulb Weighting'!$B$3:$B$17,0)+1,2)</f>
        <v>1.6099327513698317E-2</v>
      </c>
      <c r="Q74" s="37">
        <f>VLOOKUP($C74,$C$33:$Y$36,Q$31,FALSE)*$C$42*$A74/8760/1000*INDEX('Bulb Weighting'!$B$2:$C$17,MATCH(RIGHT('SC-New'!$D74,LEN($D74)-7),'Bulb Weighting'!$B$3:$B$17,0)+1,2)</f>
        <v>1.6271696272048147E-2</v>
      </c>
      <c r="R74" s="37">
        <f>VLOOKUP($C74,$C$33:$Y$36,R$31,FALSE)*$C$42*$A74/8760/1000*INDEX('Bulb Weighting'!$B$2:$C$17,MATCH(RIGHT('SC-New'!$D74,LEN($D74)-7),'Bulb Weighting'!$B$3:$B$17,0)+1,2)</f>
        <v>1.6442441260055611E-2</v>
      </c>
      <c r="S74" s="37">
        <f>VLOOKUP($C74,$C$33:$Y$36,S$31,FALSE)*$C$42*$A74/8760/1000*INDEX('Bulb Weighting'!$B$2:$C$17,MATCH(RIGHT('SC-New'!$D74,LEN($D74)-7),'Bulb Weighting'!$B$3:$B$17,0)+1,2)</f>
        <v>1.6493103973075022E-2</v>
      </c>
      <c r="T74" s="37">
        <f>VLOOKUP($C74,$C$33:$Y$36,T$31,FALSE)*$C$42*$A74/8760/1000*INDEX('Bulb Weighting'!$B$2:$C$17,MATCH(RIGHT('SC-New'!$D74,LEN($D74)-7),'Bulb Weighting'!$B$3:$B$17,0)+1,2)</f>
        <v>1.6274935701900757E-2</v>
      </c>
      <c r="U74" s="37">
        <f>VLOOKUP($C74,$C$33:$Y$36,U$31,FALSE)*$C$42*$A74/8760/1000*INDEX('Bulb Weighting'!$B$2:$C$17,MATCH(RIGHT('SC-New'!$D74,LEN($D74)-7),'Bulb Weighting'!$B$3:$B$17,0)+1,2)</f>
        <v>1.611686161701055E-2</v>
      </c>
      <c r="V74" s="37">
        <f>VLOOKUP($C74,$C$33:$Y$36,V$31,FALSE)*$C$42*$A74/8760/1000*INDEX('Bulb Weighting'!$B$2:$C$17,MATCH(RIGHT('SC-New'!$D74,LEN($D74)-7),'Bulb Weighting'!$B$3:$B$17,0)+1,2)</f>
        <v>1.5821895378935625E-2</v>
      </c>
      <c r="W74" s="37">
        <f>VLOOKUP($C74,$C$33:$Y$36,W$31,FALSE)*$C$42*$A74/8760/1000*INDEX('Bulb Weighting'!$B$2:$C$17,MATCH(RIGHT('SC-New'!$D74,LEN($D74)-7),'Bulb Weighting'!$B$3:$B$17,0)+1,2)</f>
        <v>1.5820656089386285E-2</v>
      </c>
      <c r="X74" s="37">
        <f>VLOOKUP($C74,$C$33:$Y$36,X$31,FALSE)*$C$42*$A74/8760/1000*INDEX('Bulb Weighting'!$B$2:$C$17,MATCH(RIGHT('SC-New'!$D74,LEN($D74)-7),'Bulb Weighting'!$B$3:$B$17,0)+1,2)</f>
        <v>1.5794436797946371E-2</v>
      </c>
      <c r="Y74" s="37">
        <f t="shared" si="15"/>
        <v>0.2657276869782228</v>
      </c>
      <c r="AA74" s="31"/>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c r="A75" s="89">
        <f t="shared" si="13"/>
        <v>15.166068390464758</v>
      </c>
      <c r="B75" s="71">
        <f t="shared" si="14"/>
        <v>-19.792953526125213</v>
      </c>
      <c r="C75" s="1" t="s">
        <v>33</v>
      </c>
      <c r="D75" t="s">
        <v>747</v>
      </c>
      <c r="E75" s="37">
        <f>VLOOKUP($C75,$C$33:$Y$36,E$31,FALSE)*$C$42*$A75/8760/1000*INDEX('Bulb Weighting'!$B$2:$C$17,MATCH(RIGHT('SC-New'!$D75,LEN($D75)-7),'Bulb Weighting'!$B$3:$B$17,0)+1,2)</f>
        <v>0</v>
      </c>
      <c r="F75" s="37">
        <f>VLOOKUP($C75,$C$33:$Y$36,F$31,FALSE)*$C$42*$A75/8760/1000*INDEX('Bulb Weighting'!$B$2:$C$17,MATCH(RIGHT('SC-New'!$D75,LEN($D75)-7),'Bulb Weighting'!$B$3:$B$17,0)+1,2)</f>
        <v>1.4839263709589023E-3</v>
      </c>
      <c r="G75" s="37">
        <f>VLOOKUP($C75,$C$33:$Y$36,G$31,FALSE)*$C$42*$A75/8760/1000*INDEX('Bulb Weighting'!$B$2:$C$17,MATCH(RIGHT('SC-New'!$D75,LEN($D75)-7),'Bulb Weighting'!$B$3:$B$17,0)+1,2)</f>
        <v>1.9186441600658498E-3</v>
      </c>
      <c r="H75" s="37">
        <f>VLOOKUP($C75,$C$33:$Y$36,H$31,FALSE)*$C$42*$A75/8760/1000*INDEX('Bulb Weighting'!$B$2:$C$17,MATCH(RIGHT('SC-New'!$D75,LEN($D75)-7),'Bulb Weighting'!$B$3:$B$17,0)+1,2)</f>
        <v>2.1284700905727272E-3</v>
      </c>
      <c r="I75" s="37">
        <f>VLOOKUP($C75,$C$33:$Y$36,I$31,FALSE)*$C$42*$A75/8760/1000*INDEX('Bulb Weighting'!$B$2:$C$17,MATCH(RIGHT('SC-New'!$D75,LEN($D75)-7),'Bulb Weighting'!$B$3:$B$17,0)+1,2)</f>
        <v>2.2214530291545047E-3</v>
      </c>
      <c r="J75" s="37">
        <f>VLOOKUP($C75,$C$33:$Y$36,J$31,FALSE)*$C$42*$A75/8760/1000*INDEX('Bulb Weighting'!$B$2:$C$17,MATCH(RIGHT('SC-New'!$D75,LEN($D75)-7),'Bulb Weighting'!$B$3:$B$17,0)+1,2)</f>
        <v>2.3888718306550069E-3</v>
      </c>
      <c r="K75" s="37">
        <f>VLOOKUP($C75,$C$33:$Y$36,K$31,FALSE)*$C$42*$A75/8760/1000*INDEX('Bulb Weighting'!$B$2:$C$17,MATCH(RIGHT('SC-New'!$D75,LEN($D75)-7),'Bulb Weighting'!$B$3:$B$17,0)+1,2)</f>
        <v>2.5572518129705372E-3</v>
      </c>
      <c r="L75" s="37">
        <f>VLOOKUP($C75,$C$33:$Y$36,L$31,FALSE)*$C$42*$A75/8760/1000*INDEX('Bulb Weighting'!$B$2:$C$17,MATCH(RIGHT('SC-New'!$D75,LEN($D75)-7),'Bulb Weighting'!$B$3:$B$17,0)+1,2)</f>
        <v>2.7976402189993132E-3</v>
      </c>
      <c r="M75" s="37">
        <f>VLOOKUP($C75,$C$33:$Y$36,M$31,FALSE)*$C$42*$A75/8760/1000*INDEX('Bulb Weighting'!$B$2:$C$17,MATCH(RIGHT('SC-New'!$D75,LEN($D75)-7),'Bulb Weighting'!$B$3:$B$17,0)+1,2)</f>
        <v>2.9832517266564292E-3</v>
      </c>
      <c r="N75" s="37">
        <f>VLOOKUP($C75,$C$33:$Y$36,N$31,FALSE)*$C$42*$A75/8760/1000*INDEX('Bulb Weighting'!$B$2:$C$17,MATCH(RIGHT('SC-New'!$D75,LEN($D75)-7),'Bulb Weighting'!$B$3:$B$17,0)+1,2)</f>
        <v>3.1826310014030708E-3</v>
      </c>
      <c r="O75" s="37">
        <f>VLOOKUP($C75,$C$33:$Y$36,O$31,FALSE)*$C$42*$A75/8760/1000*INDEX('Bulb Weighting'!$B$2:$C$17,MATCH(RIGHT('SC-New'!$D75,LEN($D75)-7),'Bulb Weighting'!$B$3:$B$17,0)+1,2)</f>
        <v>3.2556372902542677E-3</v>
      </c>
      <c r="P75" s="37">
        <f>VLOOKUP($C75,$C$33:$Y$36,P$31,FALSE)*$C$42*$A75/8760/1000*INDEX('Bulb Weighting'!$B$2:$C$17,MATCH(RIGHT('SC-New'!$D75,LEN($D75)-7),'Bulb Weighting'!$B$3:$B$17,0)+1,2)</f>
        <v>3.3265751934498525E-3</v>
      </c>
      <c r="Q75" s="37">
        <f>VLOOKUP($C75,$C$33:$Y$36,Q$31,FALSE)*$C$42*$A75/8760/1000*INDEX('Bulb Weighting'!$B$2:$C$17,MATCH(RIGHT('SC-New'!$D75,LEN($D75)-7),'Bulb Weighting'!$B$3:$B$17,0)+1,2)</f>
        <v>3.3621914410952524E-3</v>
      </c>
      <c r="R75" s="37">
        <f>VLOOKUP($C75,$C$33:$Y$36,R$31,FALSE)*$C$42*$A75/8760/1000*INDEX('Bulb Weighting'!$B$2:$C$17,MATCH(RIGHT('SC-New'!$D75,LEN($D75)-7),'Bulb Weighting'!$B$3:$B$17,0)+1,2)</f>
        <v>3.397472171984679E-3</v>
      </c>
      <c r="S75" s="37">
        <f>VLOOKUP($C75,$C$33:$Y$36,S$31,FALSE)*$C$42*$A75/8760/1000*INDEX('Bulb Weighting'!$B$2:$C$17,MATCH(RIGHT('SC-New'!$D75,LEN($D75)-7),'Bulb Weighting'!$B$3:$B$17,0)+1,2)</f>
        <v>3.4079405175860599E-3</v>
      </c>
      <c r="T75" s="37">
        <f>VLOOKUP($C75,$C$33:$Y$36,T$31,FALSE)*$C$42*$A75/8760/1000*INDEX('Bulb Weighting'!$B$2:$C$17,MATCH(RIGHT('SC-New'!$D75,LEN($D75)-7),'Bulb Weighting'!$B$3:$B$17,0)+1,2)</f>
        <v>3.3628607986804964E-3</v>
      </c>
      <c r="U75" s="37">
        <f>VLOOKUP($C75,$C$33:$Y$36,U$31,FALSE)*$C$42*$A75/8760/1000*INDEX('Bulb Weighting'!$B$2:$C$17,MATCH(RIGHT('SC-New'!$D75,LEN($D75)-7),'Bulb Weighting'!$B$3:$B$17,0)+1,2)</f>
        <v>3.3301982337953706E-3</v>
      </c>
      <c r="V75" s="37">
        <f>VLOOKUP($C75,$C$33:$Y$36,V$31,FALSE)*$C$42*$A75/8760/1000*INDEX('Bulb Weighting'!$B$2:$C$17,MATCH(RIGHT('SC-New'!$D75,LEN($D75)-7),'Bulb Weighting'!$B$3:$B$17,0)+1,2)</f>
        <v>3.2692498886144694E-3</v>
      </c>
      <c r="W75" s="37">
        <f>VLOOKUP($C75,$C$33:$Y$36,W$31,FALSE)*$C$42*$A75/8760/1000*INDEX('Bulb Weighting'!$B$2:$C$17,MATCH(RIGHT('SC-New'!$D75,LEN($D75)-7),'Bulb Weighting'!$B$3:$B$17,0)+1,2)</f>
        <v>3.2689938164357506E-3</v>
      </c>
      <c r="X75" s="37">
        <f>VLOOKUP($C75,$C$33:$Y$36,X$31,FALSE)*$C$42*$A75/8760/1000*INDEX('Bulb Weighting'!$B$2:$C$17,MATCH(RIGHT('SC-New'!$D75,LEN($D75)-7),'Bulb Weighting'!$B$3:$B$17,0)+1,2)</f>
        <v>3.2635761712316489E-3</v>
      </c>
      <c r="Y75" s="37">
        <f t="shared" si="15"/>
        <v>5.4906835764564198E-2</v>
      </c>
      <c r="AA75" s="31"/>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c r="A76" s="89">
        <f t="shared" ref="A76:A103" si="16">VLOOKUP($D76,MeasureOutput,3,FALSE)</f>
        <v>7.5107020440195642</v>
      </c>
      <c r="B76" s="71">
        <f t="shared" ref="B76:B103" si="17">VLOOKUP($D76,MeasureOutput,11,FALSE)</f>
        <v>253.66864707291808</v>
      </c>
      <c r="C76" s="1" t="s">
        <v>33</v>
      </c>
      <c r="D76" t="s">
        <v>748</v>
      </c>
      <c r="E76" s="37">
        <f>VLOOKUP($C76,$C$33:$Y$36,E$31,FALSE)*$C$42*$A76/8760/1000*INDEX('Bulb Weighting'!$B$2:$C$17,MATCH(RIGHT('SC-New'!$D76,LEN($D76)-7),'Bulb Weighting'!$B$3:$B$17,0)+1,2)</f>
        <v>0</v>
      </c>
      <c r="F76" s="37">
        <f>VLOOKUP($C76,$C$33:$Y$36,F$31,FALSE)*$C$42*$A76/8760/1000*INDEX('Bulb Weighting'!$B$2:$C$17,MATCH(RIGHT('SC-New'!$D76,LEN($D76)-7),'Bulb Weighting'!$B$3:$B$17,0)+1,2)</f>
        <v>1.4437917558781602E-5</v>
      </c>
      <c r="G76" s="37">
        <f>VLOOKUP($C76,$C$33:$Y$36,G$31,FALSE)*$C$42*$A76/8760/1000*INDEX('Bulb Weighting'!$B$2:$C$17,MATCH(RIGHT('SC-New'!$D76,LEN($D76)-7),'Bulb Weighting'!$B$3:$B$17,0)+1,2)</f>
        <v>1.8667520673393106E-5</v>
      </c>
      <c r="H76" s="37">
        <f>VLOOKUP($C76,$C$33:$Y$36,H$31,FALSE)*$C$42*$A76/8760/1000*INDEX('Bulb Weighting'!$B$2:$C$17,MATCH(RIGHT('SC-New'!$D76,LEN($D76)-7),'Bulb Weighting'!$B$3:$B$17,0)+1,2)</f>
        <v>2.070902997307307E-5</v>
      </c>
      <c r="I76" s="37">
        <f>VLOOKUP($C76,$C$33:$Y$36,I$31,FALSE)*$C$42*$A76/8760/1000*INDEX('Bulb Weighting'!$B$2:$C$17,MATCH(RIGHT('SC-New'!$D76,LEN($D76)-7),'Bulb Weighting'!$B$3:$B$17,0)+1,2)</f>
        <v>2.1613710978741465E-5</v>
      </c>
      <c r="J76" s="37">
        <f>VLOOKUP($C76,$C$33:$Y$36,J$31,FALSE)*$C$42*$A76/8760/1000*INDEX('Bulb Weighting'!$B$2:$C$17,MATCH(RIGHT('SC-New'!$D76,LEN($D76)-7),'Bulb Weighting'!$B$3:$B$17,0)+1,2)</f>
        <v>2.3242618518333416E-5</v>
      </c>
      <c r="K76" s="37">
        <f>VLOOKUP($C76,$C$33:$Y$36,K$31,FALSE)*$C$42*$A76/8760/1000*INDEX('Bulb Weighting'!$B$2:$C$17,MATCH(RIGHT('SC-New'!$D76,LEN($D76)-7),'Bulb Weighting'!$B$3:$B$17,0)+1,2)</f>
        <v>2.4880877902894253E-5</v>
      </c>
      <c r="L76" s="37">
        <f>VLOOKUP($C76,$C$33:$Y$36,L$31,FALSE)*$C$42*$A76/8760/1000*INDEX('Bulb Weighting'!$B$2:$C$17,MATCH(RIGHT('SC-New'!$D76,LEN($D76)-7),'Bulb Weighting'!$B$3:$B$17,0)+1,2)</f>
        <v>2.7219745960133258E-5</v>
      </c>
      <c r="M76" s="37">
        <f>VLOOKUP($C76,$C$33:$Y$36,M$31,FALSE)*$C$42*$A76/8760/1000*INDEX('Bulb Weighting'!$B$2:$C$17,MATCH(RIGHT('SC-New'!$D76,LEN($D76)-7),'Bulb Weighting'!$B$3:$B$17,0)+1,2)</f>
        <v>2.902566012000018E-5</v>
      </c>
      <c r="N76" s="37">
        <f>VLOOKUP($C76,$C$33:$Y$36,N$31,FALSE)*$C$42*$A76/8760/1000*INDEX('Bulb Weighting'!$B$2:$C$17,MATCH(RIGHT('SC-New'!$D76,LEN($D76)-7),'Bulb Weighting'!$B$3:$B$17,0)+1,2)</f>
        <v>3.0965528288702876E-5</v>
      </c>
      <c r="O76" s="37">
        <f>VLOOKUP($C76,$C$33:$Y$36,O$31,FALSE)*$C$42*$A76/8760/1000*INDEX('Bulb Weighting'!$B$2:$C$17,MATCH(RIGHT('SC-New'!$D76,LEN($D76)-7),'Bulb Weighting'!$B$3:$B$17,0)+1,2)</f>
        <v>3.1675845727852534E-5</v>
      </c>
      <c r="P76" s="37">
        <f>VLOOKUP($C76,$C$33:$Y$36,P$31,FALSE)*$C$42*$A76/8760/1000*INDEX('Bulb Weighting'!$B$2:$C$17,MATCH(RIGHT('SC-New'!$D76,LEN($D76)-7),'Bulb Weighting'!$B$3:$B$17,0)+1,2)</f>
        <v>3.2366038730803776E-5</v>
      </c>
      <c r="Q76" s="37">
        <f>VLOOKUP($C76,$C$33:$Y$36,Q$31,FALSE)*$C$42*$A76/8760/1000*INDEX('Bulb Weighting'!$B$2:$C$17,MATCH(RIGHT('SC-New'!$D76,LEN($D76)-7),'Bulb Weighting'!$B$3:$B$17,0)+1,2)</f>
        <v>3.2712568354726538E-5</v>
      </c>
      <c r="R76" s="37">
        <f>VLOOKUP($C76,$C$33:$Y$36,R$31,FALSE)*$C$42*$A76/8760/1000*INDEX('Bulb Weighting'!$B$2:$C$17,MATCH(RIGHT('SC-New'!$D76,LEN($D76)-7),'Bulb Weighting'!$B$3:$B$17,0)+1,2)</f>
        <v>3.3055833555725652E-5</v>
      </c>
      <c r="S76" s="37">
        <f>VLOOKUP($C76,$C$33:$Y$36,S$31,FALSE)*$C$42*$A76/8760/1000*INDEX('Bulb Weighting'!$B$2:$C$17,MATCH(RIGHT('SC-New'!$D76,LEN($D76)-7),'Bulb Weighting'!$B$3:$B$17,0)+1,2)</f>
        <v>3.3157685718829884E-5</v>
      </c>
      <c r="T76" s="37">
        <f>VLOOKUP($C76,$C$33:$Y$36,T$31,FALSE)*$C$42*$A76/8760/1000*INDEX('Bulb Weighting'!$B$2:$C$17,MATCH(RIGHT('SC-New'!$D76,LEN($D76)-7),'Bulb Weighting'!$B$3:$B$17,0)+1,2)</f>
        <v>3.271908089458176E-5</v>
      </c>
      <c r="U76" s="37">
        <f>VLOOKUP($C76,$C$33:$Y$36,U$31,FALSE)*$C$42*$A76/8760/1000*INDEX('Bulb Weighting'!$B$2:$C$17,MATCH(RIGHT('SC-New'!$D76,LEN($D76)-7),'Bulb Weighting'!$B$3:$B$17,0)+1,2)</f>
        <v>3.2401289238406084E-5</v>
      </c>
      <c r="V76" s="37">
        <f>VLOOKUP($C76,$C$33:$Y$36,V$31,FALSE)*$C$42*$A76/8760/1000*INDEX('Bulb Weighting'!$B$2:$C$17,MATCH(RIGHT('SC-New'!$D76,LEN($D76)-7),'Bulb Weighting'!$B$3:$B$17,0)+1,2)</f>
        <v>3.1808290016687692E-5</v>
      </c>
      <c r="W76" s="37">
        <f>VLOOKUP($C76,$C$33:$Y$36,W$31,FALSE)*$C$42*$A76/8760/1000*INDEX('Bulb Weighting'!$B$2:$C$17,MATCH(RIGHT('SC-New'!$D76,LEN($D76)-7),'Bulb Weighting'!$B$3:$B$17,0)+1,2)</f>
        <v>3.1805798552772909E-5</v>
      </c>
      <c r="X76" s="37">
        <f>VLOOKUP($C76,$C$33:$Y$36,X$31,FALSE)*$C$42*$A76/8760/1000*INDEX('Bulb Weighting'!$B$2:$C$17,MATCH(RIGHT('SC-New'!$D76,LEN($D76)-7),'Bulb Weighting'!$B$3:$B$17,0)+1,2)</f>
        <v>3.1753087369556318E-5</v>
      </c>
      <c r="Y76" s="37">
        <f t="shared" si="15"/>
        <v>5.3421812813399629E-4</v>
      </c>
      <c r="AA76" s="31"/>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c r="A77" s="89">
        <f t="shared" si="16"/>
        <v>1.9210010172979759</v>
      </c>
      <c r="B77" s="71">
        <f t="shared" si="17"/>
        <v>19.879331870717266</v>
      </c>
      <c r="C77" s="1" t="s">
        <v>33</v>
      </c>
      <c r="D77" t="s">
        <v>749</v>
      </c>
      <c r="E77" s="37">
        <f>VLOOKUP($C77,$C$33:$Y$36,E$31,FALSE)*$C$42*$A77/8760/1000*INDEX('Bulb Weighting'!$B$2:$C$17,MATCH(RIGHT('SC-New'!$D77,LEN($D77)-7),'Bulb Weighting'!$B$3:$B$17,0)+1,2)</f>
        <v>0</v>
      </c>
      <c r="F77" s="37">
        <f>VLOOKUP($C77,$C$33:$Y$36,F$31,FALSE)*$C$42*$A77/8760/1000*INDEX('Bulb Weighting'!$B$2:$C$17,MATCH(RIGHT('SC-New'!$D77,LEN($D77)-7),'Bulb Weighting'!$B$3:$B$17,0)+1,2)</f>
        <v>5.722647581597951E-4</v>
      </c>
      <c r="G77" s="37">
        <f>VLOOKUP($C77,$C$33:$Y$36,G$31,FALSE)*$C$42*$A77/8760/1000*INDEX('Bulb Weighting'!$B$2:$C$17,MATCH(RIGHT('SC-New'!$D77,LEN($D77)-7),'Bulb Weighting'!$B$3:$B$17,0)+1,2)</f>
        <v>7.399103201766573E-4</v>
      </c>
      <c r="H77" s="37">
        <f>VLOOKUP($C77,$C$33:$Y$36,H$31,FALSE)*$C$42*$A77/8760/1000*INDEX('Bulb Weighting'!$B$2:$C$17,MATCH(RIGHT('SC-New'!$D77,LEN($D77)-7),'Bulb Weighting'!$B$3:$B$17,0)+1,2)</f>
        <v>8.2082807170875006E-4</v>
      </c>
      <c r="I77" s="37">
        <f>VLOOKUP($C77,$C$33:$Y$36,I$31,FALSE)*$C$42*$A77/8760/1000*INDEX('Bulb Weighting'!$B$2:$C$17,MATCH(RIGHT('SC-New'!$D77,LEN($D77)-7),'Bulb Weighting'!$B$3:$B$17,0)+1,2)</f>
        <v>8.5668622471542731E-4</v>
      </c>
      <c r="J77" s="37">
        <f>VLOOKUP($C77,$C$33:$Y$36,J$31,FALSE)*$C$42*$A77/8760/1000*INDEX('Bulb Weighting'!$B$2:$C$17,MATCH(RIGHT('SC-New'!$D77,LEN($D77)-7),'Bulb Weighting'!$B$3:$B$17,0)+1,2)</f>
        <v>9.2124999406887405E-4</v>
      </c>
      <c r="K77" s="37">
        <f>VLOOKUP($C77,$C$33:$Y$36,K$31,FALSE)*$C$42*$A77/8760/1000*INDEX('Bulb Weighting'!$B$2:$C$17,MATCH(RIGHT('SC-New'!$D77,LEN($D77)-7),'Bulb Weighting'!$B$3:$B$17,0)+1,2)</f>
        <v>9.8618443538922183E-4</v>
      </c>
      <c r="L77" s="37">
        <f>VLOOKUP($C77,$C$33:$Y$36,L$31,FALSE)*$C$42*$A77/8760/1000*INDEX('Bulb Weighting'!$B$2:$C$17,MATCH(RIGHT('SC-New'!$D77,LEN($D77)-7),'Bulb Weighting'!$B$3:$B$17,0)+1,2)</f>
        <v>1.0788883698516724E-3</v>
      </c>
      <c r="M77" s="37">
        <f>VLOOKUP($C77,$C$33:$Y$36,M$31,FALSE)*$C$42*$A77/8760/1000*INDEX('Bulb Weighting'!$B$2:$C$17,MATCH(RIGHT('SC-New'!$D77,LEN($D77)-7),'Bulb Weighting'!$B$3:$B$17,0)+1,2)</f>
        <v>1.1504680159984261E-3</v>
      </c>
      <c r="N77" s="37">
        <f>VLOOKUP($C77,$C$33:$Y$36,N$31,FALSE)*$C$42*$A77/8760/1000*INDEX('Bulb Weighting'!$B$2:$C$17,MATCH(RIGHT('SC-New'!$D77,LEN($D77)-7),'Bulb Weighting'!$B$3:$B$17,0)+1,2)</f>
        <v>1.2273570953206254E-3</v>
      </c>
      <c r="O77" s="37">
        <f>VLOOKUP($C77,$C$33:$Y$36,O$31,FALSE)*$C$42*$A77/8760/1000*INDEX('Bulb Weighting'!$B$2:$C$17,MATCH(RIGHT('SC-New'!$D77,LEN($D77)-7),'Bulb Weighting'!$B$3:$B$17,0)+1,2)</f>
        <v>1.2555114074557867E-3</v>
      </c>
      <c r="P77" s="37">
        <f>VLOOKUP($C77,$C$33:$Y$36,P$31,FALSE)*$C$42*$A77/8760/1000*INDEX('Bulb Weighting'!$B$2:$C$17,MATCH(RIGHT('SC-New'!$D77,LEN($D77)-7),'Bulb Weighting'!$B$3:$B$17,0)+1,2)</f>
        <v>1.2828680626180988E-3</v>
      </c>
      <c r="Q77" s="37">
        <f>VLOOKUP($C77,$C$33:$Y$36,Q$31,FALSE)*$C$42*$A77/8760/1000*INDEX('Bulb Weighting'!$B$2:$C$17,MATCH(RIGHT('SC-New'!$D77,LEN($D77)-7),'Bulb Weighting'!$B$3:$B$17,0)+1,2)</f>
        <v>1.2966031937837943E-3</v>
      </c>
      <c r="R77" s="37">
        <f>VLOOKUP($C77,$C$33:$Y$36,R$31,FALSE)*$C$42*$A77/8760/1000*INDEX('Bulb Weighting'!$B$2:$C$17,MATCH(RIGHT('SC-New'!$D77,LEN($D77)-7),'Bulb Weighting'!$B$3:$B$17,0)+1,2)</f>
        <v>1.3102089355006771E-3</v>
      </c>
      <c r="S77" s="37">
        <f>VLOOKUP($C77,$C$33:$Y$36,S$31,FALSE)*$C$42*$A77/8760/1000*INDEX('Bulb Weighting'!$B$2:$C$17,MATCH(RIGHT('SC-New'!$D77,LEN($D77)-7),'Bulb Weighting'!$B$3:$B$17,0)+1,2)</f>
        <v>1.3142459722304959E-3</v>
      </c>
      <c r="T77" s="37">
        <f>VLOOKUP($C77,$C$33:$Y$36,T$31,FALSE)*$C$42*$A77/8760/1000*INDEX('Bulb Weighting'!$B$2:$C$17,MATCH(RIGHT('SC-New'!$D77,LEN($D77)-7),'Bulb Weighting'!$B$3:$B$17,0)+1,2)</f>
        <v>1.2968613263732124E-3</v>
      </c>
      <c r="U77" s="37">
        <f>VLOOKUP($C77,$C$33:$Y$36,U$31,FALSE)*$C$42*$A77/8760/1000*INDEX('Bulb Weighting'!$B$2:$C$17,MATCH(RIGHT('SC-New'!$D77,LEN($D77)-7),'Bulb Weighting'!$B$3:$B$17,0)+1,2)</f>
        <v>1.2842652601797219E-3</v>
      </c>
      <c r="V77" s="37">
        <f>VLOOKUP($C77,$C$33:$Y$36,V$31,FALSE)*$C$42*$A77/8760/1000*INDEX('Bulb Weighting'!$B$2:$C$17,MATCH(RIGHT('SC-New'!$D77,LEN($D77)-7),'Bulb Weighting'!$B$3:$B$17,0)+1,2)</f>
        <v>1.2607610010077184E-3</v>
      </c>
      <c r="W77" s="37">
        <f>VLOOKUP($C77,$C$33:$Y$36,W$31,FALSE)*$C$42*$A77/8760/1000*INDEX('Bulb Weighting'!$B$2:$C$17,MATCH(RIGHT('SC-New'!$D77,LEN($D77)-7),'Bulb Weighting'!$B$3:$B$17,0)+1,2)</f>
        <v>1.2606622487473004E-3</v>
      </c>
      <c r="X77" s="37">
        <f>VLOOKUP($C77,$C$33:$Y$36,X$31,FALSE)*$C$42*$A77/8760/1000*INDEX('Bulb Weighting'!$B$2:$C$17,MATCH(RIGHT('SC-New'!$D77,LEN($D77)-7),'Bulb Weighting'!$B$3:$B$17,0)+1,2)</f>
        <v>1.2585729756652961E-3</v>
      </c>
      <c r="Y77" s="440">
        <f t="shared" si="15"/>
        <v>2.1174397668951548E-2</v>
      </c>
      <c r="AA77" s="31"/>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c r="A78" s="89">
        <f t="shared" si="16"/>
        <v>7.4978046901704554</v>
      </c>
      <c r="B78" s="71">
        <f t="shared" si="17"/>
        <v>38.047469279788793</v>
      </c>
      <c r="C78" s="1" t="s">
        <v>33</v>
      </c>
      <c r="D78" t="s">
        <v>750</v>
      </c>
      <c r="E78" s="37">
        <f>VLOOKUP($C78,$C$33:$Y$36,E$31,FALSE)*$C$42*$A78/8760/1000*INDEX('Bulb Weighting'!$B$2:$C$17,MATCH(RIGHT('SC-New'!$D78,LEN($D78)-7),'Bulb Weighting'!$B$3:$B$17,0)+1,2)</f>
        <v>0</v>
      </c>
      <c r="F78" s="37">
        <f>VLOOKUP($C78,$C$33:$Y$36,F$31,FALSE)*$C$42*$A78/8760/1000*INDEX('Bulb Weighting'!$B$2:$C$17,MATCH(RIGHT('SC-New'!$D78,LEN($D78)-7),'Bulb Weighting'!$B$3:$B$17,0)+1,2)</f>
        <v>1.7235417893840962E-2</v>
      </c>
      <c r="G78" s="37">
        <f>VLOOKUP($C78,$C$33:$Y$36,G$31,FALSE)*$C$42*$A78/8760/1000*INDEX('Bulb Weighting'!$B$2:$C$17,MATCH(RIGHT('SC-New'!$D78,LEN($D78)-7),'Bulb Weighting'!$B$3:$B$17,0)+1,2)</f>
        <v>2.2284551670136914E-2</v>
      </c>
      <c r="H78" s="37">
        <f>VLOOKUP($C78,$C$33:$Y$36,H$31,FALSE)*$C$42*$A78/8760/1000*INDEX('Bulb Weighting'!$B$2:$C$17,MATCH(RIGHT('SC-New'!$D78,LEN($D78)-7),'Bulb Weighting'!$B$3:$B$17,0)+1,2)</f>
        <v>2.4721625144957064E-2</v>
      </c>
      <c r="I78" s="37">
        <f>VLOOKUP($C78,$C$33:$Y$36,I$31,FALSE)*$C$42*$A78/8760/1000*INDEX('Bulb Weighting'!$B$2:$C$17,MATCH(RIGHT('SC-New'!$D78,LEN($D78)-7),'Bulb Weighting'!$B$3:$B$17,0)+1,2)</f>
        <v>2.5801597733097467E-2</v>
      </c>
      <c r="J78" s="37">
        <f>VLOOKUP($C78,$C$33:$Y$36,J$31,FALSE)*$C$42*$A78/8760/1000*INDEX('Bulb Weighting'!$B$2:$C$17,MATCH(RIGHT('SC-New'!$D78,LEN($D78)-7),'Bulb Weighting'!$B$3:$B$17,0)+1,2)</f>
        <v>2.7746123461340002E-2</v>
      </c>
      <c r="K78" s="37">
        <f>VLOOKUP($C78,$C$33:$Y$36,K$31,FALSE)*$C$42*$A78/8760/1000*INDEX('Bulb Weighting'!$B$2:$C$17,MATCH(RIGHT('SC-New'!$D78,LEN($D78)-7),'Bulb Weighting'!$B$3:$B$17,0)+1,2)</f>
        <v>2.970181305413995E-2</v>
      </c>
      <c r="L78" s="37">
        <f>VLOOKUP($C78,$C$33:$Y$36,L$31,FALSE)*$C$42*$A78/8760/1000*INDEX('Bulb Weighting'!$B$2:$C$17,MATCH(RIGHT('SC-New'!$D78,LEN($D78)-7),'Bulb Weighting'!$B$3:$B$17,0)+1,2)</f>
        <v>3.2493861713577793E-2</v>
      </c>
      <c r="M78" s="37">
        <f>VLOOKUP($C78,$C$33:$Y$36,M$31,FALSE)*$C$42*$A78/8760/1000*INDEX('Bulb Weighting'!$B$2:$C$17,MATCH(RIGHT('SC-New'!$D78,LEN($D78)-7),'Bulb Weighting'!$B$3:$B$17,0)+1,2)</f>
        <v>3.464969098043625E-2</v>
      </c>
      <c r="N78" s="37">
        <f>VLOOKUP($C78,$C$33:$Y$36,N$31,FALSE)*$C$42*$A78/8760/1000*INDEX('Bulb Weighting'!$B$2:$C$17,MATCH(RIGHT('SC-New'!$D78,LEN($D78)-7),'Bulb Weighting'!$B$3:$B$17,0)+1,2)</f>
        <v>3.6965429272362918E-2</v>
      </c>
      <c r="O78" s="37">
        <f>VLOOKUP($C78,$C$33:$Y$36,O$31,FALSE)*$C$42*$A78/8760/1000*INDEX('Bulb Weighting'!$B$2:$C$17,MATCH(RIGHT('SC-New'!$D78,LEN($D78)-7),'Bulb Weighting'!$B$3:$B$17,0)+1,2)</f>
        <v>3.7813378282404254E-2</v>
      </c>
      <c r="P78" s="37">
        <f>VLOOKUP($C78,$C$33:$Y$36,P$31,FALSE)*$C$42*$A78/8760/1000*INDEX('Bulb Weighting'!$B$2:$C$17,MATCH(RIGHT('SC-New'!$D78,LEN($D78)-7),'Bulb Weighting'!$B$3:$B$17,0)+1,2)</f>
        <v>3.8637303532346852E-2</v>
      </c>
      <c r="Q78" s="37">
        <f>VLOOKUP($C78,$C$33:$Y$36,Q$31,FALSE)*$C$42*$A78/8760/1000*INDEX('Bulb Weighting'!$B$2:$C$17,MATCH(RIGHT('SC-New'!$D78,LEN($D78)-7),'Bulb Weighting'!$B$3:$B$17,0)+1,2)</f>
        <v>3.9050976962506555E-2</v>
      </c>
      <c r="R78" s="37">
        <f>VLOOKUP($C78,$C$33:$Y$36,R$31,FALSE)*$C$42*$A78/8760/1000*INDEX('Bulb Weighting'!$B$2:$C$17,MATCH(RIGHT('SC-New'!$D78,LEN($D78)-7),'Bulb Weighting'!$B$3:$B$17,0)+1,2)</f>
        <v>3.9460753453025063E-2</v>
      </c>
      <c r="S78" s="37">
        <f>VLOOKUP($C78,$C$33:$Y$36,S$31,FALSE)*$C$42*$A78/8760/1000*INDEX('Bulb Weighting'!$B$2:$C$17,MATCH(RIGHT('SC-New'!$D78,LEN($D78)-7),'Bulb Weighting'!$B$3:$B$17,0)+1,2)</f>
        <v>3.9582340557768249E-2</v>
      </c>
      <c r="T78" s="37">
        <f>VLOOKUP($C78,$C$33:$Y$36,T$31,FALSE)*$C$42*$A78/8760/1000*INDEX('Bulb Weighting'!$B$2:$C$17,MATCH(RIGHT('SC-New'!$D78,LEN($D78)-7),'Bulb Weighting'!$B$3:$B$17,0)+1,2)</f>
        <v>3.9058751376337235E-2</v>
      </c>
      <c r="U78" s="37">
        <f>VLOOKUP($C78,$C$33:$Y$36,U$31,FALSE)*$C$42*$A78/8760/1000*INDEX('Bulb Weighting'!$B$2:$C$17,MATCH(RIGHT('SC-New'!$D78,LEN($D78)-7),'Bulb Weighting'!$B$3:$B$17,0)+1,2)</f>
        <v>3.8679384201322976E-2</v>
      </c>
      <c r="V78" s="37">
        <f>VLOOKUP($C78,$C$33:$Y$36,V$31,FALSE)*$C$42*$A78/8760/1000*INDEX('Bulb Weighting'!$B$2:$C$17,MATCH(RIGHT('SC-New'!$D78,LEN($D78)-7),'Bulb Weighting'!$B$3:$B$17,0)+1,2)</f>
        <v>3.7971485063138591E-2</v>
      </c>
      <c r="W78" s="37">
        <f>VLOOKUP($C78,$C$33:$Y$36,W$31,FALSE)*$C$42*$A78/8760/1000*INDEX('Bulb Weighting'!$B$2:$C$17,MATCH(RIGHT('SC-New'!$D78,LEN($D78)-7),'Bulb Weighting'!$B$3:$B$17,0)+1,2)</f>
        <v>3.7968510851548586E-2</v>
      </c>
      <c r="X78" s="37">
        <f>VLOOKUP($C78,$C$33:$Y$36,X$31,FALSE)*$C$42*$A78/8760/1000*INDEX('Bulb Weighting'!$B$2:$C$17,MATCH(RIGHT('SC-New'!$D78,LEN($D78)-7),'Bulb Weighting'!$B$3:$B$17,0)+1,2)</f>
        <v>3.7905586315048236E-2</v>
      </c>
      <c r="Y78" s="440">
        <f t="shared" si="15"/>
        <v>0.63772858151933609</v>
      </c>
      <c r="AA78" s="31"/>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c r="A79" s="89">
        <f t="shared" si="16"/>
        <v>14.009308234872018</v>
      </c>
      <c r="B79" s="71">
        <f t="shared" si="17"/>
        <v>64.372768585347757</v>
      </c>
      <c r="C79" s="1" t="s">
        <v>33</v>
      </c>
      <c r="D79" t="s">
        <v>751</v>
      </c>
      <c r="E79" s="37">
        <f>VLOOKUP($C79,$C$33:$Y$36,E$31,FALSE)*$C$42*$A79/8760/1000*INDEX('Bulb Weighting'!$B$2:$C$17,MATCH(RIGHT('SC-New'!$D79,LEN($D79)-7),'Bulb Weighting'!$B$3:$B$17,0)+1,2)</f>
        <v>0</v>
      </c>
      <c r="F79" s="37">
        <f>VLOOKUP($C79,$C$33:$Y$36,F$31,FALSE)*$C$42*$A79/8760/1000*INDEX('Bulb Weighting'!$B$2:$C$17,MATCH(RIGHT('SC-New'!$D79,LEN($D79)-7),'Bulb Weighting'!$B$3:$B$17,0)+1,2)</f>
        <v>3.2107399260250203E-3</v>
      </c>
      <c r="G79" s="37">
        <f>VLOOKUP($C79,$C$33:$Y$36,G$31,FALSE)*$C$42*$A79/8760/1000*INDEX('Bulb Weighting'!$B$2:$C$17,MATCH(RIGHT('SC-New'!$D79,LEN($D79)-7),'Bulb Weighting'!$B$3:$B$17,0)+1,2)</f>
        <v>4.1513295599548139E-3</v>
      </c>
      <c r="H79" s="37">
        <f>VLOOKUP($C79,$C$33:$Y$36,H$31,FALSE)*$C$42*$A79/8760/1000*INDEX('Bulb Weighting'!$B$2:$C$17,MATCH(RIGHT('SC-New'!$D79,LEN($D79)-7),'Bulb Weighting'!$B$3:$B$17,0)+1,2)</f>
        <v>4.6053254628367372E-3</v>
      </c>
      <c r="I79" s="37">
        <f>VLOOKUP($C79,$C$33:$Y$36,I$31,FALSE)*$C$42*$A79/8760/1000*INDEX('Bulb Weighting'!$B$2:$C$17,MATCH(RIGHT('SC-New'!$D79,LEN($D79)-7),'Bulb Weighting'!$B$3:$B$17,0)+1,2)</f>
        <v>4.8065106693175198E-3</v>
      </c>
      <c r="J79" s="37">
        <f>VLOOKUP($C79,$C$33:$Y$36,J$31,FALSE)*$C$42*$A79/8760/1000*INDEX('Bulb Weighting'!$B$2:$C$17,MATCH(RIGHT('SC-New'!$D79,LEN($D79)-7),'Bulb Weighting'!$B$3:$B$17,0)+1,2)</f>
        <v>5.1687511691595484E-3</v>
      </c>
      <c r="K79" s="37">
        <f>VLOOKUP($C79,$C$33:$Y$36,K$31,FALSE)*$C$42*$A79/8760/1000*INDEX('Bulb Weighting'!$B$2:$C$17,MATCH(RIGHT('SC-New'!$D79,LEN($D79)-7),'Bulb Weighting'!$B$3:$B$17,0)+1,2)</f>
        <v>5.5330713554869286E-3</v>
      </c>
      <c r="L79" s="37">
        <f>VLOOKUP($C79,$C$33:$Y$36,L$31,FALSE)*$C$42*$A79/8760/1000*INDEX('Bulb Weighting'!$B$2:$C$17,MATCH(RIGHT('SC-New'!$D79,LEN($D79)-7),'Bulb Weighting'!$B$3:$B$17,0)+1,2)</f>
        <v>6.0531946365978079E-3</v>
      </c>
      <c r="M79" s="37">
        <f>VLOOKUP($C79,$C$33:$Y$36,M$31,FALSE)*$C$42*$A79/8760/1000*INDEX('Bulb Weighting'!$B$2:$C$17,MATCH(RIGHT('SC-New'!$D79,LEN($D79)-7),'Bulb Weighting'!$B$3:$B$17,0)+1,2)</f>
        <v>6.4547983077956608E-3</v>
      </c>
      <c r="N79" s="37">
        <f>VLOOKUP($C79,$C$33:$Y$36,N$31,FALSE)*$C$42*$A79/8760/1000*INDEX('Bulb Weighting'!$B$2:$C$17,MATCH(RIGHT('SC-New'!$D79,LEN($D79)-7),'Bulb Weighting'!$B$3:$B$17,0)+1,2)</f>
        <v>6.8861910038074525E-3</v>
      </c>
      <c r="O79" s="37">
        <f>VLOOKUP($C79,$C$33:$Y$36,O$31,FALSE)*$C$42*$A79/8760/1000*INDEX('Bulb Weighting'!$B$2:$C$17,MATCH(RIGHT('SC-New'!$D79,LEN($D79)-7),'Bulb Weighting'!$B$3:$B$17,0)+1,2)</f>
        <v>7.0441531581655441E-3</v>
      </c>
      <c r="P79" s="37">
        <f>VLOOKUP($C79,$C$33:$Y$36,P$31,FALSE)*$C$42*$A79/8760/1000*INDEX('Bulb Weighting'!$B$2:$C$17,MATCH(RIGHT('SC-New'!$D79,LEN($D79)-7),'Bulb Weighting'!$B$3:$B$17,0)+1,2)</f>
        <v>7.1976399904747383E-3</v>
      </c>
      <c r="Q79" s="37">
        <f>VLOOKUP($C79,$C$33:$Y$36,Q$31,FALSE)*$C$42*$A79/8760/1000*INDEX('Bulb Weighting'!$B$2:$C$17,MATCH(RIGHT('SC-New'!$D79,LEN($D79)-7),'Bulb Weighting'!$B$3:$B$17,0)+1,2)</f>
        <v>7.2747021079545889E-3</v>
      </c>
      <c r="R79" s="37">
        <f>VLOOKUP($C79,$C$33:$Y$36,R$31,FALSE)*$C$42*$A79/8760/1000*INDEX('Bulb Weighting'!$B$2:$C$17,MATCH(RIGHT('SC-New'!$D79,LEN($D79)-7),'Bulb Weighting'!$B$3:$B$17,0)+1,2)</f>
        <v>7.351038274965911E-3</v>
      </c>
      <c r="S79" s="37">
        <f>VLOOKUP($C79,$C$33:$Y$36,S$31,FALSE)*$C$42*$A79/8760/1000*INDEX('Bulb Weighting'!$B$2:$C$17,MATCH(RIGHT('SC-New'!$D79,LEN($D79)-7),'Bulb Weighting'!$B$3:$B$17,0)+1,2)</f>
        <v>7.3736884116839922E-3</v>
      </c>
      <c r="T79" s="37">
        <f>VLOOKUP($C79,$C$33:$Y$36,T$31,FALSE)*$C$42*$A79/8760/1000*INDEX('Bulb Weighting'!$B$2:$C$17,MATCH(RIGHT('SC-New'!$D79,LEN($D79)-7),'Bulb Weighting'!$B$3:$B$17,0)+1,2)</f>
        <v>7.2761503827246761E-3</v>
      </c>
      <c r="U79" s="37">
        <f>VLOOKUP($C79,$C$33:$Y$36,U$31,FALSE)*$C$42*$A79/8760/1000*INDEX('Bulb Weighting'!$B$2:$C$17,MATCH(RIGHT('SC-New'!$D79,LEN($D79)-7),'Bulb Weighting'!$B$3:$B$17,0)+1,2)</f>
        <v>7.2054790858089891E-3</v>
      </c>
      <c r="V79" s="37">
        <f>VLOOKUP($C79,$C$33:$Y$36,V$31,FALSE)*$C$42*$A79/8760/1000*INDEX('Bulb Weighting'!$B$2:$C$17,MATCH(RIGHT('SC-New'!$D79,LEN($D79)-7),'Bulb Weighting'!$B$3:$B$17,0)+1,2)</f>
        <v>7.0736064477002541E-3</v>
      </c>
      <c r="W79" s="37">
        <f>VLOOKUP($C79,$C$33:$Y$36,W$31,FALSE)*$C$42*$A79/8760/1000*INDEX('Bulb Weighting'!$B$2:$C$17,MATCH(RIGHT('SC-New'!$D79,LEN($D79)-7),'Bulb Weighting'!$B$3:$B$17,0)+1,2)</f>
        <v>7.0730523897737626E-3</v>
      </c>
      <c r="X79" s="37">
        <f>VLOOKUP($C79,$C$33:$Y$36,X$31,FALSE)*$C$42*$A79/8760/1000*INDEX('Bulb Weighting'!$B$2:$C$17,MATCH(RIGHT('SC-New'!$D79,LEN($D79)-7),'Bulb Weighting'!$B$3:$B$17,0)+1,2)</f>
        <v>7.0613303460778844E-3</v>
      </c>
      <c r="Y79" s="440">
        <f t="shared" si="15"/>
        <v>0.11880075268631182</v>
      </c>
      <c r="AA79" s="31"/>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c r="A80" s="89">
        <f t="shared" si="16"/>
        <v>15.001215681785107</v>
      </c>
      <c r="B80" s="71">
        <f t="shared" si="17"/>
        <v>-40.723166254238713</v>
      </c>
      <c r="C80" s="1" t="s">
        <v>33</v>
      </c>
      <c r="D80" t="s">
        <v>752</v>
      </c>
      <c r="E80" s="37">
        <f>VLOOKUP($C80,$C$33:$Y$36,E$31,FALSE)*$C$42*$A80/8760/1000*INDEX('Bulb Weighting'!$B$2:$C$17,MATCH(RIGHT('SC-New'!$D80,LEN($D80)-7),'Bulb Weighting'!$B$3:$B$17,0)+1,2)</f>
        <v>0</v>
      </c>
      <c r="F80" s="37">
        <f>VLOOKUP($C80,$C$33:$Y$36,F$31,FALSE)*$C$42*$A80/8760/1000*INDEX('Bulb Weighting'!$B$2:$C$17,MATCH(RIGHT('SC-New'!$D80,LEN($D80)-7),'Bulb Weighting'!$B$3:$B$17,0)+1,2)</f>
        <v>2.9384370223591682E-3</v>
      </c>
      <c r="G80" s="37">
        <f>VLOOKUP($C80,$C$33:$Y$36,G$31,FALSE)*$C$42*$A80/8760/1000*INDEX('Bulb Weighting'!$B$2:$C$17,MATCH(RIGHT('SC-New'!$D80,LEN($D80)-7),'Bulb Weighting'!$B$3:$B$17,0)+1,2)</f>
        <v>3.7992552346297259E-3</v>
      </c>
      <c r="H80" s="37">
        <f>VLOOKUP($C80,$C$33:$Y$36,H$31,FALSE)*$C$42*$A80/8760/1000*INDEX('Bulb Weighting'!$B$2:$C$17,MATCH(RIGHT('SC-New'!$D80,LEN($D80)-7),'Bulb Weighting'!$B$3:$B$17,0)+1,2)</f>
        <v>4.2147477378419668E-3</v>
      </c>
      <c r="I80" s="37">
        <f>VLOOKUP($C80,$C$33:$Y$36,I$31,FALSE)*$C$42*$A80/8760/1000*INDEX('Bulb Weighting'!$B$2:$C$17,MATCH(RIGHT('SC-New'!$D80,LEN($D80)-7),'Bulb Weighting'!$B$3:$B$17,0)+1,2)</f>
        <v>4.3988704237942948E-3</v>
      </c>
      <c r="J80" s="37">
        <f>VLOOKUP($C80,$C$33:$Y$36,J$31,FALSE)*$C$42*$A80/8760/1000*INDEX('Bulb Weighting'!$B$2:$C$17,MATCH(RIGHT('SC-New'!$D80,LEN($D80)-7),'Bulb Weighting'!$B$3:$B$17,0)+1,2)</f>
        <v>4.7303893011427598E-3</v>
      </c>
      <c r="K80" s="37">
        <f>VLOOKUP($C80,$C$33:$Y$36,K$31,FALSE)*$C$42*$A80/8760/1000*INDEX('Bulb Weighting'!$B$2:$C$17,MATCH(RIGHT('SC-New'!$D80,LEN($D80)-7),'Bulb Weighting'!$B$3:$B$17,0)+1,2)</f>
        <v>5.0638114867330173E-3</v>
      </c>
      <c r="L80" s="37">
        <f>VLOOKUP($C80,$C$33:$Y$36,L$31,FALSE)*$C$42*$A80/8760/1000*INDEX('Bulb Weighting'!$B$2:$C$17,MATCH(RIGHT('SC-New'!$D80,LEN($D80)-7),'Bulb Weighting'!$B$3:$B$17,0)+1,2)</f>
        <v>5.5398231041857166E-3</v>
      </c>
      <c r="M80" s="37">
        <f>VLOOKUP($C80,$C$33:$Y$36,M$31,FALSE)*$C$42*$A80/8760/1000*INDEX('Bulb Weighting'!$B$2:$C$17,MATCH(RIGHT('SC-New'!$D80,LEN($D80)-7),'Bulb Weighting'!$B$3:$B$17,0)+1,2)</f>
        <v>5.9073667617077106E-3</v>
      </c>
      <c r="N80" s="37">
        <f>VLOOKUP($C80,$C$33:$Y$36,N$31,FALSE)*$C$42*$A80/8760/1000*INDEX('Bulb Weighting'!$B$2:$C$17,MATCH(RIGHT('SC-New'!$D80,LEN($D80)-7),'Bulb Weighting'!$B$3:$B$17,0)+1,2)</f>
        <v>6.3021730363802689E-3</v>
      </c>
      <c r="O80" s="37">
        <f>VLOOKUP($C80,$C$33:$Y$36,O$31,FALSE)*$C$42*$A80/8760/1000*INDEX('Bulb Weighting'!$B$2:$C$17,MATCH(RIGHT('SC-New'!$D80,LEN($D80)-7),'Bulb Weighting'!$B$3:$B$17,0)+1,2)</f>
        <v>6.4467384179407988E-3</v>
      </c>
      <c r="P80" s="37">
        <f>VLOOKUP($C80,$C$33:$Y$36,P$31,FALSE)*$C$42*$A80/8760/1000*INDEX('Bulb Weighting'!$B$2:$C$17,MATCH(RIGHT('SC-New'!$D80,LEN($D80)-7),'Bulb Weighting'!$B$3:$B$17,0)+1,2)</f>
        <v>6.5872080295858396E-3</v>
      </c>
      <c r="Q80" s="37">
        <f>VLOOKUP($C80,$C$33:$Y$36,Q$31,FALSE)*$C$42*$A80/8760/1000*INDEX('Bulb Weighting'!$B$2:$C$17,MATCH(RIGHT('SC-New'!$D80,LEN($D80)-7),'Bulb Weighting'!$B$3:$B$17,0)+1,2)</f>
        <v>6.6577345076692029E-3</v>
      </c>
      <c r="R80" s="37">
        <f>VLOOKUP($C80,$C$33:$Y$36,R$31,FALSE)*$C$42*$A80/8760/1000*INDEX('Bulb Weighting'!$B$2:$C$17,MATCH(RIGHT('SC-New'!$D80,LEN($D80)-7),'Bulb Weighting'!$B$3:$B$17,0)+1,2)</f>
        <v>6.7275966031547013E-3</v>
      </c>
      <c r="S80" s="37">
        <f>VLOOKUP($C80,$C$33:$Y$36,S$31,FALSE)*$C$42*$A80/8760/1000*INDEX('Bulb Weighting'!$B$2:$C$17,MATCH(RIGHT('SC-New'!$D80,LEN($D80)-7),'Bulb Weighting'!$B$3:$B$17,0)+1,2)</f>
        <v>6.748325781421192E-3</v>
      </c>
      <c r="T80" s="37">
        <f>VLOOKUP($C80,$C$33:$Y$36,T$31,FALSE)*$C$42*$A80/8760/1000*INDEX('Bulb Weighting'!$B$2:$C$17,MATCH(RIGHT('SC-New'!$D80,LEN($D80)-7),'Bulb Weighting'!$B$3:$B$17,0)+1,2)</f>
        <v>6.6590599542332438E-3</v>
      </c>
      <c r="U80" s="37">
        <f>VLOOKUP($C80,$C$33:$Y$36,U$31,FALSE)*$C$42*$A80/8760/1000*INDEX('Bulb Weighting'!$B$2:$C$17,MATCH(RIGHT('SC-New'!$D80,LEN($D80)-7),'Bulb Weighting'!$B$3:$B$17,0)+1,2)</f>
        <v>6.5943822911213989E-3</v>
      </c>
      <c r="V80" s="37">
        <f>VLOOKUP($C80,$C$33:$Y$36,V$31,FALSE)*$C$42*$A80/8760/1000*INDEX('Bulb Weighting'!$B$2:$C$17,MATCH(RIGHT('SC-New'!$D80,LEN($D80)-7),'Bulb Weighting'!$B$3:$B$17,0)+1,2)</f>
        <v>6.4736937735264486E-3</v>
      </c>
      <c r="W80" s="37">
        <f>VLOOKUP($C80,$C$33:$Y$36,W$31,FALSE)*$C$42*$A80/8760/1000*INDEX('Bulb Weighting'!$B$2:$C$17,MATCH(RIGHT('SC-New'!$D80,LEN($D80)-7),'Bulb Weighting'!$B$3:$B$17,0)+1,2)</f>
        <v>6.4731867052614253E-3</v>
      </c>
      <c r="X80" s="37">
        <f>VLOOKUP($C80,$C$33:$Y$36,X$31,FALSE)*$C$42*$A80/8760/1000*INDEX('Bulb Weighting'!$B$2:$C$17,MATCH(RIGHT('SC-New'!$D80,LEN($D80)-7),'Bulb Weighting'!$B$3:$B$17,0)+1,2)</f>
        <v>6.4624588082759097E-3</v>
      </c>
      <c r="Y80" s="37">
        <f t="shared" si="15"/>
        <v>0.10872525898096477</v>
      </c>
      <c r="AA80" s="31"/>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c r="A81" s="89">
        <f t="shared" si="16"/>
        <v>10.331554133000125</v>
      </c>
      <c r="B81" s="71">
        <f t="shared" si="17"/>
        <v>-97.483290128606981</v>
      </c>
      <c r="C81" s="1" t="s">
        <v>33</v>
      </c>
      <c r="D81" t="s">
        <v>753</v>
      </c>
      <c r="E81" s="37">
        <f>VLOOKUP($C81,$C$33:$Y$36,E$31,FALSE)*$C$42*$A81/8760/1000*INDEX('Bulb Weighting'!$B$2:$C$17,MATCH(RIGHT('SC-New'!$D81,LEN($D81)-7),'Bulb Weighting'!$B$3:$B$17,0)+1,2)</f>
        <v>0</v>
      </c>
      <c r="F81" s="37">
        <f>VLOOKUP($C81,$C$33:$Y$36,F$31,FALSE)*$C$42*$A81/8760/1000*INDEX('Bulb Weighting'!$B$2:$C$17,MATCH(RIGHT('SC-New'!$D81,LEN($D81)-7),'Bulb Weighting'!$B$3:$B$17,0)+1,2)</f>
        <v>1.2340274083835598E-3</v>
      </c>
      <c r="G81" s="37">
        <f>VLOOKUP($C81,$C$33:$Y$36,G$31,FALSE)*$C$42*$A81/8760/1000*INDEX('Bulb Weighting'!$B$2:$C$17,MATCH(RIGHT('SC-New'!$D81,LEN($D81)-7),'Bulb Weighting'!$B$3:$B$17,0)+1,2)</f>
        <v>1.5955370339071127E-3</v>
      </c>
      <c r="H81" s="37">
        <f>VLOOKUP($C81,$C$33:$Y$36,H$31,FALSE)*$C$42*$A81/8760/1000*INDEX('Bulb Weighting'!$B$2:$C$17,MATCH(RIGHT('SC-New'!$D81,LEN($D81)-7),'Bulb Weighting'!$B$3:$B$17,0)+1,2)</f>
        <v>1.7700274630163089E-3</v>
      </c>
      <c r="I81" s="37">
        <f>VLOOKUP($C81,$C$33:$Y$36,I$31,FALSE)*$C$42*$A81/8760/1000*INDEX('Bulb Weighting'!$B$2:$C$17,MATCH(RIGHT('SC-New'!$D81,LEN($D81)-7),'Bulb Weighting'!$B$3:$B$17,0)+1,2)</f>
        <v>1.8473517137119898E-3</v>
      </c>
      <c r="J81" s="37">
        <f>VLOOKUP($C81,$C$33:$Y$36,J$31,FALSE)*$C$42*$A81/8760/1000*INDEX('Bulb Weighting'!$B$2:$C$17,MATCH(RIGHT('SC-New'!$D81,LEN($D81)-7),'Bulb Weighting'!$B$3:$B$17,0)+1,2)</f>
        <v>1.9865765389955E-3</v>
      </c>
      <c r="K81" s="37">
        <f>VLOOKUP($C81,$C$33:$Y$36,K$31,FALSE)*$C$42*$A81/8760/1000*INDEX('Bulb Weighting'!$B$2:$C$17,MATCH(RIGHT('SC-New'!$D81,LEN($D81)-7),'Bulb Weighting'!$B$3:$B$17,0)+1,2)</f>
        <v>2.1266006785127687E-3</v>
      </c>
      <c r="L81" s="37">
        <f>VLOOKUP($C81,$C$33:$Y$36,L$31,FALSE)*$C$42*$A81/8760/1000*INDEX('Bulb Weighting'!$B$2:$C$17,MATCH(RIGHT('SC-New'!$D81,LEN($D81)-7),'Bulb Weighting'!$B$3:$B$17,0)+1,2)</f>
        <v>2.3265067435997142E-3</v>
      </c>
      <c r="M81" s="37">
        <f>VLOOKUP($C81,$C$33:$Y$36,M$31,FALSE)*$C$42*$A81/8760/1000*INDEX('Bulb Weighting'!$B$2:$C$17,MATCH(RIGHT('SC-New'!$D81,LEN($D81)-7),'Bulb Weighting'!$B$3:$B$17,0)+1,2)</f>
        <v>2.4808605526854483E-3</v>
      </c>
      <c r="N81" s="37">
        <f>VLOOKUP($C81,$C$33:$Y$36,N$31,FALSE)*$C$42*$A81/8760/1000*INDEX('Bulb Weighting'!$B$2:$C$17,MATCH(RIGHT('SC-New'!$D81,LEN($D81)-7),'Bulb Weighting'!$B$3:$B$17,0)+1,2)</f>
        <v>2.64666358342612E-3</v>
      </c>
      <c r="O81" s="37">
        <f>VLOOKUP($C81,$C$33:$Y$36,O$31,FALSE)*$C$42*$A81/8760/1000*INDEX('Bulb Weighting'!$B$2:$C$17,MATCH(RIGHT('SC-New'!$D81,LEN($D81)-7),'Bulb Weighting'!$B$3:$B$17,0)+1,2)</f>
        <v>2.7073753297700625E-3</v>
      </c>
      <c r="P81" s="37">
        <f>VLOOKUP($C81,$C$33:$Y$36,P$31,FALSE)*$C$42*$A81/8760/1000*INDEX('Bulb Weighting'!$B$2:$C$17,MATCH(RIGHT('SC-New'!$D81,LEN($D81)-7),'Bulb Weighting'!$B$3:$B$17,0)+1,2)</f>
        <v>2.766367014633809E-3</v>
      </c>
      <c r="Q81" s="37">
        <f>VLOOKUP($C81,$C$33:$Y$36,Q$31,FALSE)*$C$42*$A81/8760/1000*INDEX('Bulb Weighting'!$B$2:$C$17,MATCH(RIGHT('SC-New'!$D81,LEN($D81)-7),'Bulb Weighting'!$B$3:$B$17,0)+1,2)</f>
        <v>2.7959853478869605E-3</v>
      </c>
      <c r="R81" s="37">
        <f>VLOOKUP($C81,$C$33:$Y$36,R$31,FALSE)*$C$42*$A81/8760/1000*INDEX('Bulb Weighting'!$B$2:$C$17,MATCH(RIGHT('SC-New'!$D81,LEN($D81)-7),'Bulb Weighting'!$B$3:$B$17,0)+1,2)</f>
        <v>2.8253246667085696E-3</v>
      </c>
      <c r="S81" s="37">
        <f>VLOOKUP($C81,$C$33:$Y$36,S$31,FALSE)*$C$42*$A81/8760/1000*INDEX('Bulb Weighting'!$B$2:$C$17,MATCH(RIGHT('SC-New'!$D81,LEN($D81)-7),'Bulb Weighting'!$B$3:$B$17,0)+1,2)</f>
        <v>2.8340301022647752E-3</v>
      </c>
      <c r="T81" s="37">
        <f>VLOOKUP($C81,$C$33:$Y$36,T$31,FALSE)*$C$42*$A81/8760/1000*INDEX('Bulb Weighting'!$B$2:$C$17,MATCH(RIGHT('SC-New'!$D81,LEN($D81)-7),'Bulb Weighting'!$B$3:$B$17,0)+1,2)</f>
        <v>2.7965419830559054E-3</v>
      </c>
      <c r="U81" s="37">
        <f>VLOOKUP($C81,$C$33:$Y$36,U$31,FALSE)*$C$42*$A81/8760/1000*INDEX('Bulb Weighting'!$B$2:$C$17,MATCH(RIGHT('SC-New'!$D81,LEN($D81)-7),'Bulb Weighting'!$B$3:$B$17,0)+1,2)</f>
        <v>2.7693799209178053E-3</v>
      </c>
      <c r="V81" s="37">
        <f>VLOOKUP($C81,$C$33:$Y$36,V$31,FALSE)*$C$42*$A81/8760/1000*INDEX('Bulb Weighting'!$B$2:$C$17,MATCH(RIGHT('SC-New'!$D81,LEN($D81)-7),'Bulb Weighting'!$B$3:$B$17,0)+1,2)</f>
        <v>2.7186955137121745E-3</v>
      </c>
      <c r="W81" s="37">
        <f>VLOOKUP($C81,$C$33:$Y$36,W$31,FALSE)*$C$42*$A81/8760/1000*INDEX('Bulb Weighting'!$B$2:$C$17,MATCH(RIGHT('SC-New'!$D81,LEN($D81)-7),'Bulb Weighting'!$B$3:$B$17,0)+1,2)</f>
        <v>2.7184825650826147E-3</v>
      </c>
      <c r="X81" s="37">
        <f>VLOOKUP($C81,$C$33:$Y$36,X$31,FALSE)*$C$42*$A81/8760/1000*INDEX('Bulb Weighting'!$B$2:$C$17,MATCH(RIGHT('SC-New'!$D81,LEN($D81)-7),'Bulb Weighting'!$B$3:$B$17,0)+1,2)</f>
        <v>2.7139772723662123E-3</v>
      </c>
      <c r="Y81" s="37">
        <f t="shared" si="15"/>
        <v>4.5660311432637414E-2</v>
      </c>
      <c r="AA81" s="3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c r="A82" s="89">
        <f t="shared" si="16"/>
        <v>11.177995908414712</v>
      </c>
      <c r="B82" s="71">
        <f t="shared" si="17"/>
        <v>-118.66739310804593</v>
      </c>
      <c r="C82" s="1" t="s">
        <v>33</v>
      </c>
      <c r="D82" t="s">
        <v>754</v>
      </c>
      <c r="E82" s="37">
        <f>VLOOKUP($C82,$C$33:$Y$36,E$31,FALSE)*$C$42*$A82/8760/1000*INDEX('Bulb Weighting'!$B$2:$C$17,MATCH(RIGHT('SC-New'!$D82,LEN($D82)-7),'Bulb Weighting'!$B$3:$B$17,0)+1,2)</f>
        <v>0</v>
      </c>
      <c r="F82" s="37">
        <f>VLOOKUP($C82,$C$33:$Y$36,F$31,FALSE)*$C$42*$A82/8760/1000*INDEX('Bulb Weighting'!$B$2:$C$17,MATCH(RIGHT('SC-New'!$D82,LEN($D82)-7),'Bulb Weighting'!$B$3:$B$17,0)+1,2)</f>
        <v>1.0060302815337561E-4</v>
      </c>
      <c r="G82" s="37">
        <f>VLOOKUP($C82,$C$33:$Y$36,G$31,FALSE)*$C$42*$A82/8760/1000*INDEX('Bulb Weighting'!$B$2:$C$17,MATCH(RIGHT('SC-New'!$D82,LEN($D82)-7),'Bulb Weighting'!$B$3:$B$17,0)+1,2)</f>
        <v>1.3007479092556684E-4</v>
      </c>
      <c r="H82" s="37">
        <f>VLOOKUP($C82,$C$33:$Y$36,H$31,FALSE)*$C$42*$A82/8760/1000*INDEX('Bulb Weighting'!$B$2:$C$17,MATCH(RIGHT('SC-New'!$D82,LEN($D82)-7),'Bulb Weighting'!$B$3:$B$17,0)+1,2)</f>
        <v>1.442999737966355E-4</v>
      </c>
      <c r="I82" s="37">
        <f>VLOOKUP($C82,$C$33:$Y$36,I$31,FALSE)*$C$42*$A82/8760/1000*INDEX('Bulb Weighting'!$B$2:$C$17,MATCH(RIGHT('SC-New'!$D82,LEN($D82)-7),'Bulb Weighting'!$B$3:$B$17,0)+1,2)</f>
        <v>1.5060376714581724E-4</v>
      </c>
      <c r="J82" s="37">
        <f>VLOOKUP($C82,$C$33:$Y$36,J$31,FALSE)*$C$42*$A82/8760/1000*INDEX('Bulb Weighting'!$B$2:$C$17,MATCH(RIGHT('SC-New'!$D82,LEN($D82)-7),'Bulb Weighting'!$B$3:$B$17,0)+1,2)</f>
        <v>1.6195395185200029E-4</v>
      </c>
      <c r="K82" s="37">
        <f>VLOOKUP($C82,$C$33:$Y$36,K$31,FALSE)*$C$42*$A82/8760/1000*INDEX('Bulb Weighting'!$B$2:$C$17,MATCH(RIGHT('SC-New'!$D82,LEN($D82)-7),'Bulb Weighting'!$B$3:$B$17,0)+1,2)</f>
        <v>1.7336929996688555E-4</v>
      </c>
      <c r="L82" s="37">
        <f>VLOOKUP($C82,$C$33:$Y$36,L$31,FALSE)*$C$42*$A82/8760/1000*INDEX('Bulb Weighting'!$B$2:$C$17,MATCH(RIGHT('SC-New'!$D82,LEN($D82)-7),'Bulb Weighting'!$B$3:$B$17,0)+1,2)</f>
        <v>1.896664708055105E-4</v>
      </c>
      <c r="M82" s="37">
        <f>VLOOKUP($C82,$C$33:$Y$36,M$31,FALSE)*$C$42*$A82/8760/1000*INDEX('Bulb Weighting'!$B$2:$C$17,MATCH(RIGHT('SC-New'!$D82,LEN($D82)-7),'Bulb Weighting'!$B$3:$B$17,0)+1,2)</f>
        <v>2.0225003296591137E-4</v>
      </c>
      <c r="N82" s="37">
        <f>VLOOKUP($C82,$C$33:$Y$36,N$31,FALSE)*$C$42*$A82/8760/1000*INDEX('Bulb Weighting'!$B$2:$C$17,MATCH(RIGHT('SC-New'!$D82,LEN($D82)-7),'Bulb Weighting'!$B$3:$B$17,0)+1,2)</f>
        <v>2.1576698312131197E-4</v>
      </c>
      <c r="O82" s="37">
        <f>VLOOKUP($C82,$C$33:$Y$36,O$31,FALSE)*$C$42*$A82/8760/1000*INDEX('Bulb Weighting'!$B$2:$C$17,MATCH(RIGHT('SC-New'!$D82,LEN($D82)-7),'Bulb Weighting'!$B$3:$B$17,0)+1,2)</f>
        <v>2.2071645627335545E-4</v>
      </c>
      <c r="P82" s="37">
        <f>VLOOKUP($C82,$C$33:$Y$36,P$31,FALSE)*$C$42*$A82/8760/1000*INDEX('Bulb Weighting'!$B$2:$C$17,MATCH(RIGHT('SC-New'!$D82,LEN($D82)-7),'Bulb Weighting'!$B$3:$B$17,0)+1,2)</f>
        <v>2.2552570288558133E-4</v>
      </c>
      <c r="Q82" s="37">
        <f>VLOOKUP($C82,$C$33:$Y$36,Q$31,FALSE)*$C$42*$A82/8760/1000*INDEX('Bulb Weighting'!$B$2:$C$17,MATCH(RIGHT('SC-New'!$D82,LEN($D82)-7),'Bulb Weighting'!$B$3:$B$17,0)+1,2)</f>
        <v>2.2794031215104808E-4</v>
      </c>
      <c r="R82" s="37">
        <f>VLOOKUP($C82,$C$33:$Y$36,R$31,FALSE)*$C$42*$A82/8760/1000*INDEX('Bulb Weighting'!$B$2:$C$17,MATCH(RIGHT('SC-New'!$D82,LEN($D82)-7),'Bulb Weighting'!$B$3:$B$17,0)+1,2)</f>
        <v>2.3033217500381689E-4</v>
      </c>
      <c r="S82" s="37">
        <f>VLOOKUP($C82,$C$33:$Y$36,S$31,FALSE)*$C$42*$A82/8760/1000*INDEX('Bulb Weighting'!$B$2:$C$17,MATCH(RIGHT('SC-New'!$D82,LEN($D82)-7),'Bulb Weighting'!$B$3:$B$17,0)+1,2)</f>
        <v>2.3104187818577096E-4</v>
      </c>
      <c r="T82" s="37">
        <f>VLOOKUP($C82,$C$33:$Y$36,T$31,FALSE)*$C$42*$A82/8760/1000*INDEX('Bulb Weighting'!$B$2:$C$17,MATCH(RIGHT('SC-New'!$D82,LEN($D82)-7),'Bulb Weighting'!$B$3:$B$17,0)+1,2)</f>
        <v>2.2798569135672222E-4</v>
      </c>
      <c r="U82" s="37">
        <f>VLOOKUP($C82,$C$33:$Y$36,U$31,FALSE)*$C$42*$A82/8760/1000*INDEX('Bulb Weighting'!$B$2:$C$17,MATCH(RIGHT('SC-New'!$D82,LEN($D82)-7),'Bulb Weighting'!$B$3:$B$17,0)+1,2)</f>
        <v>2.2577132749136656E-4</v>
      </c>
      <c r="V82" s="37">
        <f>VLOOKUP($C82,$C$33:$Y$36,V$31,FALSE)*$C$42*$A82/8760/1000*INDEX('Bulb Weighting'!$B$2:$C$17,MATCH(RIGHT('SC-New'!$D82,LEN($D82)-7),'Bulb Weighting'!$B$3:$B$17,0)+1,2)</f>
        <v>2.2163932457927216E-4</v>
      </c>
      <c r="W82" s="37">
        <f>VLOOKUP($C82,$C$33:$Y$36,W$31,FALSE)*$C$42*$A82/8760/1000*INDEX('Bulb Weighting'!$B$2:$C$17,MATCH(RIGHT('SC-New'!$D82,LEN($D82)-7),'Bulb Weighting'!$B$3:$B$17,0)+1,2)</f>
        <v>2.2162196412452918E-4</v>
      </c>
      <c r="X82" s="37">
        <f>VLOOKUP($C82,$C$33:$Y$36,X$31,FALSE)*$C$42*$A82/8760/1000*INDEX('Bulb Weighting'!$B$2:$C$17,MATCH(RIGHT('SC-New'!$D82,LEN($D82)-7),'Bulb Weighting'!$B$3:$B$17,0)+1,2)</f>
        <v>2.2125467399230987E-4</v>
      </c>
      <c r="Y82" s="37">
        <f t="shared" si="15"/>
        <v>3.7224178047767882E-3</v>
      </c>
      <c r="AA82" s="31"/>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c r="A83" s="89">
        <f t="shared" si="16"/>
        <v>21.322455076849025</v>
      </c>
      <c r="B83" s="71">
        <f t="shared" si="17"/>
        <v>-49.256412709384371</v>
      </c>
      <c r="C83" s="1" t="s">
        <v>33</v>
      </c>
      <c r="D83" t="s">
        <v>755</v>
      </c>
      <c r="E83" s="37">
        <f>VLOOKUP($C83,$C$33:$Y$36,E$31,FALSE)*$C$42*$A83/8760/1000*INDEX('Bulb Weighting'!$B$2:$C$17,MATCH(RIGHT('SC-New'!$D83,LEN($D83)-7),'Bulb Weighting'!$B$3:$B$17,0)+1,2)</f>
        <v>0</v>
      </c>
      <c r="F83" s="37">
        <f>VLOOKUP($C83,$C$33:$Y$36,F$31,FALSE)*$C$42*$A83/8760/1000*INDEX('Bulb Weighting'!$B$2:$C$17,MATCH(RIGHT('SC-New'!$D83,LEN($D83)-7),'Bulb Weighting'!$B$3:$B$17,0)+1,2)</f>
        <v>1.3285018675067704E-3</v>
      </c>
      <c r="G83" s="37">
        <f>VLOOKUP($C83,$C$33:$Y$36,G$31,FALSE)*$C$42*$A83/8760/1000*INDEX('Bulb Weighting'!$B$2:$C$17,MATCH(RIGHT('SC-New'!$D83,LEN($D83)-7),'Bulb Weighting'!$B$3:$B$17,0)+1,2)</f>
        <v>1.7176878850676033E-3</v>
      </c>
      <c r="H83" s="37">
        <f>VLOOKUP($C83,$C$33:$Y$36,H$31,FALSE)*$C$42*$A83/8760/1000*INDEX('Bulb Weighting'!$B$2:$C$17,MATCH(RIGHT('SC-New'!$D83,LEN($D83)-7),'Bulb Weighting'!$B$3:$B$17,0)+1,2)</f>
        <v>1.905536922583935E-3</v>
      </c>
      <c r="I83" s="37">
        <f>VLOOKUP($C83,$C$33:$Y$36,I$31,FALSE)*$C$42*$A83/8760/1000*INDEX('Bulb Weighting'!$B$2:$C$17,MATCH(RIGHT('SC-New'!$D83,LEN($D83)-7),'Bulb Weighting'!$B$3:$B$17,0)+1,2)</f>
        <v>1.9887809500300784E-3</v>
      </c>
      <c r="J83" s="37">
        <f>VLOOKUP($C83,$C$33:$Y$36,J$31,FALSE)*$C$42*$A83/8760/1000*INDEX('Bulb Weighting'!$B$2:$C$17,MATCH(RIGHT('SC-New'!$D83,LEN($D83)-7),'Bulb Weighting'!$B$3:$B$17,0)+1,2)</f>
        <v>2.1386645256588599E-3</v>
      </c>
      <c r="K83" s="37">
        <f>VLOOKUP($C83,$C$33:$Y$36,K$31,FALSE)*$C$42*$A83/8760/1000*INDEX('Bulb Weighting'!$B$2:$C$17,MATCH(RIGHT('SC-New'!$D83,LEN($D83)-7),'Bulb Weighting'!$B$3:$B$17,0)+1,2)</f>
        <v>2.2894086092837031E-3</v>
      </c>
      <c r="L83" s="37">
        <f>VLOOKUP($C83,$C$33:$Y$36,L$31,FALSE)*$C$42*$A83/8760/1000*INDEX('Bulb Weighting'!$B$2:$C$17,MATCH(RIGHT('SC-New'!$D83,LEN($D83)-7),'Bulb Weighting'!$B$3:$B$17,0)+1,2)</f>
        <v>2.5046190486869998E-3</v>
      </c>
      <c r="M83" s="37">
        <f>VLOOKUP($C83,$C$33:$Y$36,M$31,FALSE)*$C$42*$A83/8760/1000*INDEX('Bulb Weighting'!$B$2:$C$17,MATCH(RIGHT('SC-New'!$D83,LEN($D83)-7),'Bulb Weighting'!$B$3:$B$17,0)+1,2)</f>
        <v>2.6707898502705612E-3</v>
      </c>
      <c r="N83" s="37">
        <f>VLOOKUP($C83,$C$33:$Y$36,N$31,FALSE)*$C$42*$A83/8760/1000*INDEX('Bulb Weighting'!$B$2:$C$17,MATCH(RIGHT('SC-New'!$D83,LEN($D83)-7),'Bulb Weighting'!$B$3:$B$17,0)+1,2)</f>
        <v>2.8492864010609474E-3</v>
      </c>
      <c r="O83" s="37">
        <f>VLOOKUP($C83,$C$33:$Y$36,O$31,FALSE)*$C$42*$A83/8760/1000*INDEX('Bulb Weighting'!$B$2:$C$17,MATCH(RIGHT('SC-New'!$D83,LEN($D83)-7),'Bulb Weighting'!$B$3:$B$17,0)+1,2)</f>
        <v>2.914646106890476E-3</v>
      </c>
      <c r="P83" s="37">
        <f>VLOOKUP($C83,$C$33:$Y$36,P$31,FALSE)*$C$42*$A83/8760/1000*INDEX('Bulb Weighting'!$B$2:$C$17,MATCH(RIGHT('SC-New'!$D83,LEN($D83)-7),'Bulb Weighting'!$B$3:$B$17,0)+1,2)</f>
        <v>2.9781540670674018E-3</v>
      </c>
      <c r="Q83" s="37">
        <f>VLOOKUP($C83,$C$33:$Y$36,Q$31,FALSE)*$C$42*$A83/8760/1000*INDEX('Bulb Weighting'!$B$2:$C$17,MATCH(RIGHT('SC-New'!$D83,LEN($D83)-7),'Bulb Weighting'!$B$3:$B$17,0)+1,2)</f>
        <v>3.0100399156084735E-3</v>
      </c>
      <c r="R83" s="37">
        <f>VLOOKUP($C83,$C$33:$Y$36,R$31,FALSE)*$C$42*$A83/8760/1000*INDEX('Bulb Weighting'!$B$2:$C$17,MATCH(RIGHT('SC-New'!$D83,LEN($D83)-7),'Bulb Weighting'!$B$3:$B$17,0)+1,2)</f>
        <v>3.0416253889789073E-3</v>
      </c>
      <c r="S83" s="37">
        <f>VLOOKUP($C83,$C$33:$Y$36,S$31,FALSE)*$C$42*$A83/8760/1000*INDEX('Bulb Weighting'!$B$2:$C$17,MATCH(RIGHT('SC-New'!$D83,LEN($D83)-7),'Bulb Weighting'!$B$3:$B$17,0)+1,2)</f>
        <v>3.0509972937804606E-3</v>
      </c>
      <c r="T83" s="37">
        <f>VLOOKUP($C83,$C$33:$Y$36,T$31,FALSE)*$C$42*$A83/8760/1000*INDEX('Bulb Weighting'!$B$2:$C$17,MATCH(RIGHT('SC-New'!$D83,LEN($D83)-7),'Bulb Weighting'!$B$3:$B$17,0)+1,2)</f>
        <v>3.0106391655574127E-3</v>
      </c>
      <c r="U83" s="37">
        <f>VLOOKUP($C83,$C$33:$Y$36,U$31,FALSE)*$C$42*$A83/8760/1000*INDEX('Bulb Weighting'!$B$2:$C$17,MATCH(RIGHT('SC-New'!$D83,LEN($D83)-7),'Bulb Weighting'!$B$3:$B$17,0)+1,2)</f>
        <v>2.9813976349150192E-3</v>
      </c>
      <c r="V83" s="37">
        <f>VLOOKUP($C83,$C$33:$Y$36,V$31,FALSE)*$C$42*$A83/8760/1000*INDEX('Bulb Weighting'!$B$2:$C$17,MATCH(RIGHT('SC-New'!$D83,LEN($D83)-7),'Bulb Weighting'!$B$3:$B$17,0)+1,2)</f>
        <v>2.9268329395373419E-3</v>
      </c>
      <c r="W83" s="37">
        <f>VLOOKUP($C83,$C$33:$Y$36,W$31,FALSE)*$C$42*$A83/8760/1000*INDEX('Bulb Weighting'!$B$2:$C$17,MATCH(RIGHT('SC-New'!$D83,LEN($D83)-7),'Bulb Weighting'!$B$3:$B$17,0)+1,2)</f>
        <v>2.9266036880230472E-3</v>
      </c>
      <c r="X83" s="37">
        <f>VLOOKUP($C83,$C$33:$Y$36,X$31,FALSE)*$C$42*$A83/8760/1000*INDEX('Bulb Weighting'!$B$2:$C$17,MATCH(RIGHT('SC-New'!$D83,LEN($D83)-7),'Bulb Weighting'!$B$3:$B$17,0)+1,2)</f>
        <v>2.9217534798779573E-3</v>
      </c>
      <c r="Y83" s="37">
        <f t="shared" si="15"/>
        <v>4.915596574038595E-2</v>
      </c>
      <c r="AA83" s="31"/>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c r="A84" s="89">
        <f t="shared" si="16"/>
        <v>16.258824982644914</v>
      </c>
      <c r="B84" s="71">
        <f t="shared" si="17"/>
        <v>-57.558538168362972</v>
      </c>
      <c r="C84" s="1" t="s">
        <v>33</v>
      </c>
      <c r="D84" t="s">
        <v>756</v>
      </c>
      <c r="E84" s="37">
        <f>VLOOKUP($C84,$C$33:$Y$36,E$31,FALSE)*$C$42*$A84/8760/1000*INDEX('Bulb Weighting'!$B$2:$C$17,MATCH(RIGHT('SC-New'!$D84,LEN($D84)-7),'Bulb Weighting'!$B$3:$B$17,0)+1,2)</f>
        <v>0</v>
      </c>
      <c r="F84" s="37">
        <f>VLOOKUP($C84,$C$33:$Y$36,F$31,FALSE)*$C$42*$A84/8760/1000*INDEX('Bulb Weighting'!$B$2:$C$17,MATCH(RIGHT('SC-New'!$D84,LEN($D84)-7),'Bulb Weighting'!$B$3:$B$17,0)+1,2)</f>
        <v>1.0236170556244715E-2</v>
      </c>
      <c r="G84" s="37">
        <f>VLOOKUP($C84,$C$33:$Y$36,G$31,FALSE)*$C$42*$A84/8760/1000*INDEX('Bulb Weighting'!$B$2:$C$17,MATCH(RIGHT('SC-New'!$D84,LEN($D84)-7),'Bulb Weighting'!$B$3:$B$17,0)+1,2)</f>
        <v>1.323486747289623E-2</v>
      </c>
      <c r="H84" s="37">
        <f>VLOOKUP($C84,$C$33:$Y$36,H$31,FALSE)*$C$42*$A84/8760/1000*INDEX('Bulb Weighting'!$B$2:$C$17,MATCH(RIGHT('SC-New'!$D84,LEN($D84)-7),'Bulb Weighting'!$B$3:$B$17,0)+1,2)</f>
        <v>1.4682253309434231E-2</v>
      </c>
      <c r="I84" s="37">
        <f>VLOOKUP($C84,$C$33:$Y$36,I$31,FALSE)*$C$42*$A84/8760/1000*INDEX('Bulb Weighting'!$B$2:$C$17,MATCH(RIGHT('SC-New'!$D84,LEN($D84)-7),'Bulb Weighting'!$B$3:$B$17,0)+1,2)</f>
        <v>1.5323652530292376E-2</v>
      </c>
      <c r="J84" s="37">
        <f>VLOOKUP($C84,$C$33:$Y$36,J$31,FALSE)*$C$42*$A84/8760/1000*INDEX('Bulb Weighting'!$B$2:$C$17,MATCH(RIGHT('SC-New'!$D84,LEN($D84)-7),'Bulb Weighting'!$B$3:$B$17,0)+1,2)</f>
        <v>1.647851266353054E-2</v>
      </c>
      <c r="K84" s="37">
        <f>VLOOKUP($C84,$C$33:$Y$36,K$31,FALSE)*$C$42*$A84/8760/1000*INDEX('Bulb Weighting'!$B$2:$C$17,MATCH(RIGHT('SC-New'!$D84,LEN($D84)-7),'Bulb Weighting'!$B$3:$B$17,0)+1,2)</f>
        <v>1.7640003052117329E-2</v>
      </c>
      <c r="L84" s="37">
        <f>VLOOKUP($C84,$C$33:$Y$36,L$31,FALSE)*$C$42*$A84/8760/1000*INDEX('Bulb Weighting'!$B$2:$C$17,MATCH(RIGHT('SC-New'!$D84,LEN($D84)-7),'Bulb Weighting'!$B$3:$B$17,0)+1,2)</f>
        <v>1.9298209801461835E-2</v>
      </c>
      <c r="M84" s="37">
        <f>VLOOKUP($C84,$C$33:$Y$36,M$31,FALSE)*$C$42*$A84/8760/1000*INDEX('Bulb Weighting'!$B$2:$C$17,MATCH(RIGHT('SC-New'!$D84,LEN($D84)-7),'Bulb Weighting'!$B$3:$B$17,0)+1,2)</f>
        <v>2.0578563791230371E-2</v>
      </c>
      <c r="N84" s="37">
        <f>VLOOKUP($C84,$C$33:$Y$36,N$31,FALSE)*$C$42*$A84/8760/1000*INDEX('Bulb Weighting'!$B$2:$C$17,MATCH(RIGHT('SC-New'!$D84,LEN($D84)-7),'Bulb Weighting'!$B$3:$B$17,0)+1,2)</f>
        <v>2.1953888269336513E-2</v>
      </c>
      <c r="O84" s="37">
        <f>VLOOKUP($C84,$C$33:$Y$36,O$31,FALSE)*$C$42*$A84/8760/1000*INDEX('Bulb Weighting'!$B$2:$C$17,MATCH(RIGHT('SC-New'!$D84,LEN($D84)-7),'Bulb Weighting'!$B$3:$B$17,0)+1,2)</f>
        <v>2.2457487935050664E-2</v>
      </c>
      <c r="P84" s="37">
        <f>VLOOKUP($C84,$C$33:$Y$36,P$31,FALSE)*$C$42*$A84/8760/1000*INDEX('Bulb Weighting'!$B$2:$C$17,MATCH(RIGHT('SC-New'!$D84,LEN($D84)-7),'Bulb Weighting'!$B$3:$B$17,0)+1,2)</f>
        <v>2.2946819811768476E-2</v>
      </c>
      <c r="Q84" s="37">
        <f>VLOOKUP($C84,$C$33:$Y$36,Q$31,FALSE)*$C$42*$A84/8760/1000*INDEX('Bulb Weighting'!$B$2:$C$17,MATCH(RIGHT('SC-New'!$D84,LEN($D84)-7),'Bulb Weighting'!$B$3:$B$17,0)+1,2)</f>
        <v>2.3192501802874396E-2</v>
      </c>
      <c r="R84" s="37">
        <f>VLOOKUP($C84,$C$33:$Y$36,R$31,FALSE)*$C$42*$A84/8760/1000*INDEX('Bulb Weighting'!$B$2:$C$17,MATCH(RIGHT('SC-New'!$D84,LEN($D84)-7),'Bulb Weighting'!$B$3:$B$17,0)+1,2)</f>
        <v>2.3435869388895379E-2</v>
      </c>
      <c r="S84" s="37">
        <f>VLOOKUP($C84,$C$33:$Y$36,S$31,FALSE)*$C$42*$A84/8760/1000*INDEX('Bulb Weighting'!$B$2:$C$17,MATCH(RIGHT('SC-New'!$D84,LEN($D84)-7),'Bulb Weighting'!$B$3:$B$17,0)+1,2)</f>
        <v>2.3508080364530389E-2</v>
      </c>
      <c r="T84" s="37">
        <f>VLOOKUP($C84,$C$33:$Y$36,T$31,FALSE)*$C$42*$A84/8760/1000*INDEX('Bulb Weighting'!$B$2:$C$17,MATCH(RIGHT('SC-New'!$D84,LEN($D84)-7),'Bulb Weighting'!$B$3:$B$17,0)+1,2)</f>
        <v>2.3197119052449418E-2</v>
      </c>
      <c r="U84" s="37">
        <f>VLOOKUP($C84,$C$33:$Y$36,U$31,FALSE)*$C$42*$A84/8760/1000*INDEX('Bulb Weighting'!$B$2:$C$17,MATCH(RIGHT('SC-New'!$D84,LEN($D84)-7),'Bulb Weighting'!$B$3:$B$17,0)+1,2)</f>
        <v>2.2971811657479069E-2</v>
      </c>
      <c r="V84" s="37">
        <f>VLOOKUP($C84,$C$33:$Y$36,V$31,FALSE)*$C$42*$A84/8760/1000*INDEX('Bulb Weighting'!$B$2:$C$17,MATCH(RIGHT('SC-New'!$D84,LEN($D84)-7),'Bulb Weighting'!$B$3:$B$17,0)+1,2)</f>
        <v>2.2551388064636364E-2</v>
      </c>
      <c r="W84" s="37">
        <f>VLOOKUP($C84,$C$33:$Y$36,W$31,FALSE)*$C$42*$A84/8760/1000*INDEX('Bulb Weighting'!$B$2:$C$17,MATCH(RIGHT('SC-New'!$D84,LEN($D84)-7),'Bulb Weighting'!$B$3:$B$17,0)+1,2)</f>
        <v>2.2549621670732073E-2</v>
      </c>
      <c r="X84" s="37">
        <f>VLOOKUP($C84,$C$33:$Y$36,X$31,FALSE)*$C$42*$A84/8760/1000*INDEX('Bulb Weighting'!$B$2:$C$17,MATCH(RIGHT('SC-New'!$D84,LEN($D84)-7),'Bulb Weighting'!$B$3:$B$17,0)+1,2)</f>
        <v>2.251225058453285E-2</v>
      </c>
      <c r="Y84" s="37">
        <f t="shared" si="15"/>
        <v>0.37874907177949324</v>
      </c>
      <c r="AA84" s="31"/>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c r="A85" s="89">
        <f t="shared" si="16"/>
        <v>87.041761167225999</v>
      </c>
      <c r="B85" s="71">
        <f t="shared" si="17"/>
        <v>-31.342168529326845</v>
      </c>
      <c r="C85" s="1" t="s">
        <v>33</v>
      </c>
      <c r="D85" t="s">
        <v>757</v>
      </c>
      <c r="E85" s="37">
        <f>VLOOKUP($C85,$C$33:$Y$36,E$31,FALSE)*$C$42*$A85/8760/1000*INDEX('Bulb Weighting'!$B$2:$C$17,MATCH(RIGHT('SC-New'!$D85,LEN($D85)-7),'Bulb Weighting'!$B$3:$B$17,0)+1,2)</f>
        <v>0</v>
      </c>
      <c r="F85" s="37">
        <f>VLOOKUP($C85,$C$33:$Y$36,F$31,FALSE)*$C$42*$A85/8760/1000*INDEX('Bulb Weighting'!$B$2:$C$17,MATCH(RIGHT('SC-New'!$D85,LEN($D85)-7),'Bulb Weighting'!$B$3:$B$17,0)+1,2)</f>
        <v>4.5032703141292896E-3</v>
      </c>
      <c r="G85" s="37">
        <f>VLOOKUP($C85,$C$33:$Y$36,G$31,FALSE)*$C$42*$A85/8760/1000*INDEX('Bulb Weighting'!$B$2:$C$17,MATCH(RIGHT('SC-New'!$D85,LEN($D85)-7),'Bulb Weighting'!$B$3:$B$17,0)+1,2)</f>
        <v>5.822508082944068E-3</v>
      </c>
      <c r="H85" s="37">
        <f>VLOOKUP($C85,$C$33:$Y$36,H$31,FALSE)*$C$42*$A85/8760/1000*INDEX('Bulb Weighting'!$B$2:$C$17,MATCH(RIGHT('SC-New'!$D85,LEN($D85)-7),'Bulb Weighting'!$B$3:$B$17,0)+1,2)</f>
        <v>6.4592666866580706E-3</v>
      </c>
      <c r="I85" s="37">
        <f>VLOOKUP($C85,$C$33:$Y$36,I$31,FALSE)*$C$42*$A85/8760/1000*INDEX('Bulb Weighting'!$B$2:$C$17,MATCH(RIGHT('SC-New'!$D85,LEN($D85)-7),'Bulb Weighting'!$B$3:$B$17,0)+1,2)</f>
        <v>6.7414419449663698E-3</v>
      </c>
      <c r="J85" s="37">
        <f>VLOOKUP($C85,$C$33:$Y$36,J$31,FALSE)*$C$42*$A85/8760/1000*INDEX('Bulb Weighting'!$B$2:$C$17,MATCH(RIGHT('SC-New'!$D85,LEN($D85)-7),'Bulb Weighting'!$B$3:$B$17,0)+1,2)</f>
        <v>7.2495076641146388E-3</v>
      </c>
      <c r="K85" s="37">
        <f>VLOOKUP($C85,$C$33:$Y$36,K$31,FALSE)*$C$42*$A85/8760/1000*INDEX('Bulb Weighting'!$B$2:$C$17,MATCH(RIGHT('SC-New'!$D85,LEN($D85)-7),'Bulb Weighting'!$B$3:$B$17,0)+1,2)</f>
        <v>7.7604902780061625E-3</v>
      </c>
      <c r="L85" s="37">
        <f>VLOOKUP($C85,$C$33:$Y$36,L$31,FALSE)*$C$42*$A85/8760/1000*INDEX('Bulb Weighting'!$B$2:$C$17,MATCH(RIGHT('SC-New'!$D85,LEN($D85)-7),'Bulb Weighting'!$B$3:$B$17,0)+1,2)</f>
        <v>8.4899968046882913E-3</v>
      </c>
      <c r="M85" s="37">
        <f>VLOOKUP($C85,$C$33:$Y$36,M$31,FALSE)*$C$42*$A85/8760/1000*INDEX('Bulb Weighting'!$B$2:$C$17,MATCH(RIGHT('SC-New'!$D85,LEN($D85)-7),'Bulb Weighting'!$B$3:$B$17,0)+1,2)</f>
        <v>9.0532719164129714E-3</v>
      </c>
      <c r="N85" s="37">
        <f>VLOOKUP($C85,$C$33:$Y$36,N$31,FALSE)*$C$42*$A85/8760/1000*INDEX('Bulb Weighting'!$B$2:$C$17,MATCH(RIGHT('SC-New'!$D85,LEN($D85)-7),'Bulb Weighting'!$B$3:$B$17,0)+1,2)</f>
        <v>9.6583280612397449E-3</v>
      </c>
      <c r="O85" s="37">
        <f>VLOOKUP($C85,$C$33:$Y$36,O$31,FALSE)*$C$42*$A85/8760/1000*INDEX('Bulb Weighting'!$B$2:$C$17,MATCH(RIGHT('SC-New'!$D85,LEN($D85)-7),'Bulb Weighting'!$B$3:$B$17,0)+1,2)</f>
        <v>9.8798801946625749E-3</v>
      </c>
      <c r="P85" s="37">
        <f>VLOOKUP($C85,$C$33:$Y$36,P$31,FALSE)*$C$42*$A85/8760/1000*INDEX('Bulb Weighting'!$B$2:$C$17,MATCH(RIGHT('SC-New'!$D85,LEN($D85)-7),'Bulb Weighting'!$B$3:$B$17,0)+1,2)</f>
        <v>1.0095155399591254E-2</v>
      </c>
      <c r="Q85" s="37">
        <f>VLOOKUP($C85,$C$33:$Y$36,Q$31,FALSE)*$C$42*$A85/8760/1000*INDEX('Bulb Weighting'!$B$2:$C$17,MATCH(RIGHT('SC-New'!$D85,LEN($D85)-7),'Bulb Weighting'!$B$3:$B$17,0)+1,2)</f>
        <v>1.0203240001267662E-2</v>
      </c>
      <c r="R85" s="37">
        <f>VLOOKUP($C85,$C$33:$Y$36,R$31,FALSE)*$C$42*$A85/8760/1000*INDEX('Bulb Weighting'!$B$2:$C$17,MATCH(RIGHT('SC-New'!$D85,LEN($D85)-7),'Bulb Weighting'!$B$3:$B$17,0)+1,2)</f>
        <v>1.0310306410480722E-2</v>
      </c>
      <c r="S85" s="37">
        <f>VLOOKUP($C85,$C$33:$Y$36,S$31,FALSE)*$C$42*$A85/8760/1000*INDEX('Bulb Weighting'!$B$2:$C$17,MATCH(RIGHT('SC-New'!$D85,LEN($D85)-7),'Bulb Weighting'!$B$3:$B$17,0)+1,2)</f>
        <v>1.0342074691513619E-2</v>
      </c>
      <c r="T85" s="37">
        <f>VLOOKUP($C85,$C$33:$Y$36,T$31,FALSE)*$C$42*$A85/8760/1000*INDEX('Bulb Weighting'!$B$2:$C$17,MATCH(RIGHT('SC-New'!$D85,LEN($D85)-7),'Bulb Weighting'!$B$3:$B$17,0)+1,2)</f>
        <v>1.0205271300260766E-2</v>
      </c>
      <c r="U85" s="37">
        <f>VLOOKUP($C85,$C$33:$Y$36,U$31,FALSE)*$C$42*$A85/8760/1000*INDEX('Bulb Weighting'!$B$2:$C$17,MATCH(RIGHT('SC-New'!$D85,LEN($D85)-7),'Bulb Weighting'!$B$3:$B$17,0)+1,2)</f>
        <v>1.0106150237579291E-2</v>
      </c>
      <c r="V85" s="37">
        <f>VLOOKUP($C85,$C$33:$Y$36,V$31,FALSE)*$C$42*$A85/8760/1000*INDEX('Bulb Weighting'!$B$2:$C$17,MATCH(RIGHT('SC-New'!$D85,LEN($D85)-7),'Bulb Weighting'!$B$3:$B$17,0)+1,2)</f>
        <v>9.9211903373309408E-3</v>
      </c>
      <c r="W85" s="37">
        <f>VLOOKUP($C85,$C$33:$Y$36,W$31,FALSE)*$C$42*$A85/8760/1000*INDEX('Bulb Weighting'!$B$2:$C$17,MATCH(RIGHT('SC-New'!$D85,LEN($D85)-7),'Bulb Weighting'!$B$3:$B$17,0)+1,2)</f>
        <v>9.9204132352703062E-3</v>
      </c>
      <c r="X85" s="37">
        <f>VLOOKUP($C85,$C$33:$Y$36,X$31,FALSE)*$C$42*$A85/8760/1000*INDEX('Bulb Weighting'!$B$2:$C$17,MATCH(RIGHT('SC-New'!$D85,LEN($D85)-7),'Bulb Weighting'!$B$3:$B$17,0)+1,2)</f>
        <v>9.9039723111802869E-3</v>
      </c>
      <c r="Y85" s="37">
        <f t="shared" si="15"/>
        <v>0.16662573587229701</v>
      </c>
      <c r="AA85" s="31"/>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c r="A86" s="89">
        <f t="shared" si="16"/>
        <v>50.673589083344737</v>
      </c>
      <c r="B86" s="71">
        <f t="shared" si="17"/>
        <v>-6.4266835469852737</v>
      </c>
      <c r="C86" s="1" t="s">
        <v>33</v>
      </c>
      <c r="D86" t="s">
        <v>758</v>
      </c>
      <c r="E86" s="37">
        <f>VLOOKUP($C86,$C$33:$Y$36,E$31,FALSE)*$C$42*$A86/8760/1000*INDEX('Bulb Weighting'!$B$2:$C$17,MATCH(RIGHT('SC-New'!$D86,LEN($D86)-7),'Bulb Weighting'!$B$3:$B$17,0)+1,2)</f>
        <v>0</v>
      </c>
      <c r="F86" s="37">
        <f>VLOOKUP($C86,$C$33:$Y$36,F$31,FALSE)*$C$42*$A86/8760/1000*INDEX('Bulb Weighting'!$B$2:$C$17,MATCH(RIGHT('SC-New'!$D86,LEN($D86)-7),'Bulb Weighting'!$B$3:$B$17,0)+1,2)</f>
        <v>4.1137936281983343E-5</v>
      </c>
      <c r="G86" s="37">
        <f>VLOOKUP($C86,$C$33:$Y$36,G$31,FALSE)*$C$42*$A86/8760/1000*INDEX('Bulb Weighting'!$B$2:$C$17,MATCH(RIGHT('SC-New'!$D86,LEN($D86)-7),'Bulb Weighting'!$B$3:$B$17,0)+1,2)</f>
        <v>5.318933792758531E-5</v>
      </c>
      <c r="H86" s="37">
        <f>VLOOKUP($C86,$C$33:$Y$36,H$31,FALSE)*$C$42*$A86/8760/1000*INDEX('Bulb Weighting'!$B$2:$C$17,MATCH(RIGHT('SC-New'!$D86,LEN($D86)-7),'Bulb Weighting'!$B$3:$B$17,0)+1,2)</f>
        <v>5.9006207233521281E-5</v>
      </c>
      <c r="I86" s="37">
        <f>VLOOKUP($C86,$C$33:$Y$36,I$31,FALSE)*$C$42*$A86/8760/1000*INDEX('Bulb Weighting'!$B$2:$C$17,MATCH(RIGHT('SC-New'!$D86,LEN($D86)-7),'Bulb Weighting'!$B$3:$B$17,0)+1,2)</f>
        <v>6.1583913430774835E-5</v>
      </c>
      <c r="J86" s="37">
        <f>VLOOKUP($C86,$C$33:$Y$36,J$31,FALSE)*$C$42*$A86/8760/1000*INDEX('Bulb Weighting'!$B$2:$C$17,MATCH(RIGHT('SC-New'!$D86,LEN($D86)-7),'Bulb Weighting'!$B$3:$B$17,0)+1,2)</f>
        <v>6.6225157176637493E-5</v>
      </c>
      <c r="K86" s="37">
        <f>VLOOKUP($C86,$C$33:$Y$36,K$31,FALSE)*$C$42*$A86/8760/1000*INDEX('Bulb Weighting'!$B$2:$C$17,MATCH(RIGHT('SC-New'!$D86,LEN($D86)-7),'Bulb Weighting'!$B$3:$B$17,0)+1,2)</f>
        <v>7.0893047119978628E-5</v>
      </c>
      <c r="L86" s="37">
        <f>VLOOKUP($C86,$C$33:$Y$36,L$31,FALSE)*$C$42*$A86/8760/1000*INDEX('Bulb Weighting'!$B$2:$C$17,MATCH(RIGHT('SC-New'!$D86,LEN($D86)-7),'Bulb Weighting'!$B$3:$B$17,0)+1,2)</f>
        <v>7.7557180276227529E-5</v>
      </c>
      <c r="M86" s="37">
        <f>VLOOKUP($C86,$C$33:$Y$36,M$31,FALSE)*$C$42*$A86/8760/1000*INDEX('Bulb Weighting'!$B$2:$C$17,MATCH(RIGHT('SC-New'!$D86,LEN($D86)-7),'Bulb Weighting'!$B$3:$B$17,0)+1,2)</f>
        <v>8.2702768712847332E-5</v>
      </c>
      <c r="N86" s="37">
        <f>VLOOKUP($C86,$C$33:$Y$36,N$31,FALSE)*$C$42*$A86/8760/1000*INDEX('Bulb Weighting'!$B$2:$C$17,MATCH(RIGHT('SC-New'!$D86,LEN($D86)-7),'Bulb Weighting'!$B$3:$B$17,0)+1,2)</f>
        <v>8.8230032100703498E-5</v>
      </c>
      <c r="O86" s="37">
        <f>VLOOKUP($C86,$C$33:$Y$36,O$31,FALSE)*$C$42*$A86/8760/1000*INDEX('Bulb Weighting'!$B$2:$C$17,MATCH(RIGHT('SC-New'!$D86,LEN($D86)-7),'Bulb Weighting'!$B$3:$B$17,0)+1,2)</f>
        <v>9.0253938486977819E-5</v>
      </c>
      <c r="P86" s="37">
        <f>VLOOKUP($C86,$C$33:$Y$36,P$31,FALSE)*$C$42*$A86/8760/1000*INDEX('Bulb Weighting'!$B$2:$C$17,MATCH(RIGHT('SC-New'!$D86,LEN($D86)-7),'Bulb Weighting'!$B$3:$B$17,0)+1,2)</f>
        <v>9.2220504348161143E-5</v>
      </c>
      <c r="Q86" s="37">
        <f>VLOOKUP($C86,$C$33:$Y$36,Q$31,FALSE)*$C$42*$A86/8760/1000*INDEX('Bulb Weighting'!$B$2:$C$17,MATCH(RIGHT('SC-New'!$D86,LEN($D86)-7),'Bulb Weighting'!$B$3:$B$17,0)+1,2)</f>
        <v>9.320787067233599E-5</v>
      </c>
      <c r="R86" s="37">
        <f>VLOOKUP($C86,$C$33:$Y$36,R$31,FALSE)*$C$42*$A86/8760/1000*INDEX('Bulb Weighting'!$B$2:$C$17,MATCH(RIGHT('SC-New'!$D86,LEN($D86)-7),'Bulb Weighting'!$B$3:$B$17,0)+1,2)</f>
        <v>9.4185935681298088E-5</v>
      </c>
      <c r="S86" s="37">
        <f>VLOOKUP($C86,$C$33:$Y$36,S$31,FALSE)*$C$42*$A86/8760/1000*INDEX('Bulb Weighting'!$B$2:$C$17,MATCH(RIGHT('SC-New'!$D86,LEN($D86)-7),'Bulb Weighting'!$B$3:$B$17,0)+1,2)</f>
        <v>9.4476142892892514E-5</v>
      </c>
      <c r="T86" s="37">
        <f>VLOOKUP($C86,$C$33:$Y$36,T$31,FALSE)*$C$42*$A86/8760/1000*INDEX('Bulb Weighting'!$B$2:$C$17,MATCH(RIGHT('SC-New'!$D86,LEN($D86)-7),'Bulb Weighting'!$B$3:$B$17,0)+1,2)</f>
        <v>9.3226426842123473E-5</v>
      </c>
      <c r="U86" s="37">
        <f>VLOOKUP($C86,$C$33:$Y$36,U$31,FALSE)*$C$42*$A86/8760/1000*INDEX('Bulb Weighting'!$B$2:$C$17,MATCH(RIGHT('SC-New'!$D86,LEN($D86)-7),'Bulb Weighting'!$B$3:$B$17,0)+1,2)</f>
        <v>9.232094356522599E-5</v>
      </c>
      <c r="V86" s="37">
        <f>VLOOKUP($C86,$C$33:$Y$36,V$31,FALSE)*$C$42*$A86/8760/1000*INDEX('Bulb Weighting'!$B$2:$C$17,MATCH(RIGHT('SC-New'!$D86,LEN($D86)-7),'Bulb Weighting'!$B$3:$B$17,0)+1,2)</f>
        <v>9.0631311795339703E-5</v>
      </c>
      <c r="W86" s="37">
        <f>VLOOKUP($C86,$C$33:$Y$36,W$31,FALSE)*$C$42*$A86/8760/1000*INDEX('Bulb Weighting'!$B$2:$C$17,MATCH(RIGHT('SC-New'!$D86,LEN($D86)-7),'Bulb Weighting'!$B$3:$B$17,0)+1,2)</f>
        <v>9.0624212871041369E-5</v>
      </c>
      <c r="X86" s="37">
        <f>VLOOKUP($C86,$C$33:$Y$36,X$31,FALSE)*$C$42*$A86/8760/1000*INDEX('Bulb Weighting'!$B$2:$C$17,MATCH(RIGHT('SC-New'!$D86,LEN($D86)-7),'Bulb Weighting'!$B$3:$B$17,0)+1,2)</f>
        <v>9.0474022977818637E-5</v>
      </c>
      <c r="Y86" s="37">
        <f t="shared" si="15"/>
        <v>1.5221468903934741E-3</v>
      </c>
      <c r="AA86" s="31"/>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c r="A87" s="89">
        <f t="shared" si="16"/>
        <v>54.583633546821666</v>
      </c>
      <c r="B87" s="71">
        <f t="shared" si="17"/>
        <v>-12.334283459818346</v>
      </c>
      <c r="C87" s="1" t="s">
        <v>33</v>
      </c>
      <c r="D87" t="s">
        <v>759</v>
      </c>
      <c r="E87" s="37">
        <f>VLOOKUP($C87,$C$33:$Y$36,E$31,FALSE)*$C$42*$A87/8760/1000*INDEX('Bulb Weighting'!$B$2:$C$17,MATCH(RIGHT('SC-New'!$D87,LEN($D87)-7),'Bulb Weighting'!$B$3:$B$17,0)+1,2)</f>
        <v>0</v>
      </c>
      <c r="F87" s="37">
        <f>VLOOKUP($C87,$C$33:$Y$36,F$31,FALSE)*$C$42*$A87/8760/1000*INDEX('Bulb Weighting'!$B$2:$C$17,MATCH(RIGHT('SC-New'!$D87,LEN($D87)-7),'Bulb Weighting'!$B$3:$B$17,0)+1,2)</f>
        <v>5.4696408739998985E-4</v>
      </c>
      <c r="G87" s="37">
        <f>VLOOKUP($C87,$C$33:$Y$36,G$31,FALSE)*$C$42*$A87/8760/1000*INDEX('Bulb Weighting'!$B$2:$C$17,MATCH(RIGHT('SC-New'!$D87,LEN($D87)-7),'Bulb Weighting'!$B$3:$B$17,0)+1,2)</f>
        <v>7.0719779134163091E-4</v>
      </c>
      <c r="H87" s="37">
        <f>VLOOKUP($C87,$C$33:$Y$36,H$31,FALSE)*$C$42*$A87/8760/1000*INDEX('Bulb Weighting'!$B$2:$C$17,MATCH(RIGHT('SC-New'!$D87,LEN($D87)-7),'Bulb Weighting'!$B$3:$B$17,0)+1,2)</f>
        <v>7.8453804948286625E-4</v>
      </c>
      <c r="I87" s="37">
        <f>VLOOKUP($C87,$C$33:$Y$36,I$31,FALSE)*$C$42*$A87/8760/1000*INDEX('Bulb Weighting'!$B$2:$C$17,MATCH(RIGHT('SC-New'!$D87,LEN($D87)-7),'Bulb Weighting'!$B$3:$B$17,0)+1,2)</f>
        <v>8.1881086054712857E-4</v>
      </c>
      <c r="J87" s="37">
        <f>VLOOKUP($C87,$C$33:$Y$36,J$31,FALSE)*$C$42*$A87/8760/1000*INDEX('Bulb Weighting'!$B$2:$C$17,MATCH(RIGHT('SC-New'!$D87,LEN($D87)-7),'Bulb Weighting'!$B$3:$B$17,0)+1,2)</f>
        <v>8.805201702328573E-4</v>
      </c>
      <c r="K87" s="37">
        <f>VLOOKUP($C87,$C$33:$Y$36,K$31,FALSE)*$C$42*$A87/8760/1000*INDEX('Bulb Weighting'!$B$2:$C$17,MATCH(RIGHT('SC-New'!$D87,LEN($D87)-7),'Bulb Weighting'!$B$3:$B$17,0)+1,2)</f>
        <v>9.42583763929981E-4</v>
      </c>
      <c r="L87" s="37">
        <f>VLOOKUP($C87,$C$33:$Y$36,L$31,FALSE)*$C$42*$A87/8760/1000*INDEX('Bulb Weighting'!$B$2:$C$17,MATCH(RIGHT('SC-New'!$D87,LEN($D87)-7),'Bulb Weighting'!$B$3:$B$17,0)+1,2)</f>
        <v>1.0311891204343629E-3</v>
      </c>
      <c r="M87" s="37">
        <f>VLOOKUP($C87,$C$33:$Y$36,M$31,FALSE)*$C$42*$A87/8760/1000*INDEX('Bulb Weighting'!$B$2:$C$17,MATCH(RIGHT('SC-New'!$D87,LEN($D87)-7),'Bulb Weighting'!$B$3:$B$17,0)+1,2)</f>
        <v>1.0996041246309712E-3</v>
      </c>
      <c r="N87" s="37">
        <f>VLOOKUP($C87,$C$33:$Y$36,N$31,FALSE)*$C$42*$A87/8760/1000*INDEX('Bulb Weighting'!$B$2:$C$17,MATCH(RIGHT('SC-New'!$D87,LEN($D87)-7),'Bulb Weighting'!$B$3:$B$17,0)+1,2)</f>
        <v>1.1730938241150495E-3</v>
      </c>
      <c r="O87" s="37">
        <f>VLOOKUP($C87,$C$33:$Y$36,O$31,FALSE)*$C$42*$A87/8760/1000*INDEX('Bulb Weighting'!$B$2:$C$17,MATCH(RIGHT('SC-New'!$D87,LEN($D87)-7),'Bulb Weighting'!$B$3:$B$17,0)+1,2)</f>
        <v>1.2000033924989251E-3</v>
      </c>
      <c r="P87" s="37">
        <f>VLOOKUP($C87,$C$33:$Y$36,P$31,FALSE)*$C$42*$A87/8760/1000*INDEX('Bulb Weighting'!$B$2:$C$17,MATCH(RIGHT('SC-New'!$D87,LEN($D87)-7),'Bulb Weighting'!$B$3:$B$17,0)+1,2)</f>
        <v>1.2261505695036498E-3</v>
      </c>
      <c r="Q87" s="37">
        <f>VLOOKUP($C87,$C$33:$Y$36,Q$31,FALSE)*$C$42*$A87/8760/1000*INDEX('Bulb Weighting'!$B$2:$C$17,MATCH(RIGHT('SC-New'!$D87,LEN($D87)-7),'Bulb Weighting'!$B$3:$B$17,0)+1,2)</f>
        <v>1.2392784502201239E-3</v>
      </c>
      <c r="R87" s="37">
        <f>VLOOKUP($C87,$C$33:$Y$36,R$31,FALSE)*$C$42*$A87/8760/1000*INDEX('Bulb Weighting'!$B$2:$C$17,MATCH(RIGHT('SC-New'!$D87,LEN($D87)-7),'Bulb Weighting'!$B$3:$B$17,0)+1,2)</f>
        <v>1.2522826619865539E-3</v>
      </c>
      <c r="S87" s="37">
        <f>VLOOKUP($C87,$C$33:$Y$36,S$31,FALSE)*$C$42*$A87/8760/1000*INDEX('Bulb Weighting'!$B$2:$C$17,MATCH(RIGHT('SC-New'!$D87,LEN($D87)-7),'Bulb Weighting'!$B$3:$B$17,0)+1,2)</f>
        <v>1.2561412153558481E-3</v>
      </c>
      <c r="T87" s="37">
        <f>VLOOKUP($C87,$C$33:$Y$36,T$31,FALSE)*$C$42*$A87/8760/1000*INDEX('Bulb Weighting'!$B$2:$C$17,MATCH(RIGHT('SC-New'!$D87,LEN($D87)-7),'Bulb Weighting'!$B$3:$B$17,0)+1,2)</f>
        <v>1.239525170386247E-3</v>
      </c>
      <c r="U87" s="37">
        <f>VLOOKUP($C87,$C$33:$Y$36,U$31,FALSE)*$C$42*$A87/8760/1000*INDEX('Bulb Weighting'!$B$2:$C$17,MATCH(RIGHT('SC-New'!$D87,LEN($D87)-7),'Bulb Weighting'!$B$3:$B$17,0)+1,2)</f>
        <v>1.2274859948960297E-3</v>
      </c>
      <c r="V87" s="37">
        <f>VLOOKUP($C87,$C$33:$Y$36,V$31,FALSE)*$C$42*$A87/8760/1000*INDEX('Bulb Weighting'!$B$2:$C$17,MATCH(RIGHT('SC-New'!$D87,LEN($D87)-7),'Bulb Weighting'!$B$3:$B$17,0)+1,2)</f>
        <v>1.2050208937610797E-3</v>
      </c>
      <c r="W87" s="37">
        <f>VLOOKUP($C87,$C$33:$Y$36,W$31,FALSE)*$C$42*$A87/8760/1000*INDEX('Bulb Weighting'!$B$2:$C$17,MATCH(RIGHT('SC-New'!$D87,LEN($D87)-7),'Bulb Weighting'!$B$3:$B$17,0)+1,2)</f>
        <v>1.2049265074840494E-3</v>
      </c>
      <c r="X87" s="37">
        <f>VLOOKUP($C87,$C$33:$Y$36,X$31,FALSE)*$C$42*$A87/8760/1000*INDEX('Bulb Weighting'!$B$2:$C$17,MATCH(RIGHT('SC-New'!$D87,LEN($D87)-7),'Bulb Weighting'!$B$3:$B$17,0)+1,2)</f>
        <v>1.2029296042529252E-3</v>
      </c>
      <c r="Y87" s="37">
        <f t="shared" si="15"/>
        <v>2.0238246252460269E-2</v>
      </c>
      <c r="AA87" s="31"/>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c r="A88" s="89">
        <f t="shared" si="16"/>
        <v>48.844129164687544</v>
      </c>
      <c r="B88" s="71">
        <f t="shared" si="17"/>
        <v>-29.993229849727555</v>
      </c>
      <c r="C88" s="1" t="s">
        <v>33</v>
      </c>
      <c r="D88" t="s">
        <v>760</v>
      </c>
      <c r="E88" s="37">
        <f>VLOOKUP($C88,$C$33:$Y$36,E$31,FALSE)*$C$42*$A88/8760/1000*INDEX('Bulb Weighting'!$B$2:$C$17,MATCH(RIGHT('SC-New'!$D88,LEN($D88)-7),'Bulb Weighting'!$B$3:$B$17,0)+1,2)</f>
        <v>0</v>
      </c>
      <c r="F88" s="37">
        <f>VLOOKUP($C88,$C$33:$Y$36,F$31,FALSE)*$C$42*$A88/8760/1000*INDEX('Bulb Weighting'!$B$2:$C$17,MATCH(RIGHT('SC-New'!$D88,LEN($D88)-7),'Bulb Weighting'!$B$3:$B$17,0)+1,2)</f>
        <v>1.892652337877457E-3</v>
      </c>
      <c r="G88" s="37">
        <f>VLOOKUP($C88,$C$33:$Y$36,G$31,FALSE)*$C$42*$A88/8760/1000*INDEX('Bulb Weighting'!$B$2:$C$17,MATCH(RIGHT('SC-New'!$D88,LEN($D88)-7),'Bulb Weighting'!$B$3:$B$17,0)+1,2)</f>
        <v>2.4471068283239846E-3</v>
      </c>
      <c r="H88" s="37">
        <f>VLOOKUP($C88,$C$33:$Y$36,H$31,FALSE)*$C$42*$A88/8760/1000*INDEX('Bulb Weighting'!$B$2:$C$17,MATCH(RIGHT('SC-New'!$D88,LEN($D88)-7),'Bulb Weighting'!$B$3:$B$17,0)+1,2)</f>
        <v>2.7147262639598199E-3</v>
      </c>
      <c r="I88" s="37">
        <f>VLOOKUP($C88,$C$33:$Y$36,I$31,FALSE)*$C$42*$A88/8760/1000*INDEX('Bulb Weighting'!$B$2:$C$17,MATCH(RIGHT('SC-New'!$D88,LEN($D88)-7),'Bulb Weighting'!$B$3:$B$17,0)+1,2)</f>
        <v>2.8333200025263748E-3</v>
      </c>
      <c r="J88" s="37">
        <f>VLOOKUP($C88,$C$33:$Y$36,J$31,FALSE)*$C$42*$A88/8760/1000*INDEX('Bulb Weighting'!$B$2:$C$17,MATCH(RIGHT('SC-New'!$D88,LEN($D88)-7),'Bulb Weighting'!$B$3:$B$17,0)+1,2)</f>
        <v>3.0468518813754663E-3</v>
      </c>
      <c r="K88" s="37">
        <f>VLOOKUP($C88,$C$33:$Y$36,K$31,FALSE)*$C$42*$A88/8760/1000*INDEX('Bulb Weighting'!$B$2:$C$17,MATCH(RIGHT('SC-New'!$D88,LEN($D88)-7),'Bulb Weighting'!$B$3:$B$17,0)+1,2)</f>
        <v>3.2616096843352724E-3</v>
      </c>
      <c r="L88" s="37">
        <f>VLOOKUP($C88,$C$33:$Y$36,L$31,FALSE)*$C$42*$A88/8760/1000*INDEX('Bulb Weighting'!$B$2:$C$17,MATCH(RIGHT('SC-New'!$D88,LEN($D88)-7),'Bulb Weighting'!$B$3:$B$17,0)+1,2)</f>
        <v>3.5682095854981579E-3</v>
      </c>
      <c r="M88" s="37">
        <f>VLOOKUP($C88,$C$33:$Y$36,M$31,FALSE)*$C$42*$A88/8760/1000*INDEX('Bulb Weighting'!$B$2:$C$17,MATCH(RIGHT('SC-New'!$D88,LEN($D88)-7),'Bulb Weighting'!$B$3:$B$17,0)+1,2)</f>
        <v>3.8049450871910045E-3</v>
      </c>
      <c r="N88" s="37">
        <f>VLOOKUP($C88,$C$33:$Y$36,N$31,FALSE)*$C$42*$A88/8760/1000*INDEX('Bulb Weighting'!$B$2:$C$17,MATCH(RIGHT('SC-New'!$D88,LEN($D88)-7),'Bulb Weighting'!$B$3:$B$17,0)+1,2)</f>
        <v>4.0592404874605602E-3</v>
      </c>
      <c r="O88" s="37">
        <f>VLOOKUP($C88,$C$33:$Y$36,O$31,FALSE)*$C$42*$A88/8760/1000*INDEX('Bulb Weighting'!$B$2:$C$17,MATCH(RIGHT('SC-New'!$D88,LEN($D88)-7),'Bulb Weighting'!$B$3:$B$17,0)+1,2)</f>
        <v>4.1523552982612386E-3</v>
      </c>
      <c r="P88" s="37">
        <f>VLOOKUP($C88,$C$33:$Y$36,P$31,FALSE)*$C$42*$A88/8760/1000*INDEX('Bulb Weighting'!$B$2:$C$17,MATCH(RIGHT('SC-New'!$D88,LEN($D88)-7),'Bulb Weighting'!$B$3:$B$17,0)+1,2)</f>
        <v>4.2428320166178826E-3</v>
      </c>
      <c r="Q88" s="37">
        <f>VLOOKUP($C88,$C$33:$Y$36,Q$31,FALSE)*$C$42*$A88/8760/1000*INDEX('Bulb Weighting'!$B$2:$C$17,MATCH(RIGHT('SC-New'!$D88,LEN($D88)-7),'Bulb Weighting'!$B$3:$B$17,0)+1,2)</f>
        <v>4.2882582424008586E-3</v>
      </c>
      <c r="R88" s="37">
        <f>VLOOKUP($C88,$C$33:$Y$36,R$31,FALSE)*$C$42*$A88/8760/1000*INDEX('Bulb Weighting'!$B$2:$C$17,MATCH(RIGHT('SC-New'!$D88,LEN($D88)-7),'Bulb Weighting'!$B$3:$B$17,0)+1,2)</f>
        <v>4.3332565382103389E-3</v>
      </c>
      <c r="S88" s="37">
        <f>VLOOKUP($C88,$C$33:$Y$36,S$31,FALSE)*$C$42*$A88/8760/1000*INDEX('Bulb Weighting'!$B$2:$C$17,MATCH(RIGHT('SC-New'!$D88,LEN($D88)-7),'Bulb Weighting'!$B$3:$B$17,0)+1,2)</f>
        <v>4.3466082375694928E-3</v>
      </c>
      <c r="T88" s="37">
        <f>VLOOKUP($C88,$C$33:$Y$36,T$31,FALSE)*$C$42*$A88/8760/1000*INDEX('Bulb Weighting'!$B$2:$C$17,MATCH(RIGHT('SC-New'!$D88,LEN($D88)-7),'Bulb Weighting'!$B$3:$B$17,0)+1,2)</f>
        <v>4.2891119648114711E-3</v>
      </c>
      <c r="U88" s="37">
        <f>VLOOKUP($C88,$C$33:$Y$36,U$31,FALSE)*$C$42*$A88/8760/1000*INDEX('Bulb Weighting'!$B$2:$C$17,MATCH(RIGHT('SC-New'!$D88,LEN($D88)-7),'Bulb Weighting'!$B$3:$B$17,0)+1,2)</f>
        <v>4.247452970806964E-3</v>
      </c>
      <c r="V88" s="37">
        <f>VLOOKUP($C88,$C$33:$Y$36,V$31,FALSE)*$C$42*$A88/8760/1000*INDEX('Bulb Weighting'!$B$2:$C$17,MATCH(RIGHT('SC-New'!$D88,LEN($D88)-7),'Bulb Weighting'!$B$3:$B$17,0)+1,2)</f>
        <v>4.1697172891357413E-3</v>
      </c>
      <c r="W88" s="37">
        <f>VLOOKUP($C88,$C$33:$Y$36,W$31,FALSE)*$C$42*$A88/8760/1000*INDEX('Bulb Weighting'!$B$2:$C$17,MATCH(RIGHT('SC-New'!$D88,LEN($D88)-7),'Bulb Weighting'!$B$3:$B$17,0)+1,2)</f>
        <v>4.1693906855944851E-3</v>
      </c>
      <c r="X88" s="37">
        <f>VLOOKUP($C88,$C$33:$Y$36,X$31,FALSE)*$C$42*$A88/8760/1000*INDEX('Bulb Weighting'!$B$2:$C$17,MATCH(RIGHT('SC-New'!$D88,LEN($D88)-7),'Bulb Weighting'!$B$3:$B$17,0)+1,2)</f>
        <v>4.1624808287026591E-3</v>
      </c>
      <c r="Y88" s="37">
        <f t="shared" si="15"/>
        <v>7.0030126230659226E-2</v>
      </c>
      <c r="AA88" s="31">
        <f t="shared" ref="AA88" si="18">SUM(E88:Y88)</f>
        <v>0.14006025246131845</v>
      </c>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c r="A89" s="89">
        <f t="shared" si="16"/>
        <v>20.131003317263307</v>
      </c>
      <c r="B89" s="71">
        <f t="shared" si="17"/>
        <v>-21.262756278752239</v>
      </c>
      <c r="C89" s="1" t="str">
        <f>C16</f>
        <v>Manufactured</v>
      </c>
      <c r="D89" t="s">
        <v>746</v>
      </c>
      <c r="E89" s="37">
        <f>VLOOKUP($C89,$C$33:$Y$36,E$31,FALSE)*$C$42*$A89/8760/1000*INDEX('Bulb Weighting'!$B$2:$C$17,MATCH(RIGHT('SC-New'!$D89,LEN($D89)-7),'Bulb Weighting'!$B$3:$B$17,0)+1,2)</f>
        <v>0</v>
      </c>
      <c r="F89" s="37">
        <f>VLOOKUP($C89,$C$33:$Y$36,F$31,FALSE)*$C$42*$A89/8760/1000*INDEX('Bulb Weighting'!$B$2:$C$17,MATCH(RIGHT('SC-New'!$D89,LEN($D89)-7),'Bulb Weighting'!$B$3:$B$17,0)+1,2)</f>
        <v>3.8686479659470674E-3</v>
      </c>
      <c r="G89" s="37">
        <f>VLOOKUP($C89,$C$33:$Y$36,G$31,FALSE)*$C$42*$A89/8760/1000*INDEX('Bulb Weighting'!$B$2:$C$17,MATCH(RIGHT('SC-New'!$D89,LEN($D89)-7),'Bulb Weighting'!$B$3:$B$17,0)+1,2)</f>
        <v>5.1501899307678589E-3</v>
      </c>
      <c r="H89" s="37">
        <f>VLOOKUP($C89,$C$33:$Y$36,H$31,FALSE)*$C$42*$A89/8760/1000*INDEX('Bulb Weighting'!$B$2:$C$17,MATCH(RIGHT('SC-New'!$D89,LEN($D89)-7),'Bulb Weighting'!$B$3:$B$17,0)+1,2)</f>
        <v>6.2637667650083618E-3</v>
      </c>
      <c r="I89" s="37">
        <f>VLOOKUP($C89,$C$33:$Y$36,I$31,FALSE)*$C$42*$A89/8760/1000*INDEX('Bulb Weighting'!$B$2:$C$17,MATCH(RIGHT('SC-New'!$D89,LEN($D89)-7),'Bulb Weighting'!$B$3:$B$17,0)+1,2)</f>
        <v>6.856732925505411E-3</v>
      </c>
      <c r="J89" s="37">
        <f>VLOOKUP($C89,$C$33:$Y$36,J$31,FALSE)*$C$42*$A89/8760/1000*INDEX('Bulb Weighting'!$B$2:$C$17,MATCH(RIGHT('SC-New'!$D89,LEN($D89)-7),'Bulb Weighting'!$B$3:$B$17,0)+1,2)</f>
        <v>7.4163413842745678E-3</v>
      </c>
      <c r="K89" s="37">
        <f>VLOOKUP($C89,$C$33:$Y$36,K$31,FALSE)*$C$42*$A89/8760/1000*INDEX('Bulb Weighting'!$B$2:$C$17,MATCH(RIGHT('SC-New'!$D89,LEN($D89)-7),'Bulb Weighting'!$B$3:$B$17,0)+1,2)</f>
        <v>8.0149244044237372E-3</v>
      </c>
      <c r="L89" s="37">
        <f>VLOOKUP($C89,$C$33:$Y$36,L$31,FALSE)*$C$42*$A89/8760/1000*INDEX('Bulb Weighting'!$B$2:$C$17,MATCH(RIGHT('SC-New'!$D89,LEN($D89)-7),'Bulb Weighting'!$B$3:$B$17,0)+1,2)</f>
        <v>8.5505000672454982E-3</v>
      </c>
      <c r="M89" s="37">
        <f>VLOOKUP($C89,$C$33:$Y$36,M$31,FALSE)*$C$42*$A89/8760/1000*INDEX('Bulb Weighting'!$B$2:$C$17,MATCH(RIGHT('SC-New'!$D89,LEN($D89)-7),'Bulb Weighting'!$B$3:$B$17,0)+1,2)</f>
        <v>9.0134698735838889E-3</v>
      </c>
      <c r="N89" s="37">
        <f>VLOOKUP($C89,$C$33:$Y$36,N$31,FALSE)*$C$42*$A89/8760/1000*INDEX('Bulb Weighting'!$B$2:$C$17,MATCH(RIGHT('SC-New'!$D89,LEN($D89)-7),'Bulb Weighting'!$B$3:$B$17,0)+1,2)</f>
        <v>9.3683210548295599E-3</v>
      </c>
      <c r="O89" s="37">
        <f>VLOOKUP($C89,$C$33:$Y$36,O$31,FALSE)*$C$42*$A89/8760/1000*INDEX('Bulb Weighting'!$B$2:$C$17,MATCH(RIGHT('SC-New'!$D89,LEN($D89)-7),'Bulb Weighting'!$B$3:$B$17,0)+1,2)</f>
        <v>9.6075202753995986E-3</v>
      </c>
      <c r="P89" s="37">
        <f>VLOOKUP($C89,$C$33:$Y$36,P$31,FALSE)*$C$42*$A89/8760/1000*INDEX('Bulb Weighting'!$B$2:$C$17,MATCH(RIGHT('SC-New'!$D89,LEN($D89)-7),'Bulb Weighting'!$B$3:$B$17,0)+1,2)</f>
        <v>9.8228472035151639E-3</v>
      </c>
      <c r="Q89" s="37">
        <f>VLOOKUP($C89,$C$33:$Y$36,Q$31,FALSE)*$C$42*$A89/8760/1000*INDEX('Bulb Weighting'!$B$2:$C$17,MATCH(RIGHT('SC-New'!$D89,LEN($D89)-7),'Bulb Weighting'!$B$3:$B$17,0)+1,2)</f>
        <v>1.0012624278577534E-2</v>
      </c>
      <c r="R89" s="37">
        <f>VLOOKUP($C89,$C$33:$Y$36,R$31,FALSE)*$C$42*$A89/8760/1000*INDEX('Bulb Weighting'!$B$2:$C$17,MATCH(RIGHT('SC-New'!$D89,LEN($D89)-7),'Bulb Weighting'!$B$3:$B$17,0)+1,2)</f>
        <v>1.0160804744815191E-2</v>
      </c>
      <c r="S89" s="37">
        <f>VLOOKUP($C89,$C$33:$Y$36,S$31,FALSE)*$C$42*$A89/8760/1000*INDEX('Bulb Weighting'!$B$2:$C$17,MATCH(RIGHT('SC-New'!$D89,LEN($D89)-7),'Bulb Weighting'!$B$3:$B$17,0)+1,2)</f>
        <v>1.0271263023118054E-2</v>
      </c>
      <c r="T89" s="37">
        <f>VLOOKUP($C89,$C$33:$Y$36,T$31,FALSE)*$C$42*$A89/8760/1000*INDEX('Bulb Weighting'!$B$2:$C$17,MATCH(RIGHT('SC-New'!$D89,LEN($D89)-7),'Bulb Weighting'!$B$3:$B$17,0)+1,2)</f>
        <v>1.0349340853191207E-2</v>
      </c>
      <c r="U89" s="37">
        <f>VLOOKUP($C89,$C$33:$Y$36,U$31,FALSE)*$C$42*$A89/8760/1000*INDEX('Bulb Weighting'!$B$2:$C$17,MATCH(RIGHT('SC-New'!$D89,LEN($D89)-7),'Bulb Weighting'!$B$3:$B$17,0)+1,2)</f>
        <v>1.04070027321309E-2</v>
      </c>
      <c r="V89" s="37">
        <f>VLOOKUP($C89,$C$33:$Y$36,V$31,FALSE)*$C$42*$A89/8760/1000*INDEX('Bulb Weighting'!$B$2:$C$17,MATCH(RIGHT('SC-New'!$D89,LEN($D89)-7),'Bulb Weighting'!$B$3:$B$17,0)+1,2)</f>
        <v>1.0458543084340252E-2</v>
      </c>
      <c r="W89" s="37">
        <f>VLOOKUP($C89,$C$33:$Y$36,W$31,FALSE)*$C$42*$A89/8760/1000*INDEX('Bulb Weighting'!$B$2:$C$17,MATCH(RIGHT('SC-New'!$D89,LEN($D89)-7),'Bulb Weighting'!$B$3:$B$17,0)+1,2)</f>
        <v>1.050097939099817E-2</v>
      </c>
      <c r="X89" s="37">
        <f>VLOOKUP($C89,$C$33:$Y$36,X$31,FALSE)*$C$42*$A89/8760/1000*INDEX('Bulb Weighting'!$B$2:$C$17,MATCH(RIGHT('SC-New'!$D89,LEN($D89)-7),'Bulb Weighting'!$B$3:$B$17,0)+1,2)</f>
        <v>1.05327978534551E-2</v>
      </c>
      <c r="Y89" s="37">
        <f t="shared" si="15"/>
        <v>0.16662661781112711</v>
      </c>
      <c r="AA89" s="31"/>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c r="A90" s="89">
        <f t="shared" si="16"/>
        <v>15.166068390464758</v>
      </c>
      <c r="B90" s="71">
        <f t="shared" si="17"/>
        <v>-19.792953526125213</v>
      </c>
      <c r="C90" s="1" t="s">
        <v>30</v>
      </c>
      <c r="D90" t="s">
        <v>747</v>
      </c>
      <c r="E90" s="37">
        <f>VLOOKUP($C90,$C$33:$Y$36,E$31,FALSE)*$C$42*$A90/8760/1000*INDEX('Bulb Weighting'!$B$2:$C$17,MATCH(RIGHT('SC-New'!$D90,LEN($D90)-7),'Bulb Weighting'!$B$3:$B$17,0)+1,2)</f>
        <v>0</v>
      </c>
      <c r="F90" s="37">
        <f>VLOOKUP($C90,$C$33:$Y$36,F$31,FALSE)*$C$42*$A90/8760/1000*INDEX('Bulb Weighting'!$B$2:$C$17,MATCH(RIGHT('SC-New'!$D90,LEN($D90)-7),'Bulb Weighting'!$B$3:$B$17,0)+1,2)</f>
        <v>7.9937179641570064E-4</v>
      </c>
      <c r="G90" s="37">
        <f>VLOOKUP($C90,$C$33:$Y$36,G$31,FALSE)*$C$42*$A90/8760/1000*INDEX('Bulb Weighting'!$B$2:$C$17,MATCH(RIGHT('SC-New'!$D90,LEN($D90)-7),'Bulb Weighting'!$B$3:$B$17,0)+1,2)</f>
        <v>1.0641745160268445E-3</v>
      </c>
      <c r="H90" s="37">
        <f>VLOOKUP($C90,$C$33:$Y$36,H$31,FALSE)*$C$42*$A90/8760/1000*INDEX('Bulb Weighting'!$B$2:$C$17,MATCH(RIGHT('SC-New'!$D90,LEN($D90)-7),'Bulb Weighting'!$B$3:$B$17,0)+1,2)</f>
        <v>1.2942709017071119E-3</v>
      </c>
      <c r="I90" s="37">
        <f>VLOOKUP($C90,$C$33:$Y$36,I$31,FALSE)*$C$42*$A90/8760/1000*INDEX('Bulb Weighting'!$B$2:$C$17,MATCH(RIGHT('SC-New'!$D90,LEN($D90)-7),'Bulb Weighting'!$B$3:$B$17,0)+1,2)</f>
        <v>1.4167944368290802E-3</v>
      </c>
      <c r="J90" s="37">
        <f>VLOOKUP($C90,$C$33:$Y$36,J$31,FALSE)*$C$42*$A90/8760/1000*INDEX('Bulb Weighting'!$B$2:$C$17,MATCH(RIGHT('SC-New'!$D90,LEN($D90)-7),'Bulb Weighting'!$B$3:$B$17,0)+1,2)</f>
        <v>1.5324253298214889E-3</v>
      </c>
      <c r="K90" s="37">
        <f>VLOOKUP($C90,$C$33:$Y$36,K$31,FALSE)*$C$42*$A90/8760/1000*INDEX('Bulb Weighting'!$B$2:$C$17,MATCH(RIGHT('SC-New'!$D90,LEN($D90)-7),'Bulb Weighting'!$B$3:$B$17,0)+1,2)</f>
        <v>1.656109466587714E-3</v>
      </c>
      <c r="L90" s="37">
        <f>VLOOKUP($C90,$C$33:$Y$36,L$31,FALSE)*$C$42*$A90/8760/1000*INDEX('Bulb Weighting'!$B$2:$C$17,MATCH(RIGHT('SC-New'!$D90,LEN($D90)-7),'Bulb Weighting'!$B$3:$B$17,0)+1,2)</f>
        <v>1.7667745060213427E-3</v>
      </c>
      <c r="M90" s="37">
        <f>VLOOKUP($C90,$C$33:$Y$36,M$31,FALSE)*$C$42*$A90/8760/1000*INDEX('Bulb Weighting'!$B$2:$C$17,MATCH(RIGHT('SC-New'!$D90,LEN($D90)-7),'Bulb Weighting'!$B$3:$B$17,0)+1,2)</f>
        <v>1.8624371274427131E-3</v>
      </c>
      <c r="N90" s="37">
        <f>VLOOKUP($C90,$C$33:$Y$36,N$31,FALSE)*$C$42*$A90/8760/1000*INDEX('Bulb Weighting'!$B$2:$C$17,MATCH(RIGHT('SC-New'!$D90,LEN($D90)-7),'Bulb Weighting'!$B$3:$B$17,0)+1,2)</f>
        <v>1.9357593911145242E-3</v>
      </c>
      <c r="O90" s="37">
        <f>VLOOKUP($C90,$C$33:$Y$36,O$31,FALSE)*$C$42*$A90/8760/1000*INDEX('Bulb Weighting'!$B$2:$C$17,MATCH(RIGHT('SC-New'!$D90,LEN($D90)-7),'Bulb Weighting'!$B$3:$B$17,0)+1,2)</f>
        <v>1.9851846974053484E-3</v>
      </c>
      <c r="P90" s="37">
        <f>VLOOKUP($C90,$C$33:$Y$36,P$31,FALSE)*$C$42*$A90/8760/1000*INDEX('Bulb Weighting'!$B$2:$C$17,MATCH(RIGHT('SC-New'!$D90,LEN($D90)-7),'Bulb Weighting'!$B$3:$B$17,0)+1,2)</f>
        <v>2.0296773146865062E-3</v>
      </c>
      <c r="Q90" s="37">
        <f>VLOOKUP($C90,$C$33:$Y$36,Q$31,FALSE)*$C$42*$A90/8760/1000*INDEX('Bulb Weighting'!$B$2:$C$17,MATCH(RIGHT('SC-New'!$D90,LEN($D90)-7),'Bulb Weighting'!$B$3:$B$17,0)+1,2)</f>
        <v>2.0688906116177472E-3</v>
      </c>
      <c r="R90" s="37">
        <f>VLOOKUP($C90,$C$33:$Y$36,R$31,FALSE)*$C$42*$A90/8760/1000*INDEX('Bulb Weighting'!$B$2:$C$17,MATCH(RIGHT('SC-New'!$D90,LEN($D90)-7),'Bulb Weighting'!$B$3:$B$17,0)+1,2)</f>
        <v>2.0995088758104974E-3</v>
      </c>
      <c r="S90" s="37">
        <f>VLOOKUP($C90,$C$33:$Y$36,S$31,FALSE)*$C$42*$A90/8760/1000*INDEX('Bulb Weighting'!$B$2:$C$17,MATCH(RIGHT('SC-New'!$D90,LEN($D90)-7),'Bulb Weighting'!$B$3:$B$17,0)+1,2)</f>
        <v>2.1223326719101072E-3</v>
      </c>
      <c r="T90" s="37">
        <f>VLOOKUP($C90,$C$33:$Y$36,T$31,FALSE)*$C$42*$A90/8760/1000*INDEX('Bulb Weighting'!$B$2:$C$17,MATCH(RIGHT('SC-New'!$D90,LEN($D90)-7),'Bulb Weighting'!$B$3:$B$17,0)+1,2)</f>
        <v>2.1384657540192038E-3</v>
      </c>
      <c r="U90" s="37">
        <f>VLOOKUP($C90,$C$33:$Y$36,U$31,FALSE)*$C$42*$A90/8760/1000*INDEX('Bulb Weighting'!$B$2:$C$17,MATCH(RIGHT('SC-New'!$D90,LEN($D90)-7),'Bulb Weighting'!$B$3:$B$17,0)+1,2)</f>
        <v>2.1503803247318802E-3</v>
      </c>
      <c r="V90" s="37">
        <f>VLOOKUP($C90,$C$33:$Y$36,V$31,FALSE)*$C$42*$A90/8760/1000*INDEX('Bulb Weighting'!$B$2:$C$17,MATCH(RIGHT('SC-New'!$D90,LEN($D90)-7),'Bulb Weighting'!$B$3:$B$17,0)+1,2)</f>
        <v>2.1610300153463123E-3</v>
      </c>
      <c r="W90" s="37">
        <f>VLOOKUP($C90,$C$33:$Y$36,W$31,FALSE)*$C$42*$A90/8760/1000*INDEX('Bulb Weighting'!$B$2:$C$17,MATCH(RIGHT('SC-New'!$D90,LEN($D90)-7),'Bulb Weighting'!$B$3:$B$17,0)+1,2)</f>
        <v>2.1697985533433032E-3</v>
      </c>
      <c r="X90" s="37">
        <f>VLOOKUP($C90,$C$33:$Y$36,X$31,FALSE)*$C$42*$A90/8760/1000*INDEX('Bulb Weighting'!$B$2:$C$17,MATCH(RIGHT('SC-New'!$D90,LEN($D90)-7),'Bulb Weighting'!$B$3:$B$17,0)+1,2)</f>
        <v>2.1763731452206889E-3</v>
      </c>
      <c r="Y90" s="37">
        <f t="shared" si="15"/>
        <v>3.4429759436058117E-2</v>
      </c>
      <c r="AA90" s="31"/>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c r="A91" s="89">
        <f t="shared" si="16"/>
        <v>7.5107020440195642</v>
      </c>
      <c r="B91" s="71">
        <f t="shared" si="17"/>
        <v>253.66864707291808</v>
      </c>
      <c r="C91" s="1" t="s">
        <v>30</v>
      </c>
      <c r="D91" t="s">
        <v>748</v>
      </c>
      <c r="E91" s="37">
        <f>VLOOKUP($C91,$C$33:$Y$36,E$31,FALSE)*$C$42*$A91/8760/1000*INDEX('Bulb Weighting'!$B$2:$C$17,MATCH(RIGHT('SC-New'!$D91,LEN($D91)-7),'Bulb Weighting'!$B$3:$B$17,0)+1,2)</f>
        <v>0</v>
      </c>
      <c r="F91" s="37">
        <f>VLOOKUP($C91,$C$33:$Y$36,F$31,FALSE)*$C$42*$A91/8760/1000*INDEX('Bulb Weighting'!$B$2:$C$17,MATCH(RIGHT('SC-New'!$D91,LEN($D91)-7),'Bulb Weighting'!$B$3:$B$17,0)+1,2)</f>
        <v>7.7775180233552671E-6</v>
      </c>
      <c r="G91" s="37">
        <f>VLOOKUP($C91,$C$33:$Y$36,G$31,FALSE)*$C$42*$A91/8760/1000*INDEX('Bulb Weighting'!$B$2:$C$17,MATCH(RIGHT('SC-New'!$D91,LEN($D91)-7),'Bulb Weighting'!$B$3:$B$17,0)+1,2)</f>
        <v>1.0353926064824558E-5</v>
      </c>
      <c r="H91" s="37">
        <f>VLOOKUP($C91,$C$33:$Y$36,H$31,FALSE)*$C$42*$A91/8760/1000*INDEX('Bulb Weighting'!$B$2:$C$17,MATCH(RIGHT('SC-New'!$D91,LEN($D91)-7),'Bulb Weighting'!$B$3:$B$17,0)+1,2)</f>
        <v>1.2592657522153262E-5</v>
      </c>
      <c r="I91" s="37">
        <f>VLOOKUP($C91,$C$33:$Y$36,I$31,FALSE)*$C$42*$A91/8760/1000*INDEX('Bulb Weighting'!$B$2:$C$17,MATCH(RIGHT('SC-New'!$D91,LEN($D91)-7),'Bulb Weighting'!$B$3:$B$17,0)+1,2)</f>
        <v>1.3784754875311257E-5</v>
      </c>
      <c r="J91" s="37">
        <f>VLOOKUP($C91,$C$33:$Y$36,J$31,FALSE)*$C$42*$A91/8760/1000*INDEX('Bulb Weighting'!$B$2:$C$17,MATCH(RIGHT('SC-New'!$D91,LEN($D91)-7),'Bulb Weighting'!$B$3:$B$17,0)+1,2)</f>
        <v>1.4909790007070455E-5</v>
      </c>
      <c r="K91" s="37">
        <f>VLOOKUP($C91,$C$33:$Y$36,K$31,FALSE)*$C$42*$A91/8760/1000*INDEX('Bulb Weighting'!$B$2:$C$17,MATCH(RIGHT('SC-New'!$D91,LEN($D91)-7),'Bulb Weighting'!$B$3:$B$17,0)+1,2)</f>
        <v>1.6113179477671945E-5</v>
      </c>
      <c r="L91" s="37">
        <f>VLOOKUP($C91,$C$33:$Y$36,L$31,FALSE)*$C$42*$A91/8760/1000*INDEX('Bulb Weighting'!$B$2:$C$17,MATCH(RIGHT('SC-New'!$D91,LEN($D91)-7),'Bulb Weighting'!$B$3:$B$17,0)+1,2)</f>
        <v>1.7189899150056755E-5</v>
      </c>
      <c r="M91" s="37">
        <f>VLOOKUP($C91,$C$33:$Y$36,M$31,FALSE)*$C$42*$A91/8760/1000*INDEX('Bulb Weighting'!$B$2:$C$17,MATCH(RIGHT('SC-New'!$D91,LEN($D91)-7),'Bulb Weighting'!$B$3:$B$17,0)+1,2)</f>
        <v>1.8120652230916272E-5</v>
      </c>
      <c r="N91" s="37">
        <f>VLOOKUP($C91,$C$33:$Y$36,N$31,FALSE)*$C$42*$A91/8760/1000*INDEX('Bulb Weighting'!$B$2:$C$17,MATCH(RIGHT('SC-New'!$D91,LEN($D91)-7),'Bulb Weighting'!$B$3:$B$17,0)+1,2)</f>
        <v>1.8834043958992902E-5</v>
      </c>
      <c r="O91" s="37">
        <f>VLOOKUP($C91,$C$33:$Y$36,O$31,FALSE)*$C$42*$A91/8760/1000*INDEX('Bulb Weighting'!$B$2:$C$17,MATCH(RIGHT('SC-New'!$D91,LEN($D91)-7),'Bulb Weighting'!$B$3:$B$17,0)+1,2)</f>
        <v>1.9314929339500915E-5</v>
      </c>
      <c r="P91" s="37">
        <f>VLOOKUP($C91,$C$33:$Y$36,P$31,FALSE)*$C$42*$A91/8760/1000*INDEX('Bulb Weighting'!$B$2:$C$17,MATCH(RIGHT('SC-New'!$D91,LEN($D91)-7),'Bulb Weighting'!$B$3:$B$17,0)+1,2)</f>
        <v>1.9747821936365194E-5</v>
      </c>
      <c r="Q91" s="37">
        <f>VLOOKUP($C91,$C$33:$Y$36,Q$31,FALSE)*$C$42*$A91/8760/1000*INDEX('Bulb Weighting'!$B$2:$C$17,MATCH(RIGHT('SC-New'!$D91,LEN($D91)-7),'Bulb Weighting'!$B$3:$B$17,0)+1,2)</f>
        <v>2.0129349186895443E-5</v>
      </c>
      <c r="R91" s="37">
        <f>VLOOKUP($C91,$C$33:$Y$36,R$31,FALSE)*$C$42*$A91/8760/1000*INDEX('Bulb Weighting'!$B$2:$C$17,MATCH(RIGHT('SC-New'!$D91,LEN($D91)-7),'Bulb Weighting'!$B$3:$B$17,0)+1,2)</f>
        <v>2.0427250742430345E-5</v>
      </c>
      <c r="S91" s="37">
        <f>VLOOKUP($C91,$C$33:$Y$36,S$31,FALSE)*$C$42*$A91/8760/1000*INDEX('Bulb Weighting'!$B$2:$C$17,MATCH(RIGHT('SC-New'!$D91,LEN($D91)-7),'Bulb Weighting'!$B$3:$B$17,0)+1,2)</f>
        <v>2.064931572686193E-5</v>
      </c>
      <c r="T91" s="37">
        <f>VLOOKUP($C91,$C$33:$Y$36,T$31,FALSE)*$C$42*$A91/8760/1000*INDEX('Bulb Weighting'!$B$2:$C$17,MATCH(RIGHT('SC-New'!$D91,LEN($D91)-7),'Bulb Weighting'!$B$3:$B$17,0)+1,2)</f>
        <v>2.0806283157334694E-5</v>
      </c>
      <c r="U91" s="37">
        <f>VLOOKUP($C91,$C$33:$Y$36,U$31,FALSE)*$C$42*$A91/8760/1000*INDEX('Bulb Weighting'!$B$2:$C$17,MATCH(RIGHT('SC-New'!$D91,LEN($D91)-7),'Bulb Weighting'!$B$3:$B$17,0)+1,2)</f>
        <v>2.0922206422170766E-5</v>
      </c>
      <c r="V91" s="37">
        <f>VLOOKUP($C91,$C$33:$Y$36,V$31,FALSE)*$C$42*$A91/8760/1000*INDEX('Bulb Weighting'!$B$2:$C$17,MATCH(RIGHT('SC-New'!$D91,LEN($D91)-7),'Bulb Weighting'!$B$3:$B$17,0)+1,2)</f>
        <v>2.1025822988414775E-5</v>
      </c>
      <c r="W91" s="37">
        <f>VLOOKUP($C91,$C$33:$Y$36,W$31,FALSE)*$C$42*$A91/8760/1000*INDEX('Bulb Weighting'!$B$2:$C$17,MATCH(RIGHT('SC-New'!$D91,LEN($D91)-7),'Bulb Weighting'!$B$3:$B$17,0)+1,2)</f>
        <v>2.1111136809362506E-5</v>
      </c>
      <c r="X91" s="37">
        <f>VLOOKUP($C91,$C$33:$Y$36,X$31,FALSE)*$C$42*$A91/8760/1000*INDEX('Bulb Weighting'!$B$2:$C$17,MATCH(RIGHT('SC-New'!$D91,LEN($D91)-7),'Bulb Weighting'!$B$3:$B$17,0)+1,2)</f>
        <v>2.1175104548844747E-5</v>
      </c>
      <c r="Y91" s="37">
        <f t="shared" si="15"/>
        <v>3.3498564216853389E-4</v>
      </c>
      <c r="AA91" s="3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c r="A92" s="89">
        <f t="shared" si="16"/>
        <v>1.9210010172979759</v>
      </c>
      <c r="B92" s="71">
        <f t="shared" si="17"/>
        <v>19.879331870717266</v>
      </c>
      <c r="C92" s="1" t="s">
        <v>30</v>
      </c>
      <c r="D92" t="s">
        <v>749</v>
      </c>
      <c r="E92" s="37">
        <f>VLOOKUP($C92,$C$33:$Y$36,E$31,FALSE)*$C$42*$A92/8760/1000*INDEX('Bulb Weighting'!$B$2:$C$17,MATCH(RIGHT('SC-New'!$D92,LEN($D92)-7),'Bulb Weighting'!$B$3:$B$17,0)+1,2)</f>
        <v>0</v>
      </c>
      <c r="F92" s="37">
        <f>VLOOKUP($C92,$C$33:$Y$36,F$31,FALSE)*$C$42*$A92/8760/1000*INDEX('Bulb Weighting'!$B$2:$C$17,MATCH(RIGHT('SC-New'!$D92,LEN($D92)-7),'Bulb Weighting'!$B$3:$B$17,0)+1,2)</f>
        <v>3.0827156704546575E-4</v>
      </c>
      <c r="G92" s="37">
        <f>VLOOKUP($C92,$C$33:$Y$36,G$31,FALSE)*$C$42*$A92/8760/1000*INDEX('Bulb Weighting'!$B$2:$C$17,MATCH(RIGHT('SC-New'!$D92,LEN($D92)-7),'Bulb Weighting'!$B$3:$B$17,0)+1,2)</f>
        <v>4.1039069321235574E-4</v>
      </c>
      <c r="H92" s="37">
        <f>VLOOKUP($C92,$C$33:$Y$36,H$31,FALSE)*$C$42*$A92/8760/1000*INDEX('Bulb Weighting'!$B$2:$C$17,MATCH(RIGHT('SC-New'!$D92,LEN($D92)-7),'Bulb Weighting'!$B$3:$B$17,0)+1,2)</f>
        <v>4.9912558941860963E-4</v>
      </c>
      <c r="I92" s="37">
        <f>VLOOKUP($C92,$C$33:$Y$36,I$31,FALSE)*$C$42*$A92/8760/1000*INDEX('Bulb Weighting'!$B$2:$C$17,MATCH(RIGHT('SC-New'!$D92,LEN($D92)-7),'Bulb Weighting'!$B$3:$B$17,0)+1,2)</f>
        <v>5.4637584560898115E-4</v>
      </c>
      <c r="J92" s="37">
        <f>VLOOKUP($C92,$C$33:$Y$36,J$31,FALSE)*$C$42*$A92/8760/1000*INDEX('Bulb Weighting'!$B$2:$C$17,MATCH(RIGHT('SC-New'!$D92,LEN($D92)-7),'Bulb Weighting'!$B$3:$B$17,0)+1,2)</f>
        <v>5.909680075309652E-4</v>
      </c>
      <c r="K92" s="37">
        <f>VLOOKUP($C92,$C$33:$Y$36,K$31,FALSE)*$C$42*$A92/8760/1000*INDEX('Bulb Weighting'!$B$2:$C$17,MATCH(RIGHT('SC-New'!$D92,LEN($D92)-7),'Bulb Weighting'!$B$3:$B$17,0)+1,2)</f>
        <v>6.3866584079272566E-4</v>
      </c>
      <c r="L92" s="37">
        <f>VLOOKUP($C92,$C$33:$Y$36,L$31,FALSE)*$C$42*$A92/8760/1000*INDEX('Bulb Weighting'!$B$2:$C$17,MATCH(RIGHT('SC-New'!$D92,LEN($D92)-7),'Bulb Weighting'!$B$3:$B$17,0)+1,2)</f>
        <v>6.8134295959566631E-4</v>
      </c>
      <c r="M92" s="37">
        <f>VLOOKUP($C92,$C$33:$Y$36,M$31,FALSE)*$C$42*$A92/8760/1000*INDEX('Bulb Weighting'!$B$2:$C$17,MATCH(RIGHT('SC-New'!$D92,LEN($D92)-7),'Bulb Weighting'!$B$3:$B$17,0)+1,2)</f>
        <v>7.1823451161873424E-4</v>
      </c>
      <c r="N92" s="37">
        <f>VLOOKUP($C92,$C$33:$Y$36,N$31,FALSE)*$C$42*$A92/8760/1000*INDEX('Bulb Weighting'!$B$2:$C$17,MATCH(RIGHT('SC-New'!$D92,LEN($D92)-7),'Bulb Weighting'!$B$3:$B$17,0)+1,2)</f>
        <v>7.4651067700607992E-4</v>
      </c>
      <c r="O92" s="37">
        <f>VLOOKUP($C92,$C$33:$Y$36,O$31,FALSE)*$C$42*$A92/8760/1000*INDEX('Bulb Weighting'!$B$2:$C$17,MATCH(RIGHT('SC-New'!$D92,LEN($D92)-7),'Bulb Weighting'!$B$3:$B$17,0)+1,2)</f>
        <v>7.6557116511723547E-4</v>
      </c>
      <c r="P92" s="37">
        <f>VLOOKUP($C92,$C$33:$Y$36,P$31,FALSE)*$C$42*$A92/8760/1000*INDEX('Bulb Weighting'!$B$2:$C$17,MATCH(RIGHT('SC-New'!$D92,LEN($D92)-7),'Bulb Weighting'!$B$3:$B$17,0)+1,2)</f>
        <v>7.8272939976188637E-4</v>
      </c>
      <c r="Q92" s="37">
        <f>VLOOKUP($C92,$C$33:$Y$36,Q$31,FALSE)*$C$42*$A92/8760/1000*INDEX('Bulb Weighting'!$B$2:$C$17,MATCH(RIGHT('SC-New'!$D92,LEN($D92)-7),'Bulb Weighting'!$B$3:$B$17,0)+1,2)</f>
        <v>7.9785170523753062E-4</v>
      </c>
      <c r="R92" s="37">
        <f>VLOOKUP($C92,$C$33:$Y$36,R$31,FALSE)*$C$42*$A92/8760/1000*INDEX('Bulb Weighting'!$B$2:$C$17,MATCH(RIGHT('SC-New'!$D92,LEN($D92)-7),'Bulb Weighting'!$B$3:$B$17,0)+1,2)</f>
        <v>8.0965940263845655E-4</v>
      </c>
      <c r="S92" s="37">
        <f>VLOOKUP($C92,$C$33:$Y$36,S$31,FALSE)*$C$42*$A92/8760/1000*INDEX('Bulb Weighting'!$B$2:$C$17,MATCH(RIGHT('SC-New'!$D92,LEN($D92)-7),'Bulb Weighting'!$B$3:$B$17,0)+1,2)</f>
        <v>8.1846122354469982E-4</v>
      </c>
      <c r="T92" s="37">
        <f>VLOOKUP($C92,$C$33:$Y$36,T$31,FALSE)*$C$42*$A92/8760/1000*INDEX('Bulb Weighting'!$B$2:$C$17,MATCH(RIGHT('SC-New'!$D92,LEN($D92)-7),'Bulb Weighting'!$B$3:$B$17,0)+1,2)</f>
        <v>8.2468282221173368E-4</v>
      </c>
      <c r="U92" s="37">
        <f>VLOOKUP($C92,$C$33:$Y$36,U$31,FALSE)*$C$42*$A92/8760/1000*INDEX('Bulb Weighting'!$B$2:$C$17,MATCH(RIGHT('SC-New'!$D92,LEN($D92)-7),'Bulb Weighting'!$B$3:$B$17,0)+1,2)</f>
        <v>8.2927758449974505E-4</v>
      </c>
      <c r="V92" s="37">
        <f>VLOOKUP($C92,$C$33:$Y$36,V$31,FALSE)*$C$42*$A92/8760/1000*INDEX('Bulb Weighting'!$B$2:$C$17,MATCH(RIGHT('SC-New'!$D92,LEN($D92)-7),'Bulb Weighting'!$B$3:$B$17,0)+1,2)</f>
        <v>8.3338455553497669E-4</v>
      </c>
      <c r="W92" s="37">
        <f>VLOOKUP($C92,$C$33:$Y$36,W$31,FALSE)*$C$42*$A92/8760/1000*INDEX('Bulb Weighting'!$B$2:$C$17,MATCH(RIGHT('SC-New'!$D92,LEN($D92)-7),'Bulb Weighting'!$B$3:$B$17,0)+1,2)</f>
        <v>8.367660745742403E-4</v>
      </c>
      <c r="X92" s="37">
        <f>VLOOKUP($C92,$C$33:$Y$36,X$31,FALSE)*$C$42*$A92/8760/1000*INDEX('Bulb Weighting'!$B$2:$C$17,MATCH(RIGHT('SC-New'!$D92,LEN($D92)-7),'Bulb Weighting'!$B$3:$B$17,0)+1,2)</f>
        <v>8.3930151521627175E-4</v>
      </c>
      <c r="Y92" s="440">
        <f t="shared" si="15"/>
        <v>1.327757114016636E-2</v>
      </c>
      <c r="AA92" s="31"/>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c r="A93" s="89">
        <f t="shared" si="16"/>
        <v>7.4978046901704554</v>
      </c>
      <c r="B93" s="71">
        <f t="shared" si="17"/>
        <v>38.047469279788793</v>
      </c>
      <c r="C93" s="1" t="s">
        <v>30</v>
      </c>
      <c r="D93" t="s">
        <v>750</v>
      </c>
      <c r="E93" s="37">
        <f>VLOOKUP($C93,$C$33:$Y$36,E$31,FALSE)*$C$42*$A93/8760/1000*INDEX('Bulb Weighting'!$B$2:$C$17,MATCH(RIGHT('SC-New'!$D93,LEN($D93)-7),'Bulb Weighting'!$B$3:$B$17,0)+1,2)</f>
        <v>0</v>
      </c>
      <c r="F93" s="37">
        <f>VLOOKUP($C93,$C$33:$Y$36,F$31,FALSE)*$C$42*$A93/8760/1000*INDEX('Bulb Weighting'!$B$2:$C$17,MATCH(RIGHT('SC-New'!$D93,LEN($D93)-7),'Bulb Weighting'!$B$3:$B$17,0)+1,2)</f>
        <v>9.2844949947698836E-3</v>
      </c>
      <c r="G93" s="37">
        <f>VLOOKUP($C93,$C$33:$Y$36,G$31,FALSE)*$C$42*$A93/8760/1000*INDEX('Bulb Weighting'!$B$2:$C$17,MATCH(RIGHT('SC-New'!$D93,LEN($D93)-7),'Bulb Weighting'!$B$3:$B$17,0)+1,2)</f>
        <v>1.2360109540911041E-2</v>
      </c>
      <c r="H93" s="37">
        <f>VLOOKUP($C93,$C$33:$Y$36,H$31,FALSE)*$C$42*$A93/8760/1000*INDEX('Bulb Weighting'!$B$2:$C$17,MATCH(RIGHT('SC-New'!$D93,LEN($D93)-7),'Bulb Weighting'!$B$3:$B$17,0)+1,2)</f>
        <v>1.5032619067444446E-2</v>
      </c>
      <c r="I93" s="37">
        <f>VLOOKUP($C93,$C$33:$Y$36,I$31,FALSE)*$C$42*$A93/8760/1000*INDEX('Bulb Weighting'!$B$2:$C$17,MATCH(RIGHT('SC-New'!$D93,LEN($D93)-7),'Bulb Weighting'!$B$3:$B$17,0)+1,2)</f>
        <v>1.6455697982265018E-2</v>
      </c>
      <c r="J93" s="37">
        <f>VLOOKUP($C93,$C$33:$Y$36,J$31,FALSE)*$C$42*$A93/8760/1000*INDEX('Bulb Weighting'!$B$2:$C$17,MATCH(RIGHT('SC-New'!$D93,LEN($D93)-7),'Bulb Weighting'!$B$3:$B$17,0)+1,2)</f>
        <v>1.77987206558727E-2</v>
      </c>
      <c r="K93" s="37">
        <f>VLOOKUP($C93,$C$33:$Y$36,K$31,FALSE)*$C$42*$A93/8760/1000*INDEX('Bulb Weighting'!$B$2:$C$17,MATCH(RIGHT('SC-New'!$D93,LEN($D93)-7),'Bulb Weighting'!$B$3:$B$17,0)+1,2)</f>
        <v>1.9235279656187085E-2</v>
      </c>
      <c r="L93" s="37">
        <f>VLOOKUP($C93,$C$33:$Y$36,L$31,FALSE)*$C$42*$A93/8760/1000*INDEX('Bulb Weighting'!$B$2:$C$17,MATCH(RIGHT('SC-New'!$D93,LEN($D93)-7),'Bulb Weighting'!$B$3:$B$17,0)+1,2)</f>
        <v>2.0520625235458955E-2</v>
      </c>
      <c r="M93" s="37">
        <f>VLOOKUP($C93,$C$33:$Y$36,M$31,FALSE)*$C$42*$A93/8760/1000*INDEX('Bulb Weighting'!$B$2:$C$17,MATCH(RIGHT('SC-New'!$D93,LEN($D93)-7),'Bulb Weighting'!$B$3:$B$17,0)+1,2)</f>
        <v>2.1631721641106216E-2</v>
      </c>
      <c r="N93" s="37">
        <f>VLOOKUP($C93,$C$33:$Y$36,N$31,FALSE)*$C$42*$A93/8760/1000*INDEX('Bulb Weighting'!$B$2:$C$17,MATCH(RIGHT('SC-New'!$D93,LEN($D93)-7),'Bulb Weighting'!$B$3:$B$17,0)+1,2)</f>
        <v>2.2483340616304727E-2</v>
      </c>
      <c r="O93" s="37">
        <f>VLOOKUP($C93,$C$33:$Y$36,O$31,FALSE)*$C$42*$A93/8760/1000*INDEX('Bulb Weighting'!$B$2:$C$17,MATCH(RIGHT('SC-New'!$D93,LEN($D93)-7),'Bulb Weighting'!$B$3:$B$17,0)+1,2)</f>
        <v>2.3057402662188423E-2</v>
      </c>
      <c r="P93" s="37">
        <f>VLOOKUP($C93,$C$33:$Y$36,P$31,FALSE)*$C$42*$A93/8760/1000*INDEX('Bulb Weighting'!$B$2:$C$17,MATCH(RIGHT('SC-New'!$D93,LEN($D93)-7),'Bulb Weighting'!$B$3:$B$17,0)+1,2)</f>
        <v>2.3574172811327267E-2</v>
      </c>
      <c r="Q93" s="37">
        <f>VLOOKUP($C93,$C$33:$Y$36,Q$31,FALSE)*$C$42*$A93/8760/1000*INDEX('Bulb Weighting'!$B$2:$C$17,MATCH(RIGHT('SC-New'!$D93,LEN($D93)-7),'Bulb Weighting'!$B$3:$B$17,0)+1,2)</f>
        <v>2.4029625031081584E-2</v>
      </c>
      <c r="R93" s="37">
        <f>VLOOKUP($C93,$C$33:$Y$36,R$31,FALSE)*$C$42*$A93/8760/1000*INDEX('Bulb Weighting'!$B$2:$C$17,MATCH(RIGHT('SC-New'!$D93,LEN($D93)-7),'Bulb Weighting'!$B$3:$B$17,0)+1,2)</f>
        <v>2.4385248186565414E-2</v>
      </c>
      <c r="S93" s="37">
        <f>VLOOKUP($C93,$C$33:$Y$36,S$31,FALSE)*$C$42*$A93/8760/1000*INDEX('Bulb Weighting'!$B$2:$C$17,MATCH(RIGHT('SC-New'!$D93,LEN($D93)-7),'Bulb Weighting'!$B$3:$B$17,0)+1,2)</f>
        <v>2.4650340627402893E-2</v>
      </c>
      <c r="T93" s="37">
        <f>VLOOKUP($C93,$C$33:$Y$36,T$31,FALSE)*$C$42*$A93/8760/1000*INDEX('Bulb Weighting'!$B$2:$C$17,MATCH(RIGHT('SC-New'!$D93,LEN($D93)-7),'Bulb Weighting'!$B$3:$B$17,0)+1,2)</f>
        <v>2.4837722169713677E-2</v>
      </c>
      <c r="U93" s="37">
        <f>VLOOKUP($C93,$C$33:$Y$36,U$31,FALSE)*$C$42*$A93/8760/1000*INDEX('Bulb Weighting'!$B$2:$C$17,MATCH(RIGHT('SC-New'!$D93,LEN($D93)-7),'Bulb Weighting'!$B$3:$B$17,0)+1,2)</f>
        <v>2.4976106802049581E-2</v>
      </c>
      <c r="V93" s="37">
        <f>VLOOKUP($C93,$C$33:$Y$36,V$31,FALSE)*$C$42*$A93/8760/1000*INDEX('Bulb Weighting'!$B$2:$C$17,MATCH(RIGHT('SC-New'!$D93,LEN($D93)-7),'Bulb Weighting'!$B$3:$B$17,0)+1,2)</f>
        <v>2.5099800181837179E-2</v>
      </c>
      <c r="W93" s="37">
        <f>VLOOKUP($C93,$C$33:$Y$36,W$31,FALSE)*$C$42*$A93/8760/1000*INDEX('Bulb Weighting'!$B$2:$C$17,MATCH(RIGHT('SC-New'!$D93,LEN($D93)-7),'Bulb Weighting'!$B$3:$B$17,0)+1,2)</f>
        <v>2.5201644464447035E-2</v>
      </c>
      <c r="X93" s="37">
        <f>VLOOKUP($C93,$C$33:$Y$36,X$31,FALSE)*$C$42*$A93/8760/1000*INDEX('Bulb Weighting'!$B$2:$C$17,MATCH(RIGHT('SC-New'!$D93,LEN($D93)-7),'Bulb Weighting'!$B$3:$B$17,0)+1,2)</f>
        <v>2.5278006634906321E-2</v>
      </c>
      <c r="Y93" s="440">
        <f t="shared" si="15"/>
        <v>0.39989267896183944</v>
      </c>
      <c r="AA93" s="31"/>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c r="A94" s="89">
        <f t="shared" si="16"/>
        <v>14.009308234872018</v>
      </c>
      <c r="B94" s="71">
        <f t="shared" si="17"/>
        <v>64.372768585347757</v>
      </c>
      <c r="C94" s="1" t="s">
        <v>30</v>
      </c>
      <c r="D94" t="s">
        <v>751</v>
      </c>
      <c r="E94" s="37">
        <f>VLOOKUP($C94,$C$33:$Y$36,E$31,FALSE)*$C$42*$A94/8760/1000*INDEX('Bulb Weighting'!$B$2:$C$17,MATCH(RIGHT('SC-New'!$D94,LEN($D94)-7),'Bulb Weighting'!$B$3:$B$17,0)+1,2)</f>
        <v>0</v>
      </c>
      <c r="F94" s="37">
        <f>VLOOKUP($C94,$C$33:$Y$36,F$31,FALSE)*$C$42*$A94/8760/1000*INDEX('Bulb Weighting'!$B$2:$C$17,MATCH(RIGHT('SC-New'!$D94,LEN($D94)-7),'Bulb Weighting'!$B$3:$B$17,0)+1,2)</f>
        <v>1.7295837534255375E-3</v>
      </c>
      <c r="G94" s="37">
        <f>VLOOKUP($C94,$C$33:$Y$36,G$31,FALSE)*$C$42*$A94/8760/1000*INDEX('Bulb Weighting'!$B$2:$C$17,MATCH(RIGHT('SC-New'!$D94,LEN($D94)-7),'Bulb Weighting'!$B$3:$B$17,0)+1,2)</f>
        <v>2.3025317655469926E-3</v>
      </c>
      <c r="H94" s="37">
        <f>VLOOKUP($C94,$C$33:$Y$36,H$31,FALSE)*$C$42*$A94/8760/1000*INDEX('Bulb Weighting'!$B$2:$C$17,MATCH(RIGHT('SC-New'!$D94,LEN($D94)-7),'Bulb Weighting'!$B$3:$B$17,0)+1,2)</f>
        <v>2.8003864211390305E-3</v>
      </c>
      <c r="I94" s="37">
        <f>VLOOKUP($C94,$C$33:$Y$36,I$31,FALSE)*$C$42*$A94/8760/1000*INDEX('Bulb Weighting'!$B$2:$C$17,MATCH(RIGHT('SC-New'!$D94,LEN($D94)-7),'Bulb Weighting'!$B$3:$B$17,0)+1,2)</f>
        <v>3.0654879880312107E-3</v>
      </c>
      <c r="J94" s="37">
        <f>VLOOKUP($C94,$C$33:$Y$36,J$31,FALSE)*$C$42*$A94/8760/1000*INDEX('Bulb Weighting'!$B$2:$C$17,MATCH(RIGHT('SC-New'!$D94,LEN($D94)-7),'Bulb Weighting'!$B$3:$B$17,0)+1,2)</f>
        <v>3.3156760917527894E-3</v>
      </c>
      <c r="K94" s="37">
        <f>VLOOKUP($C94,$C$33:$Y$36,K$31,FALSE)*$C$42*$A94/8760/1000*INDEX('Bulb Weighting'!$B$2:$C$17,MATCH(RIGHT('SC-New'!$D94,LEN($D94)-7),'Bulb Weighting'!$B$3:$B$17,0)+1,2)</f>
        <v>3.5832888277368834E-3</v>
      </c>
      <c r="L94" s="37">
        <f>VLOOKUP($C94,$C$33:$Y$36,L$31,FALSE)*$C$42*$A94/8760/1000*INDEX('Bulb Weighting'!$B$2:$C$17,MATCH(RIGHT('SC-New'!$D94,LEN($D94)-7),'Bulb Weighting'!$B$3:$B$17,0)+1,2)</f>
        <v>3.8227324197360494E-3</v>
      </c>
      <c r="M94" s="37">
        <f>VLOOKUP($C94,$C$33:$Y$36,M$31,FALSE)*$C$42*$A94/8760/1000*INDEX('Bulb Weighting'!$B$2:$C$17,MATCH(RIGHT('SC-New'!$D94,LEN($D94)-7),'Bulb Weighting'!$B$3:$B$17,0)+1,2)</f>
        <v>4.0297155989805376E-3</v>
      </c>
      <c r="N94" s="37">
        <f>VLOOKUP($C94,$C$33:$Y$36,N$31,FALSE)*$C$42*$A94/8760/1000*INDEX('Bulb Weighting'!$B$2:$C$17,MATCH(RIGHT('SC-New'!$D94,LEN($D94)-7),'Bulb Weighting'!$B$3:$B$17,0)+1,2)</f>
        <v>4.1883614213372704E-3</v>
      </c>
      <c r="O94" s="37">
        <f>VLOOKUP($C94,$C$33:$Y$36,O$31,FALSE)*$C$42*$A94/8760/1000*INDEX('Bulb Weighting'!$B$2:$C$17,MATCH(RIGHT('SC-New'!$D94,LEN($D94)-7),'Bulb Weighting'!$B$3:$B$17,0)+1,2)</f>
        <v>4.2953019052922922E-3</v>
      </c>
      <c r="P94" s="37">
        <f>VLOOKUP($C94,$C$33:$Y$36,P$31,FALSE)*$C$42*$A94/8760/1000*INDEX('Bulb Weighting'!$B$2:$C$17,MATCH(RIGHT('SC-New'!$D94,LEN($D94)-7),'Bulb Weighting'!$B$3:$B$17,0)+1,2)</f>
        <v>4.3915696349544151E-3</v>
      </c>
      <c r="Q94" s="37">
        <f>VLOOKUP($C94,$C$33:$Y$36,Q$31,FALSE)*$C$42*$A94/8760/1000*INDEX('Bulb Weighting'!$B$2:$C$17,MATCH(RIGHT('SC-New'!$D94,LEN($D94)-7),'Bulb Weighting'!$B$3:$B$17,0)+1,2)</f>
        <v>4.4764146114655142E-3</v>
      </c>
      <c r="R94" s="37">
        <f>VLOOKUP($C94,$C$33:$Y$36,R$31,FALSE)*$C$42*$A94/8760/1000*INDEX('Bulb Weighting'!$B$2:$C$17,MATCH(RIGHT('SC-New'!$D94,LEN($D94)-7),'Bulb Weighting'!$B$3:$B$17,0)+1,2)</f>
        <v>4.5426626984549781E-3</v>
      </c>
      <c r="S94" s="37">
        <f>VLOOKUP($C94,$C$33:$Y$36,S$31,FALSE)*$C$42*$A94/8760/1000*INDEX('Bulb Weighting'!$B$2:$C$17,MATCH(RIGHT('SC-New'!$D94,LEN($D94)-7),'Bulb Weighting'!$B$3:$B$17,0)+1,2)</f>
        <v>4.5920460606181006E-3</v>
      </c>
      <c r="T94" s="37">
        <f>VLOOKUP($C94,$C$33:$Y$36,T$31,FALSE)*$C$42*$A94/8760/1000*INDEX('Bulb Weighting'!$B$2:$C$17,MATCH(RIGHT('SC-New'!$D94,LEN($D94)-7),'Bulb Weighting'!$B$3:$B$17,0)+1,2)</f>
        <v>4.6269528672301056E-3</v>
      </c>
      <c r="U94" s="37">
        <f>VLOOKUP($C94,$C$33:$Y$36,U$31,FALSE)*$C$42*$A94/8760/1000*INDEX('Bulb Weighting'!$B$2:$C$17,MATCH(RIGHT('SC-New'!$D94,LEN($D94)-7),'Bulb Weighting'!$B$3:$B$17,0)+1,2)</f>
        <v>4.6527321704605742E-3</v>
      </c>
      <c r="V94" s="37">
        <f>VLOOKUP($C94,$C$33:$Y$36,V$31,FALSE)*$C$42*$A94/8760/1000*INDEX('Bulb Weighting'!$B$2:$C$17,MATCH(RIGHT('SC-New'!$D94,LEN($D94)-7),'Bulb Weighting'!$B$3:$B$17,0)+1,2)</f>
        <v>4.6757746795262197E-3</v>
      </c>
      <c r="W94" s="37">
        <f>VLOOKUP($C94,$C$33:$Y$36,W$31,FALSE)*$C$42*$A94/8760/1000*INDEX('Bulb Weighting'!$B$2:$C$17,MATCH(RIGHT('SC-New'!$D94,LEN($D94)-7),'Bulb Weighting'!$B$3:$B$17,0)+1,2)</f>
        <v>4.6947469786852497E-3</v>
      </c>
      <c r="X94" s="37">
        <f>VLOOKUP($C94,$C$33:$Y$36,X$31,FALSE)*$C$42*$A94/8760/1000*INDEX('Bulb Weighting'!$B$2:$C$17,MATCH(RIGHT('SC-New'!$D94,LEN($D94)-7),'Bulb Weighting'!$B$3:$B$17,0)+1,2)</f>
        <v>4.7089722832900872E-3</v>
      </c>
      <c r="Y94" s="440">
        <f t="shared" si="15"/>
        <v>7.4494938177663839E-2</v>
      </c>
      <c r="AA94" s="31"/>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c r="A95" s="89">
        <f t="shared" si="16"/>
        <v>15.001215681785107</v>
      </c>
      <c r="B95" s="71">
        <f t="shared" si="17"/>
        <v>-40.723166254238713</v>
      </c>
      <c r="C95" s="1" t="s">
        <v>30</v>
      </c>
      <c r="D95" t="s">
        <v>752</v>
      </c>
      <c r="E95" s="37">
        <f>VLOOKUP($C95,$C$33:$Y$36,E$31,FALSE)*$C$42*$A95/8760/1000*INDEX('Bulb Weighting'!$B$2:$C$17,MATCH(RIGHT('SC-New'!$D95,LEN($D95)-7),'Bulb Weighting'!$B$3:$B$17,0)+1,2)</f>
        <v>0</v>
      </c>
      <c r="F95" s="37">
        <f>VLOOKUP($C95,$C$33:$Y$36,F$31,FALSE)*$C$42*$A95/8760/1000*INDEX('Bulb Weighting'!$B$2:$C$17,MATCH(RIGHT('SC-New'!$D95,LEN($D95)-7),'Bulb Weighting'!$B$3:$B$17,0)+1,2)</f>
        <v>1.5828977280724558E-3</v>
      </c>
      <c r="G95" s="37">
        <f>VLOOKUP($C95,$C$33:$Y$36,G$31,FALSE)*$C$42*$A95/8760/1000*INDEX('Bulb Weighting'!$B$2:$C$17,MATCH(RIGHT('SC-New'!$D95,LEN($D95)-7),'Bulb Weighting'!$B$3:$B$17,0)+1,2)</f>
        <v>2.1072540102672205E-3</v>
      </c>
      <c r="H95" s="37">
        <f>VLOOKUP($C95,$C$33:$Y$36,H$31,FALSE)*$C$42*$A95/8760/1000*INDEX('Bulb Weighting'!$B$2:$C$17,MATCH(RIGHT('SC-New'!$D95,LEN($D95)-7),'Bulb Weighting'!$B$3:$B$17,0)+1,2)</f>
        <v>2.562885604681858E-3</v>
      </c>
      <c r="I95" s="37">
        <f>VLOOKUP($C95,$C$33:$Y$36,I$31,FALSE)*$C$42*$A95/8760/1000*INDEX('Bulb Weighting'!$B$2:$C$17,MATCH(RIGHT('SC-New'!$D95,LEN($D95)-7),'Bulb Weighting'!$B$3:$B$17,0)+1,2)</f>
        <v>2.8055039035129979E-3</v>
      </c>
      <c r="J95" s="37">
        <f>VLOOKUP($C95,$C$33:$Y$36,J$31,FALSE)*$C$42*$A95/8760/1000*INDEX('Bulb Weighting'!$B$2:$C$17,MATCH(RIGHT('SC-New'!$D95,LEN($D95)-7),'Bulb Weighting'!$B$3:$B$17,0)+1,2)</f>
        <v>3.0344735502197844E-3</v>
      </c>
      <c r="K95" s="37">
        <f>VLOOKUP($C95,$C$33:$Y$36,K$31,FALSE)*$C$42*$A95/8760/1000*INDEX('Bulb Weighting'!$B$2:$C$17,MATCH(RIGHT('SC-New'!$D95,LEN($D95)-7),'Bulb Weighting'!$B$3:$B$17,0)+1,2)</f>
        <v>3.2793900458526243E-3</v>
      </c>
      <c r="L95" s="37">
        <f>VLOOKUP($C95,$C$33:$Y$36,L$31,FALSE)*$C$42*$A95/8760/1000*INDEX('Bulb Weighting'!$B$2:$C$17,MATCH(RIGHT('SC-New'!$D95,LEN($D95)-7),'Bulb Weighting'!$B$3:$B$17,0)+1,2)</f>
        <v>3.498526423045302E-3</v>
      </c>
      <c r="M95" s="37">
        <f>VLOOKUP($C95,$C$33:$Y$36,M$31,FALSE)*$C$42*$A95/8760/1000*INDEX('Bulb Weighting'!$B$2:$C$17,MATCH(RIGHT('SC-New'!$D95,LEN($D95)-7),'Bulb Weighting'!$B$3:$B$17,0)+1,2)</f>
        <v>3.6879553555999815E-3</v>
      </c>
      <c r="N95" s="37">
        <f>VLOOKUP($C95,$C$33:$Y$36,N$31,FALSE)*$C$42*$A95/8760/1000*INDEX('Bulb Weighting'!$B$2:$C$17,MATCH(RIGHT('SC-New'!$D95,LEN($D95)-7),'Bulb Weighting'!$B$3:$B$17,0)+1,2)</f>
        <v>3.8331464232654248E-3</v>
      </c>
      <c r="O95" s="37">
        <f>VLOOKUP($C95,$C$33:$Y$36,O$31,FALSE)*$C$42*$A95/8760/1000*INDEX('Bulb Weighting'!$B$2:$C$17,MATCH(RIGHT('SC-New'!$D95,LEN($D95)-7),'Bulb Weighting'!$B$3:$B$17,0)+1,2)</f>
        <v>3.9310172830928913E-3</v>
      </c>
      <c r="P95" s="37">
        <f>VLOOKUP($C95,$C$33:$Y$36,P$31,FALSE)*$C$42*$A95/8760/1000*INDEX('Bulb Weighting'!$B$2:$C$17,MATCH(RIGHT('SC-New'!$D95,LEN($D95)-7),'Bulb Weighting'!$B$3:$B$17,0)+1,2)</f>
        <v>4.0191205450870364E-3</v>
      </c>
      <c r="Q95" s="37">
        <f>VLOOKUP($C95,$C$33:$Y$36,Q$31,FALSE)*$C$42*$A95/8760/1000*INDEX('Bulb Weighting'!$B$2:$C$17,MATCH(RIGHT('SC-New'!$D95,LEN($D95)-7),'Bulb Weighting'!$B$3:$B$17,0)+1,2)</f>
        <v>4.0967698178046991E-3</v>
      </c>
      <c r="R95" s="37">
        <f>VLOOKUP($C95,$C$33:$Y$36,R$31,FALSE)*$C$42*$A95/8760/1000*INDEX('Bulb Weighting'!$B$2:$C$17,MATCH(RIGHT('SC-New'!$D95,LEN($D95)-7),'Bulb Weighting'!$B$3:$B$17,0)+1,2)</f>
        <v>4.1573994034937879E-3</v>
      </c>
      <c r="S95" s="37">
        <f>VLOOKUP($C95,$C$33:$Y$36,S$31,FALSE)*$C$42*$A95/8760/1000*INDEX('Bulb Weighting'!$B$2:$C$17,MATCH(RIGHT('SC-New'!$D95,LEN($D95)-7),'Bulb Weighting'!$B$3:$B$17,0)+1,2)</f>
        <v>4.202594561934522E-3</v>
      </c>
      <c r="T95" s="37">
        <f>VLOOKUP($C95,$C$33:$Y$36,T$31,FALSE)*$C$42*$A95/8760/1000*INDEX('Bulb Weighting'!$B$2:$C$17,MATCH(RIGHT('SC-New'!$D95,LEN($D95)-7),'Bulb Weighting'!$B$3:$B$17,0)+1,2)</f>
        <v>4.2345409217283006E-3</v>
      </c>
      <c r="U95" s="37">
        <f>VLOOKUP($C95,$C$33:$Y$36,U$31,FALSE)*$C$42*$A95/8760/1000*INDEX('Bulb Weighting'!$B$2:$C$17,MATCH(RIGHT('SC-New'!$D95,LEN($D95)-7),'Bulb Weighting'!$B$3:$B$17,0)+1,2)</f>
        <v>4.2581338818460067E-3</v>
      </c>
      <c r="V95" s="37">
        <f>VLOOKUP($C95,$C$33:$Y$36,V$31,FALSE)*$C$42*$A95/8760/1000*INDEX('Bulb Weighting'!$B$2:$C$17,MATCH(RIGHT('SC-New'!$D95,LEN($D95)-7),'Bulb Weighting'!$B$3:$B$17,0)+1,2)</f>
        <v>4.2792221553550856E-3</v>
      </c>
      <c r="W95" s="37">
        <f>VLOOKUP($C95,$C$33:$Y$36,W$31,FALSE)*$C$42*$A95/8760/1000*INDEX('Bulb Weighting'!$B$2:$C$17,MATCH(RIGHT('SC-New'!$D95,LEN($D95)-7),'Bulb Weighting'!$B$3:$B$17,0)+1,2)</f>
        <v>4.2965854135237989E-3</v>
      </c>
      <c r="X95" s="37">
        <f>VLOOKUP($C95,$C$33:$Y$36,X$31,FALSE)*$C$42*$A95/8760/1000*INDEX('Bulb Weighting'!$B$2:$C$17,MATCH(RIGHT('SC-New'!$D95,LEN($D95)-7),'Bulb Weighting'!$B$3:$B$17,0)+1,2)</f>
        <v>4.3096042698211826E-3</v>
      </c>
      <c r="Y95" s="37">
        <f t="shared" si="15"/>
        <v>6.8177021298204979E-2</v>
      </c>
      <c r="AA95" s="31"/>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c r="A96" s="89">
        <f t="shared" si="16"/>
        <v>10.331554133000125</v>
      </c>
      <c r="B96" s="71">
        <f t="shared" si="17"/>
        <v>-97.483290128606981</v>
      </c>
      <c r="C96" s="1" t="s">
        <v>30</v>
      </c>
      <c r="D96" t="s">
        <v>753</v>
      </c>
      <c r="E96" s="37">
        <f>VLOOKUP($C96,$C$33:$Y$36,E$31,FALSE)*$C$42*$A96/8760/1000*INDEX('Bulb Weighting'!$B$2:$C$17,MATCH(RIGHT('SC-New'!$D96,LEN($D96)-7),'Bulb Weighting'!$B$3:$B$17,0)+1,2)</f>
        <v>0</v>
      </c>
      <c r="F96" s="37">
        <f>VLOOKUP($C96,$C$33:$Y$36,F$31,FALSE)*$C$42*$A96/8760/1000*INDEX('Bulb Weighting'!$B$2:$C$17,MATCH(RIGHT('SC-New'!$D96,LEN($D96)-7),'Bulb Weighting'!$B$3:$B$17,0)+1,2)</f>
        <v>6.6475448214343893E-4</v>
      </c>
      <c r="G96" s="37">
        <f>VLOOKUP($C96,$C$33:$Y$36,G$31,FALSE)*$C$42*$A96/8760/1000*INDEX('Bulb Weighting'!$B$2:$C$17,MATCH(RIGHT('SC-New'!$D96,LEN($D96)-7),'Bulb Weighting'!$B$3:$B$17,0)+1,2)</f>
        <v>8.8496339561095806E-4</v>
      </c>
      <c r="H96" s="37">
        <f>VLOOKUP($C96,$C$33:$Y$36,H$31,FALSE)*$C$42*$A96/8760/1000*INDEX('Bulb Weighting'!$B$2:$C$17,MATCH(RIGHT('SC-New'!$D96,LEN($D96)-7),'Bulb Weighting'!$B$3:$B$17,0)+1,2)</f>
        <v>1.0763106565373618E-3</v>
      </c>
      <c r="I96" s="37">
        <f>VLOOKUP($C96,$C$33:$Y$36,I$31,FALSE)*$C$42*$A96/8760/1000*INDEX('Bulb Weighting'!$B$2:$C$17,MATCH(RIGHT('SC-New'!$D96,LEN($D96)-7),'Bulb Weighting'!$B$3:$B$17,0)+1,2)</f>
        <v>1.1782007526172985E-3</v>
      </c>
      <c r="J96" s="37">
        <f>VLOOKUP($C96,$C$33:$Y$36,J$31,FALSE)*$C$42*$A96/8760/1000*INDEX('Bulb Weighting'!$B$2:$C$17,MATCH(RIGHT('SC-New'!$D96,LEN($D96)-7),'Bulb Weighting'!$B$3:$B$17,0)+1,2)</f>
        <v>1.2743589542646566E-3</v>
      </c>
      <c r="K96" s="37">
        <f>VLOOKUP($C96,$C$33:$Y$36,K$31,FALSE)*$C$42*$A96/8760/1000*INDEX('Bulb Weighting'!$B$2:$C$17,MATCH(RIGHT('SC-New'!$D96,LEN($D96)-7),'Bulb Weighting'!$B$3:$B$17,0)+1,2)</f>
        <v>1.3772142021656389E-3</v>
      </c>
      <c r="L96" s="37">
        <f>VLOOKUP($C96,$C$33:$Y$36,L$31,FALSE)*$C$42*$A96/8760/1000*INDEX('Bulb Weighting'!$B$2:$C$17,MATCH(RIGHT('SC-New'!$D96,LEN($D96)-7),'Bulb Weighting'!$B$3:$B$17,0)+1,2)</f>
        <v>1.4692428192746528E-3</v>
      </c>
      <c r="M96" s="37">
        <f>VLOOKUP($C96,$C$33:$Y$36,M$31,FALSE)*$C$42*$A96/8760/1000*INDEX('Bulb Weighting'!$B$2:$C$17,MATCH(RIGHT('SC-New'!$D96,LEN($D96)-7),'Bulb Weighting'!$B$3:$B$17,0)+1,2)</f>
        <v>1.5487954838152177E-3</v>
      </c>
      <c r="N96" s="37">
        <f>VLOOKUP($C96,$C$33:$Y$36,N$31,FALSE)*$C$42*$A96/8760/1000*INDEX('Bulb Weighting'!$B$2:$C$17,MATCH(RIGHT('SC-New'!$D96,LEN($D96)-7),'Bulb Weighting'!$B$3:$B$17,0)+1,2)</f>
        <v>1.6097699935931338E-3</v>
      </c>
      <c r="O96" s="37">
        <f>VLOOKUP($C96,$C$33:$Y$36,O$31,FALSE)*$C$42*$A96/8760/1000*INDEX('Bulb Weighting'!$B$2:$C$17,MATCH(RIGHT('SC-New'!$D96,LEN($D96)-7),'Bulb Weighting'!$B$3:$B$17,0)+1,2)</f>
        <v>1.6508718863987831E-3</v>
      </c>
      <c r="P96" s="37">
        <f>VLOOKUP($C96,$C$33:$Y$36,P$31,FALSE)*$C$42*$A96/8760/1000*INDEX('Bulb Weighting'!$B$2:$C$17,MATCH(RIGHT('SC-New'!$D96,LEN($D96)-7),'Bulb Weighting'!$B$3:$B$17,0)+1,2)</f>
        <v>1.6878717741763622E-3</v>
      </c>
      <c r="Q96" s="37">
        <f>VLOOKUP($C96,$C$33:$Y$36,Q$31,FALSE)*$C$42*$A96/8760/1000*INDEX('Bulb Weighting'!$B$2:$C$17,MATCH(RIGHT('SC-New'!$D96,LEN($D96)-7),'Bulb Weighting'!$B$3:$B$17,0)+1,2)</f>
        <v>1.7204813996491975E-3</v>
      </c>
      <c r="R96" s="37">
        <f>VLOOKUP($C96,$C$33:$Y$36,R$31,FALSE)*$C$42*$A96/8760/1000*INDEX('Bulb Weighting'!$B$2:$C$17,MATCH(RIGHT('SC-New'!$D96,LEN($D96)-7),'Bulb Weighting'!$B$3:$B$17,0)+1,2)</f>
        <v>1.7459434292690147E-3</v>
      </c>
      <c r="S96" s="37">
        <f>VLOOKUP($C96,$C$33:$Y$36,S$31,FALSE)*$C$42*$A96/8760/1000*INDEX('Bulb Weighting'!$B$2:$C$17,MATCH(RIGHT('SC-New'!$D96,LEN($D96)-7),'Bulb Weighting'!$B$3:$B$17,0)+1,2)</f>
        <v>1.7649236094864982E-3</v>
      </c>
      <c r="T96" s="37">
        <f>VLOOKUP($C96,$C$33:$Y$36,T$31,FALSE)*$C$42*$A96/8760/1000*INDEX('Bulb Weighting'!$B$2:$C$17,MATCH(RIGHT('SC-New'!$D96,LEN($D96)-7),'Bulb Weighting'!$B$3:$B$17,0)+1,2)</f>
        <v>1.7783398179277989E-3</v>
      </c>
      <c r="U96" s="37">
        <f>VLOOKUP($C96,$C$33:$Y$36,U$31,FALSE)*$C$42*$A96/8760/1000*INDEX('Bulb Weighting'!$B$2:$C$17,MATCH(RIGHT('SC-New'!$D96,LEN($D96)-7),'Bulb Weighting'!$B$3:$B$17,0)+1,2)</f>
        <v>1.7882479286712356E-3</v>
      </c>
      <c r="V96" s="37">
        <f>VLOOKUP($C96,$C$33:$Y$36,V$31,FALSE)*$C$42*$A96/8760/1000*INDEX('Bulb Weighting'!$B$2:$C$17,MATCH(RIGHT('SC-New'!$D96,LEN($D96)-7),'Bulb Weighting'!$B$3:$B$17,0)+1,2)</f>
        <v>1.7971041700361773E-3</v>
      </c>
      <c r="W96" s="37">
        <f>VLOOKUP($C96,$C$33:$Y$36,W$31,FALSE)*$C$42*$A96/8760/1000*INDEX('Bulb Weighting'!$B$2:$C$17,MATCH(RIGHT('SC-New'!$D96,LEN($D96)-7),'Bulb Weighting'!$B$3:$B$17,0)+1,2)</f>
        <v>1.8043960521884888E-3</v>
      </c>
      <c r="X96" s="37">
        <f>VLOOKUP($C96,$C$33:$Y$36,X$31,FALSE)*$C$42*$A96/8760/1000*INDEX('Bulb Weighting'!$B$2:$C$17,MATCH(RIGHT('SC-New'!$D96,LEN($D96)-7),'Bulb Weighting'!$B$3:$B$17,0)+1,2)</f>
        <v>1.809863457266267E-3</v>
      </c>
      <c r="Y96" s="37">
        <f t="shared" si="15"/>
        <v>2.8631654265092184E-2</v>
      </c>
      <c r="AA96" s="31"/>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c r="A97" s="89">
        <f t="shared" si="16"/>
        <v>11.177995908414712</v>
      </c>
      <c r="B97" s="71">
        <f t="shared" si="17"/>
        <v>-118.66739310804593</v>
      </c>
      <c r="C97" s="1" t="s">
        <v>30</v>
      </c>
      <c r="D97" t="s">
        <v>754</v>
      </c>
      <c r="E97" s="37">
        <f>VLOOKUP($C97,$C$33:$Y$36,E$31,FALSE)*$C$42*$A97/8760/1000*INDEX('Bulb Weighting'!$B$2:$C$17,MATCH(RIGHT('SC-New'!$D97,LEN($D97)-7),'Bulb Weighting'!$B$3:$B$17,0)+1,2)</f>
        <v>0</v>
      </c>
      <c r="F97" s="37">
        <f>VLOOKUP($C97,$C$33:$Y$36,F$31,FALSE)*$C$42*$A97/8760/1000*INDEX('Bulb Weighting'!$B$2:$C$17,MATCH(RIGHT('SC-New'!$D97,LEN($D97)-7),'Bulb Weighting'!$B$3:$B$17,0)+1,2)</f>
        <v>5.4193540133569335E-5</v>
      </c>
      <c r="G97" s="37">
        <f>VLOOKUP($C97,$C$33:$Y$36,G$31,FALSE)*$C$42*$A97/8760/1000*INDEX('Bulb Weighting'!$B$2:$C$17,MATCH(RIGHT('SC-New'!$D97,LEN($D97)-7),'Bulb Weighting'!$B$3:$B$17,0)+1,2)</f>
        <v>7.2145883307385834E-5</v>
      </c>
      <c r="H97" s="37">
        <f>VLOOKUP($C97,$C$33:$Y$36,H$31,FALSE)*$C$42*$A97/8760/1000*INDEX('Bulb Weighting'!$B$2:$C$17,MATCH(RIGHT('SC-New'!$D97,LEN($D97)-7),'Bulb Weighting'!$B$3:$B$17,0)+1,2)</f>
        <v>8.7745304963073235E-5</v>
      </c>
      <c r="I97" s="37">
        <f>VLOOKUP($C97,$C$33:$Y$36,I$31,FALSE)*$C$42*$A97/8760/1000*INDEX('Bulb Weighting'!$B$2:$C$17,MATCH(RIGHT('SC-New'!$D97,LEN($D97)-7),'Bulb Weighting'!$B$3:$B$17,0)+1,2)</f>
        <v>9.6051807829088988E-5</v>
      </c>
      <c r="J97" s="37">
        <f>VLOOKUP($C97,$C$33:$Y$36,J$31,FALSE)*$C$42*$A97/8760/1000*INDEX('Bulb Weighting'!$B$2:$C$17,MATCH(RIGHT('SC-New'!$D97,LEN($D97)-7),'Bulb Weighting'!$B$3:$B$17,0)+1,2)</f>
        <v>1.0389102290793295E-4</v>
      </c>
      <c r="K97" s="37">
        <f>VLOOKUP($C97,$C$33:$Y$36,K$31,FALSE)*$C$42*$A97/8760/1000*INDEX('Bulb Weighting'!$B$2:$C$17,MATCH(RIGHT('SC-New'!$D97,LEN($D97)-7),'Bulb Weighting'!$B$3:$B$17,0)+1,2)</f>
        <v>1.1227620894999916E-4</v>
      </c>
      <c r="L97" s="37">
        <f>VLOOKUP($C97,$C$33:$Y$36,L$31,FALSE)*$C$42*$A97/8760/1000*INDEX('Bulb Weighting'!$B$2:$C$17,MATCH(RIGHT('SC-New'!$D97,LEN($D97)-7),'Bulb Weighting'!$B$3:$B$17,0)+1,2)</f>
        <v>1.1977876318423757E-4</v>
      </c>
      <c r="M97" s="37">
        <f>VLOOKUP($C97,$C$33:$Y$36,M$31,FALSE)*$C$42*$A97/8760/1000*INDEX('Bulb Weighting'!$B$2:$C$17,MATCH(RIGHT('SC-New'!$D97,LEN($D97)-7),'Bulb Weighting'!$B$3:$B$17,0)+1,2)</f>
        <v>1.2626422606462355E-4</v>
      </c>
      <c r="N97" s="37">
        <f>VLOOKUP($C97,$C$33:$Y$36,N$31,FALSE)*$C$42*$A97/8760/1000*INDEX('Bulb Weighting'!$B$2:$C$17,MATCH(RIGHT('SC-New'!$D97,LEN($D97)-7),'Bulb Weighting'!$B$3:$B$17,0)+1,2)</f>
        <v>1.3123512078069886E-4</v>
      </c>
      <c r="O97" s="37">
        <f>VLOOKUP($C97,$C$33:$Y$36,O$31,FALSE)*$C$42*$A97/8760/1000*INDEX('Bulb Weighting'!$B$2:$C$17,MATCH(RIGHT('SC-New'!$D97,LEN($D97)-7),'Bulb Weighting'!$B$3:$B$17,0)+1,2)</f>
        <v>1.3458591740887112E-4</v>
      </c>
      <c r="P97" s="37">
        <f>VLOOKUP($C97,$C$33:$Y$36,P$31,FALSE)*$C$42*$A97/8760/1000*INDEX('Bulb Weighting'!$B$2:$C$17,MATCH(RIGHT('SC-New'!$D97,LEN($D97)-7),'Bulb Weighting'!$B$3:$B$17,0)+1,2)</f>
        <v>1.3760230158840509E-4</v>
      </c>
      <c r="Q97" s="37">
        <f>VLOOKUP($C97,$C$33:$Y$36,Q$31,FALSE)*$C$42*$A97/8760/1000*INDEX('Bulb Weighting'!$B$2:$C$17,MATCH(RIGHT('SC-New'!$D97,LEN($D97)-7),'Bulb Weighting'!$B$3:$B$17,0)+1,2)</f>
        <v>1.4026077339156546E-4</v>
      </c>
      <c r="R97" s="37">
        <f>VLOOKUP($C97,$C$33:$Y$36,R$31,FALSE)*$C$42*$A97/8760/1000*INDEX('Bulb Weighting'!$B$2:$C$17,MATCH(RIGHT('SC-New'!$D97,LEN($D97)-7),'Bulb Weighting'!$B$3:$B$17,0)+1,2)</f>
        <v>1.4233654356107884E-4</v>
      </c>
      <c r="S97" s="37">
        <f>VLOOKUP($C97,$C$33:$Y$36,S$31,FALSE)*$C$42*$A97/8760/1000*INDEX('Bulb Weighting'!$B$2:$C$17,MATCH(RIGHT('SC-New'!$D97,LEN($D97)-7),'Bulb Weighting'!$B$3:$B$17,0)+1,2)</f>
        <v>1.4388388650646514E-4</v>
      </c>
      <c r="T97" s="37">
        <f>VLOOKUP($C97,$C$33:$Y$36,T$31,FALSE)*$C$42*$A97/8760/1000*INDEX('Bulb Weighting'!$B$2:$C$17,MATCH(RIGHT('SC-New'!$D97,LEN($D97)-7),'Bulb Weighting'!$B$3:$B$17,0)+1,2)</f>
        <v>1.4497763141550223E-4</v>
      </c>
      <c r="U97" s="37">
        <f>VLOOKUP($C97,$C$33:$Y$36,U$31,FALSE)*$C$42*$A97/8760/1000*INDEX('Bulb Weighting'!$B$2:$C$17,MATCH(RIGHT('SC-New'!$D97,LEN($D97)-7),'Bulb Weighting'!$B$3:$B$17,0)+1,2)</f>
        <v>1.4578538166261739E-4</v>
      </c>
      <c r="V97" s="37">
        <f>VLOOKUP($C97,$C$33:$Y$36,V$31,FALSE)*$C$42*$A97/8760/1000*INDEX('Bulb Weighting'!$B$2:$C$17,MATCH(RIGHT('SC-New'!$D97,LEN($D97)-7),'Bulb Weighting'!$B$3:$B$17,0)+1,2)</f>
        <v>1.4650737915904044E-4</v>
      </c>
      <c r="W97" s="37">
        <f>VLOOKUP($C97,$C$33:$Y$36,W$31,FALSE)*$C$42*$A97/8760/1000*INDEX('Bulb Weighting'!$B$2:$C$17,MATCH(RIGHT('SC-New'!$D97,LEN($D97)-7),'Bulb Weighting'!$B$3:$B$17,0)+1,2)</f>
        <v>1.4710184360972956E-4</v>
      </c>
      <c r="X97" s="37">
        <f>VLOOKUP($C97,$C$33:$Y$36,X$31,FALSE)*$C$42*$A97/8760/1000*INDEX('Bulb Weighting'!$B$2:$C$17,MATCH(RIGHT('SC-New'!$D97,LEN($D97)-7),'Bulb Weighting'!$B$3:$B$17,0)+1,2)</f>
        <v>1.4754756912865148E-4</v>
      </c>
      <c r="Y97" s="37">
        <f t="shared" si="15"/>
        <v>2.3341711055525362E-3</v>
      </c>
      <c r="AA97" s="31"/>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c r="A98" s="89">
        <f t="shared" si="16"/>
        <v>21.322455076849025</v>
      </c>
      <c r="B98" s="71">
        <f t="shared" si="17"/>
        <v>-49.256412709384371</v>
      </c>
      <c r="C98" s="1" t="s">
        <v>30</v>
      </c>
      <c r="D98" t="s">
        <v>755</v>
      </c>
      <c r="E98" s="37">
        <f>VLOOKUP($C98,$C$33:$Y$36,E$31,FALSE)*$C$42*$A98/8760/1000*INDEX('Bulb Weighting'!$B$2:$C$17,MATCH(RIGHT('SC-New'!$D98,LEN($D98)-7),'Bulb Weighting'!$B$3:$B$17,0)+1,2)</f>
        <v>0</v>
      </c>
      <c r="F98" s="37">
        <f>VLOOKUP($C98,$C$33:$Y$36,F$31,FALSE)*$C$42*$A98/8760/1000*INDEX('Bulb Weighting'!$B$2:$C$17,MATCH(RIGHT('SC-New'!$D98,LEN($D98)-7),'Bulb Weighting'!$B$3:$B$17,0)+1,2)</f>
        <v>7.1564664201247748E-4</v>
      </c>
      <c r="G98" s="37">
        <f>VLOOKUP($C98,$C$33:$Y$36,G$31,FALSE)*$C$42*$A98/8760/1000*INDEX('Bulb Weighting'!$B$2:$C$17,MATCH(RIGHT('SC-New'!$D98,LEN($D98)-7),'Bulb Weighting'!$B$3:$B$17,0)+1,2)</f>
        <v>9.5271427178776863E-4</v>
      </c>
      <c r="H98" s="37">
        <f>VLOOKUP($C98,$C$33:$Y$36,H$31,FALSE)*$C$42*$A98/8760/1000*INDEX('Bulb Weighting'!$B$2:$C$17,MATCH(RIGHT('SC-New'!$D98,LEN($D98)-7),'Bulb Weighting'!$B$3:$B$17,0)+1,2)</f>
        <v>1.1587106635664677E-3</v>
      </c>
      <c r="I98" s="37">
        <f>VLOOKUP($C98,$C$33:$Y$36,I$31,FALSE)*$C$42*$A98/8760/1000*INDEX('Bulb Weighting'!$B$2:$C$17,MATCH(RIGHT('SC-New'!$D98,LEN($D98)-7),'Bulb Weighting'!$B$3:$B$17,0)+1,2)</f>
        <v>1.2684012441832699E-3</v>
      </c>
      <c r="J98" s="37">
        <f>VLOOKUP($C98,$C$33:$Y$36,J$31,FALSE)*$C$42*$A98/8760/1000*INDEX('Bulb Weighting'!$B$2:$C$17,MATCH(RIGHT('SC-New'!$D98,LEN($D98)-7),'Bulb Weighting'!$B$3:$B$17,0)+1,2)</f>
        <v>1.3719211089745565E-3</v>
      </c>
      <c r="K98" s="37">
        <f>VLOOKUP($C98,$C$33:$Y$36,K$31,FALSE)*$C$42*$A98/8760/1000*INDEX('Bulb Weighting'!$B$2:$C$17,MATCH(RIGHT('SC-New'!$D98,LEN($D98)-7),'Bulb Weighting'!$B$3:$B$17,0)+1,2)</f>
        <v>1.482650731340331E-3</v>
      </c>
      <c r="L98" s="37">
        <f>VLOOKUP($C98,$C$33:$Y$36,L$31,FALSE)*$C$42*$A98/8760/1000*INDEX('Bulb Weighting'!$B$2:$C$17,MATCH(RIGHT('SC-New'!$D98,LEN($D98)-7),'Bulb Weighting'!$B$3:$B$17,0)+1,2)</f>
        <v>1.5817248595669786E-3</v>
      </c>
      <c r="M98" s="37">
        <f>VLOOKUP($C98,$C$33:$Y$36,M$31,FALSE)*$C$42*$A98/8760/1000*INDEX('Bulb Weighting'!$B$2:$C$17,MATCH(RIGHT('SC-New'!$D98,LEN($D98)-7),'Bulb Weighting'!$B$3:$B$17,0)+1,2)</f>
        <v>1.6673679033837416E-3</v>
      </c>
      <c r="N98" s="37">
        <f>VLOOKUP($C98,$C$33:$Y$36,N$31,FALSE)*$C$42*$A98/8760/1000*INDEX('Bulb Weighting'!$B$2:$C$17,MATCH(RIGHT('SC-New'!$D98,LEN($D98)-7),'Bulb Weighting'!$B$3:$B$17,0)+1,2)</f>
        <v>1.733010489245249E-3</v>
      </c>
      <c r="O98" s="37">
        <f>VLOOKUP($C98,$C$33:$Y$36,O$31,FALSE)*$C$42*$A98/8760/1000*INDEX('Bulb Weighting'!$B$2:$C$17,MATCH(RIGHT('SC-New'!$D98,LEN($D98)-7),'Bulb Weighting'!$B$3:$B$17,0)+1,2)</f>
        <v>1.7772590537255904E-3</v>
      </c>
      <c r="P98" s="37">
        <f>VLOOKUP($C98,$C$33:$Y$36,P$31,FALSE)*$C$42*$A98/8760/1000*INDEX('Bulb Weighting'!$B$2:$C$17,MATCH(RIGHT('SC-New'!$D98,LEN($D98)-7),'Bulb Weighting'!$B$3:$B$17,0)+1,2)</f>
        <v>1.8170915725789938E-3</v>
      </c>
      <c r="Q98" s="37">
        <f>VLOOKUP($C98,$C$33:$Y$36,Q$31,FALSE)*$C$42*$A98/8760/1000*INDEX('Bulb Weighting'!$B$2:$C$17,MATCH(RIGHT('SC-New'!$D98,LEN($D98)-7),'Bulb Weighting'!$B$3:$B$17,0)+1,2)</f>
        <v>1.8521977201775351E-3</v>
      </c>
      <c r="R98" s="37">
        <f>VLOOKUP($C98,$C$33:$Y$36,R$31,FALSE)*$C$42*$A98/8760/1000*INDEX('Bulb Weighting'!$B$2:$C$17,MATCH(RIGHT('SC-New'!$D98,LEN($D98)-7),'Bulb Weighting'!$B$3:$B$17,0)+1,2)</f>
        <v>1.879609067503076E-3</v>
      </c>
      <c r="S98" s="37">
        <f>VLOOKUP($C98,$C$33:$Y$36,S$31,FALSE)*$C$42*$A98/8760/1000*INDEX('Bulb Weighting'!$B$2:$C$17,MATCH(RIGHT('SC-New'!$D98,LEN($D98)-7),'Bulb Weighting'!$B$3:$B$17,0)+1,2)</f>
        <v>1.9000423291091299E-3</v>
      </c>
      <c r="T98" s="37">
        <f>VLOOKUP($C98,$C$33:$Y$36,T$31,FALSE)*$C$42*$A98/8760/1000*INDEX('Bulb Weighting'!$B$2:$C$17,MATCH(RIGHT('SC-New'!$D98,LEN($D98)-7),'Bulb Weighting'!$B$3:$B$17,0)+1,2)</f>
        <v>1.9144856533400518E-3</v>
      </c>
      <c r="U98" s="37">
        <f>VLOOKUP($C98,$C$33:$Y$36,U$31,FALSE)*$C$42*$A98/8760/1000*INDEX('Bulb Weighting'!$B$2:$C$17,MATCH(RIGHT('SC-New'!$D98,LEN($D98)-7),'Bulb Weighting'!$B$3:$B$17,0)+1,2)</f>
        <v>1.9251523075299794E-3</v>
      </c>
      <c r="V98" s="37">
        <f>VLOOKUP($C98,$C$33:$Y$36,V$31,FALSE)*$C$42*$A98/8760/1000*INDEX('Bulb Weighting'!$B$2:$C$17,MATCH(RIGHT('SC-New'!$D98,LEN($D98)-7),'Bulb Weighting'!$B$3:$B$17,0)+1,2)</f>
        <v>1.9346865635055635E-3</v>
      </c>
      <c r="W98" s="37">
        <f>VLOOKUP($C98,$C$33:$Y$36,W$31,FALSE)*$C$42*$A98/8760/1000*INDEX('Bulb Weighting'!$B$2:$C$17,MATCH(RIGHT('SC-New'!$D98,LEN($D98)-7),'Bulb Weighting'!$B$3:$B$17,0)+1,2)</f>
        <v>1.9425366963236621E-3</v>
      </c>
      <c r="X98" s="37">
        <f>VLOOKUP($C98,$C$33:$Y$36,X$31,FALSE)*$C$42*$A98/8760/1000*INDEX('Bulb Weighting'!$B$2:$C$17,MATCH(RIGHT('SC-New'!$D98,LEN($D98)-7),'Bulb Weighting'!$B$3:$B$17,0)+1,2)</f>
        <v>1.9484226740636207E-3</v>
      </c>
      <c r="Y98" s="37">
        <f t="shared" si="15"/>
        <v>3.0823631551918043E-2</v>
      </c>
      <c r="AA98" s="31"/>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c r="A99" s="89">
        <f t="shared" si="16"/>
        <v>16.258824982644914</v>
      </c>
      <c r="B99" s="71">
        <f t="shared" si="17"/>
        <v>-57.558538168362972</v>
      </c>
      <c r="C99" s="1" t="s">
        <v>30</v>
      </c>
      <c r="D99" t="s">
        <v>756</v>
      </c>
      <c r="E99" s="37">
        <f>VLOOKUP($C99,$C$33:$Y$36,E$31,FALSE)*$C$42*$A99/8760/1000*INDEX('Bulb Weighting'!$B$2:$C$17,MATCH(RIGHT('SC-New'!$D99,LEN($D99)-7),'Bulb Weighting'!$B$3:$B$17,0)+1,2)</f>
        <v>0</v>
      </c>
      <c r="F99" s="37">
        <f>VLOOKUP($C99,$C$33:$Y$36,F$31,FALSE)*$C$42*$A99/8760/1000*INDEX('Bulb Weighting'!$B$2:$C$17,MATCH(RIGHT('SC-New'!$D99,LEN($D99)-7),'Bulb Weighting'!$B$3:$B$17,0)+1,2)</f>
        <v>5.51409167334587E-3</v>
      </c>
      <c r="G99" s="37">
        <f>VLOOKUP($C99,$C$33:$Y$36,G$31,FALSE)*$C$42*$A99/8760/1000*INDEX('Bulb Weighting'!$B$2:$C$17,MATCH(RIGHT('SC-New'!$D99,LEN($D99)-7),'Bulb Weighting'!$B$3:$B$17,0)+1,2)</f>
        <v>7.3407091219902867E-3</v>
      </c>
      <c r="H99" s="37">
        <f>VLOOKUP($C99,$C$33:$Y$36,H$31,FALSE)*$C$42*$A99/8760/1000*INDEX('Bulb Weighting'!$B$2:$C$17,MATCH(RIGHT('SC-New'!$D99,LEN($D99)-7),'Bulb Weighting'!$B$3:$B$17,0)+1,2)</f>
        <v>8.9279211928133817E-3</v>
      </c>
      <c r="I99" s="37">
        <f>VLOOKUP($C99,$C$33:$Y$36,I$31,FALSE)*$C$42*$A99/8760/1000*INDEX('Bulb Weighting'!$B$2:$C$17,MATCH(RIGHT('SC-New'!$D99,LEN($D99)-7),'Bulb Weighting'!$B$3:$B$17,0)+1,2)</f>
        <v>9.7730923732757043E-3</v>
      </c>
      <c r="J99" s="37">
        <f>VLOOKUP($C99,$C$33:$Y$36,J$31,FALSE)*$C$42*$A99/8760/1000*INDEX('Bulb Weighting'!$B$2:$C$17,MATCH(RIGHT('SC-New'!$D99,LEN($D99)-7),'Bulb Weighting'!$B$3:$B$17,0)+1,2)</f>
        <v>1.0570717892577131E-2</v>
      </c>
      <c r="K99" s="37">
        <f>VLOOKUP($C99,$C$33:$Y$36,K$31,FALSE)*$C$42*$A99/8760/1000*INDEX('Bulb Weighting'!$B$2:$C$17,MATCH(RIGHT('SC-New'!$D99,LEN($D99)-7),'Bulb Weighting'!$B$3:$B$17,0)+1,2)</f>
        <v>1.1423894939510305E-2</v>
      </c>
      <c r="L99" s="37">
        <f>VLOOKUP($C99,$C$33:$Y$36,L$31,FALSE)*$C$42*$A99/8760/1000*INDEX('Bulb Weighting'!$B$2:$C$17,MATCH(RIGHT('SC-New'!$D99,LEN($D99)-7),'Bulb Weighting'!$B$3:$B$17,0)+1,2)</f>
        <v>1.2187265845523772E-2</v>
      </c>
      <c r="M99" s="37">
        <f>VLOOKUP($C99,$C$33:$Y$36,M$31,FALSE)*$C$42*$A99/8760/1000*INDEX('Bulb Weighting'!$B$2:$C$17,MATCH(RIGHT('SC-New'!$D99,LEN($D99)-7),'Bulb Weighting'!$B$3:$B$17,0)+1,2)</f>
        <v>1.2847149602487973E-2</v>
      </c>
      <c r="N99" s="37">
        <f>VLOOKUP($C99,$C$33:$Y$36,N$31,FALSE)*$C$42*$A99/8760/1000*INDEX('Bulb Weighting'!$B$2:$C$17,MATCH(RIGHT('SC-New'!$D99,LEN($D99)-7),'Bulb Weighting'!$B$3:$B$17,0)+1,2)</f>
        <v>1.3352928872405261E-2</v>
      </c>
      <c r="O99" s="37">
        <f>VLOOKUP($C99,$C$33:$Y$36,O$31,FALSE)*$C$42*$A99/8760/1000*INDEX('Bulb Weighting'!$B$2:$C$17,MATCH(RIGHT('SC-New'!$D99,LEN($D99)-7),'Bulb Weighting'!$B$3:$B$17,0)+1,2)</f>
        <v>1.369386618229388E-2</v>
      </c>
      <c r="P99" s="37">
        <f>VLOOKUP($C99,$C$33:$Y$36,P$31,FALSE)*$C$42*$A99/8760/1000*INDEX('Bulb Weighting'!$B$2:$C$17,MATCH(RIGHT('SC-New'!$D99,LEN($D99)-7),'Bulb Weighting'!$B$3:$B$17,0)+1,2)</f>
        <v>1.4000777648992435E-2</v>
      </c>
      <c r="Q99" s="37">
        <f>VLOOKUP($C99,$C$33:$Y$36,Q$31,FALSE)*$C$42*$A99/8760/1000*INDEX('Bulb Weighting'!$B$2:$C$17,MATCH(RIGHT('SC-New'!$D99,LEN($D99)-7),'Bulb Weighting'!$B$3:$B$17,0)+1,2)</f>
        <v>1.4271272198665723E-2</v>
      </c>
      <c r="R99" s="37">
        <f>VLOOKUP($C99,$C$33:$Y$36,R$31,FALSE)*$C$42*$A99/8760/1000*INDEX('Bulb Weighting'!$B$2:$C$17,MATCH(RIGHT('SC-New'!$D99,LEN($D99)-7),'Bulb Weighting'!$B$3:$B$17,0)+1,2)</f>
        <v>1.4482477943470046E-2</v>
      </c>
      <c r="S99" s="37">
        <f>VLOOKUP($C99,$C$33:$Y$36,S$31,FALSE)*$C$42*$A99/8760/1000*INDEX('Bulb Weighting'!$B$2:$C$17,MATCH(RIGHT('SC-New'!$D99,LEN($D99)-7),'Bulb Weighting'!$B$3:$B$17,0)+1,2)</f>
        <v>1.4639917203388036E-2</v>
      </c>
      <c r="T99" s="37">
        <f>VLOOKUP($C99,$C$33:$Y$36,T$31,FALSE)*$C$42*$A99/8760/1000*INDEX('Bulb Weighting'!$B$2:$C$17,MATCH(RIGHT('SC-New'!$D99,LEN($D99)-7),'Bulb Weighting'!$B$3:$B$17,0)+1,2)</f>
        <v>1.4751203708768961E-2</v>
      </c>
      <c r="U99" s="37">
        <f>VLOOKUP($C99,$C$33:$Y$36,U$31,FALSE)*$C$42*$A99/8760/1000*INDEX('Bulb Weighting'!$B$2:$C$17,MATCH(RIGHT('SC-New'!$D99,LEN($D99)-7),'Bulb Weighting'!$B$3:$B$17,0)+1,2)</f>
        <v>1.4833390790490937E-2</v>
      </c>
      <c r="V99" s="37">
        <f>VLOOKUP($C99,$C$33:$Y$36,V$31,FALSE)*$C$42*$A99/8760/1000*INDEX('Bulb Weighting'!$B$2:$C$17,MATCH(RIGHT('SC-New'!$D99,LEN($D99)-7),'Bulb Weighting'!$B$3:$B$17,0)+1,2)</f>
        <v>1.4906852689702365E-2</v>
      </c>
      <c r="W99" s="37">
        <f>VLOOKUP($C99,$C$33:$Y$36,W$31,FALSE)*$C$42*$A99/8760/1000*INDEX('Bulb Weighting'!$B$2:$C$17,MATCH(RIGHT('SC-New'!$D99,LEN($D99)-7),'Bulb Weighting'!$B$3:$B$17,0)+1,2)</f>
        <v>1.4967338339275471E-2</v>
      </c>
      <c r="X99" s="37">
        <f>VLOOKUP($C99,$C$33:$Y$36,X$31,FALSE)*$C$42*$A99/8760/1000*INDEX('Bulb Weighting'!$B$2:$C$17,MATCH(RIGHT('SC-New'!$D99,LEN($D99)-7),'Bulb Weighting'!$B$3:$B$17,0)+1,2)</f>
        <v>1.5012690079841367E-2</v>
      </c>
      <c r="Y99" s="37">
        <f t="shared" si="15"/>
        <v>0.23749755829881891</v>
      </c>
      <c r="AA99" s="31"/>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c r="A100" s="89">
        <f t="shared" si="16"/>
        <v>87.041761167225999</v>
      </c>
      <c r="B100" s="71">
        <f t="shared" si="17"/>
        <v>-31.342168529326845</v>
      </c>
      <c r="C100" s="1" t="s">
        <v>30</v>
      </c>
      <c r="D100" t="s">
        <v>757</v>
      </c>
      <c r="E100" s="37">
        <f>VLOOKUP($C100,$C$33:$Y$36,E$31,FALSE)*$C$42*$A100/8760/1000*INDEX('Bulb Weighting'!$B$2:$C$17,MATCH(RIGHT('SC-New'!$D100,LEN($D100)-7),'Bulb Weighting'!$B$3:$B$17,0)+1,2)</f>
        <v>0</v>
      </c>
      <c r="F100" s="37">
        <f>VLOOKUP($C100,$C$33:$Y$36,F$31,FALSE)*$C$42*$A100/8760/1000*INDEX('Bulb Weighting'!$B$2:$C$17,MATCH(RIGHT('SC-New'!$D100,LEN($D100)-7),'Bulb Weighting'!$B$3:$B$17,0)+1,2)</f>
        <v>2.4258530282906627E-3</v>
      </c>
      <c r="G100" s="37">
        <f>VLOOKUP($C100,$C$33:$Y$36,G$31,FALSE)*$C$42*$A100/8760/1000*INDEX('Bulb Weighting'!$B$2:$C$17,MATCH(RIGHT('SC-New'!$D100,LEN($D100)-7),'Bulb Weighting'!$B$3:$B$17,0)+1,2)</f>
        <v>3.2294496552277498E-3</v>
      </c>
      <c r="H100" s="37">
        <f>VLOOKUP($C100,$C$33:$Y$36,H$31,FALSE)*$C$42*$A100/8760/1000*INDEX('Bulb Weighting'!$B$2:$C$17,MATCH(RIGHT('SC-New'!$D100,LEN($D100)-7),'Bulb Weighting'!$B$3:$B$17,0)+1,2)</f>
        <v>3.9277229949978469E-3</v>
      </c>
      <c r="I100" s="37">
        <f>VLOOKUP($C100,$C$33:$Y$36,I$31,FALSE)*$C$42*$A100/8760/1000*INDEX('Bulb Weighting'!$B$2:$C$17,MATCH(RIGHT('SC-New'!$D100,LEN($D100)-7),'Bulb Weighting'!$B$3:$B$17,0)+1,2)</f>
        <v>4.2995450808472916E-3</v>
      </c>
      <c r="J100" s="37">
        <f>VLOOKUP($C100,$C$33:$Y$36,J$31,FALSE)*$C$42*$A100/8760/1000*INDEX('Bulb Weighting'!$B$2:$C$17,MATCH(RIGHT('SC-New'!$D100,LEN($D100)-7),'Bulb Weighting'!$B$3:$B$17,0)+1,2)</f>
        <v>4.6504500704745667E-3</v>
      </c>
      <c r="K100" s="37">
        <f>VLOOKUP($C100,$C$33:$Y$36,K$31,FALSE)*$C$42*$A100/8760/1000*INDEX('Bulb Weighting'!$B$2:$C$17,MATCH(RIGHT('SC-New'!$D100,LEN($D100)-7),'Bulb Weighting'!$B$3:$B$17,0)+1,2)</f>
        <v>5.0257942333174523E-3</v>
      </c>
      <c r="L100" s="37">
        <f>VLOOKUP($C100,$C$33:$Y$36,L$31,FALSE)*$C$42*$A100/8760/1000*INDEX('Bulb Weighting'!$B$2:$C$17,MATCH(RIGHT('SC-New'!$D100,LEN($D100)-7),'Bulb Weighting'!$B$3:$B$17,0)+1,2)</f>
        <v>5.3616293506429666E-3</v>
      </c>
      <c r="M100" s="37">
        <f>VLOOKUP($C100,$C$33:$Y$36,M$31,FALSE)*$C$42*$A100/8760/1000*INDEX('Bulb Weighting'!$B$2:$C$17,MATCH(RIGHT('SC-New'!$D100,LEN($D100)-7),'Bulb Weighting'!$B$3:$B$17,0)+1,2)</f>
        <v>5.6519366405796429E-3</v>
      </c>
      <c r="N100" s="37">
        <f>VLOOKUP($C100,$C$33:$Y$36,N$31,FALSE)*$C$42*$A100/8760/1000*INDEX('Bulb Weighting'!$B$2:$C$17,MATCH(RIGHT('SC-New'!$D100,LEN($D100)-7),'Bulb Weighting'!$B$3:$B$17,0)+1,2)</f>
        <v>5.8744476625683288E-3</v>
      </c>
      <c r="O100" s="37">
        <f>VLOOKUP($C100,$C$33:$Y$36,O$31,FALSE)*$C$42*$A100/8760/1000*INDEX('Bulb Weighting'!$B$2:$C$17,MATCH(RIGHT('SC-New'!$D100,LEN($D100)-7),'Bulb Weighting'!$B$3:$B$17,0)+1,2)</f>
        <v>6.0244386048024703E-3</v>
      </c>
      <c r="P100" s="37">
        <f>VLOOKUP($C100,$C$33:$Y$36,P$31,FALSE)*$C$42*$A100/8760/1000*INDEX('Bulb Weighting'!$B$2:$C$17,MATCH(RIGHT('SC-New'!$D100,LEN($D100)-7),'Bulb Weighting'!$B$3:$B$17,0)+1,2)</f>
        <v>6.1594603191687178E-3</v>
      </c>
      <c r="Q100" s="37">
        <f>VLOOKUP($C100,$C$33:$Y$36,Q$31,FALSE)*$C$42*$A100/8760/1000*INDEX('Bulb Weighting'!$B$2:$C$17,MATCH(RIGHT('SC-New'!$D100,LEN($D100)-7),'Bulb Weighting'!$B$3:$B$17,0)+1,2)</f>
        <v>6.2784608837826361E-3</v>
      </c>
      <c r="R100" s="37">
        <f>VLOOKUP($C100,$C$33:$Y$36,R$31,FALSE)*$C$42*$A100/8760/1000*INDEX('Bulb Weighting'!$B$2:$C$17,MATCH(RIGHT('SC-New'!$D100,LEN($D100)-7),'Bulb Weighting'!$B$3:$B$17,0)+1,2)</f>
        <v>6.3713781085909553E-3</v>
      </c>
      <c r="S100" s="37">
        <f>VLOOKUP($C100,$C$33:$Y$36,S$31,FALSE)*$C$42*$A100/8760/1000*INDEX('Bulb Weighting'!$B$2:$C$17,MATCH(RIGHT('SC-New'!$D100,LEN($D100)-7),'Bulb Weighting'!$B$3:$B$17,0)+1,2)</f>
        <v>6.4406414665597852E-3</v>
      </c>
      <c r="T100" s="37">
        <f>VLOOKUP($C100,$C$33:$Y$36,T$31,FALSE)*$C$42*$A100/8760/1000*INDEX('Bulb Weighting'!$B$2:$C$17,MATCH(RIGHT('SC-New'!$D100,LEN($D100)-7),'Bulb Weighting'!$B$3:$B$17,0)+1,2)</f>
        <v>6.489600519487969E-3</v>
      </c>
      <c r="U100" s="37">
        <f>VLOOKUP($C100,$C$33:$Y$36,U$31,FALSE)*$C$42*$A100/8760/1000*INDEX('Bulb Weighting'!$B$2:$C$17,MATCH(RIGHT('SC-New'!$D100,LEN($D100)-7),'Bulb Weighting'!$B$3:$B$17,0)+1,2)</f>
        <v>6.5257576588488115E-3</v>
      </c>
      <c r="V100" s="37">
        <f>VLOOKUP($C100,$C$33:$Y$36,V$31,FALSE)*$C$42*$A100/8760/1000*INDEX('Bulb Weighting'!$B$2:$C$17,MATCH(RIGHT('SC-New'!$D100,LEN($D100)-7),'Bulb Weighting'!$B$3:$B$17,0)+1,2)</f>
        <v>6.55807626746525E-3</v>
      </c>
      <c r="W100" s="37">
        <f>VLOOKUP($C100,$C$33:$Y$36,W$31,FALSE)*$C$42*$A100/8760/1000*INDEX('Bulb Weighting'!$B$2:$C$17,MATCH(RIGHT('SC-New'!$D100,LEN($D100)-7),'Bulb Weighting'!$B$3:$B$17,0)+1,2)</f>
        <v>6.5846861435567743E-3</v>
      </c>
      <c r="X100" s="37">
        <f>VLOOKUP($C100,$C$33:$Y$36,X$31,FALSE)*$C$42*$A100/8760/1000*INDEX('Bulb Weighting'!$B$2:$C$17,MATCH(RIGHT('SC-New'!$D100,LEN($D100)-7),'Bulb Weighting'!$B$3:$B$17,0)+1,2)</f>
        <v>6.6046380529023955E-3</v>
      </c>
      <c r="Y100" s="37">
        <f t="shared" si="15"/>
        <v>0.10448396674211229</v>
      </c>
      <c r="AA100" s="31"/>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c r="A101" s="89">
        <f t="shared" si="16"/>
        <v>50.673589083344737</v>
      </c>
      <c r="B101" s="71">
        <f t="shared" si="17"/>
        <v>-6.4266835469852737</v>
      </c>
      <c r="C101" s="1" t="s">
        <v>30</v>
      </c>
      <c r="D101" t="s">
        <v>758</v>
      </c>
      <c r="E101" s="37">
        <f>VLOOKUP($C101,$C$33:$Y$36,E$31,FALSE)*$C$42*$A101/8760/1000*INDEX('Bulb Weighting'!$B$2:$C$17,MATCH(RIGHT('SC-New'!$D101,LEN($D101)-7),'Bulb Weighting'!$B$3:$B$17,0)+1,2)</f>
        <v>0</v>
      </c>
      <c r="F101" s="37">
        <f>VLOOKUP($C101,$C$33:$Y$36,F$31,FALSE)*$C$42*$A101/8760/1000*INDEX('Bulb Weighting'!$B$2:$C$17,MATCH(RIGHT('SC-New'!$D101,LEN($D101)-7),'Bulb Weighting'!$B$3:$B$17,0)+1,2)</f>
        <v>2.2160470135262797E-5</v>
      </c>
      <c r="G101" s="37">
        <f>VLOOKUP($C101,$C$33:$Y$36,G$31,FALSE)*$C$42*$A101/8760/1000*INDEX('Bulb Weighting'!$B$2:$C$17,MATCH(RIGHT('SC-New'!$D101,LEN($D101)-7),'Bulb Weighting'!$B$3:$B$17,0)+1,2)</f>
        <v>2.9501425603032988E-5</v>
      </c>
      <c r="H101" s="37">
        <f>VLOOKUP($C101,$C$33:$Y$36,H$31,FALSE)*$C$42*$A101/8760/1000*INDEX('Bulb Weighting'!$B$2:$C$17,MATCH(RIGHT('SC-New'!$D101,LEN($D101)-7),'Bulb Weighting'!$B$3:$B$17,0)+1,2)</f>
        <v>3.5880239699255868E-5</v>
      </c>
      <c r="I101" s="37">
        <f>VLOOKUP($C101,$C$33:$Y$36,I$31,FALSE)*$C$42*$A101/8760/1000*INDEX('Bulb Weighting'!$B$2:$C$17,MATCH(RIGHT('SC-New'!$D101,LEN($D101)-7),'Bulb Weighting'!$B$3:$B$17,0)+1,2)</f>
        <v>3.9276880853111651E-5</v>
      </c>
      <c r="J101" s="37">
        <f>VLOOKUP($C101,$C$33:$Y$36,J$31,FALSE)*$C$42*$A101/8760/1000*INDEX('Bulb Weighting'!$B$2:$C$17,MATCH(RIGHT('SC-New'!$D101,LEN($D101)-7),'Bulb Weighting'!$B$3:$B$17,0)+1,2)</f>
        <v>4.248244172273668E-5</v>
      </c>
      <c r="K101" s="37">
        <f>VLOOKUP($C101,$C$33:$Y$36,K$31,FALSE)*$C$42*$A101/8760/1000*INDEX('Bulb Weighting'!$B$2:$C$17,MATCH(RIGHT('SC-New'!$D101,LEN($D101)-7),'Bulb Weighting'!$B$3:$B$17,0)+1,2)</f>
        <v>4.5911257489447002E-5</v>
      </c>
      <c r="L101" s="37">
        <f>VLOOKUP($C101,$C$33:$Y$36,L$31,FALSE)*$C$42*$A101/8760/1000*INDEX('Bulb Weighting'!$B$2:$C$17,MATCH(RIGHT('SC-New'!$D101,LEN($D101)-7),'Bulb Weighting'!$B$3:$B$17,0)+1,2)</f>
        <v>4.8979153195028386E-5</v>
      </c>
      <c r="M101" s="37">
        <f>VLOOKUP($C101,$C$33:$Y$36,M$31,FALSE)*$C$42*$A101/8760/1000*INDEX('Bulb Weighting'!$B$2:$C$17,MATCH(RIGHT('SC-New'!$D101,LEN($D101)-7),'Bulb Weighting'!$B$3:$B$17,0)+1,2)</f>
        <v>5.1631146516002145E-5</v>
      </c>
      <c r="N101" s="37">
        <f>VLOOKUP($C101,$C$33:$Y$36,N$31,FALSE)*$C$42*$A101/8760/1000*INDEX('Bulb Weighting'!$B$2:$C$17,MATCH(RIGHT('SC-New'!$D101,LEN($D101)-7),'Bulb Weighting'!$B$3:$B$17,0)+1,2)</f>
        <v>5.3663812468985113E-5</v>
      </c>
      <c r="O101" s="37">
        <f>VLOOKUP($C101,$C$33:$Y$36,O$31,FALSE)*$C$42*$A101/8760/1000*INDEX('Bulb Weighting'!$B$2:$C$17,MATCH(RIGHT('SC-New'!$D101,LEN($D101)-7),'Bulb Weighting'!$B$3:$B$17,0)+1,2)</f>
        <v>5.5033998443640679E-5</v>
      </c>
      <c r="P101" s="37">
        <f>VLOOKUP($C101,$C$33:$Y$36,P$31,FALSE)*$C$42*$A101/8760/1000*INDEX('Bulb Weighting'!$B$2:$C$17,MATCH(RIGHT('SC-New'!$D101,LEN($D101)-7),'Bulb Weighting'!$B$3:$B$17,0)+1,2)</f>
        <v>5.6267438653715404E-5</v>
      </c>
      <c r="Q101" s="37">
        <f>VLOOKUP($C101,$C$33:$Y$36,Q$31,FALSE)*$C$42*$A101/8760/1000*INDEX('Bulb Weighting'!$B$2:$C$17,MATCH(RIGHT('SC-New'!$D101,LEN($D101)-7),'Bulb Weighting'!$B$3:$B$17,0)+1,2)</f>
        <v>5.735452366152577E-5</v>
      </c>
      <c r="R101" s="37">
        <f>VLOOKUP($C101,$C$33:$Y$36,R$31,FALSE)*$C$42*$A101/8760/1000*INDEX('Bulb Weighting'!$B$2:$C$17,MATCH(RIGHT('SC-New'!$D101,LEN($D101)-7),'Bulb Weighting'!$B$3:$B$17,0)+1,2)</f>
        <v>5.8203334105275996E-5</v>
      </c>
      <c r="S101" s="37">
        <f>VLOOKUP($C101,$C$33:$Y$36,S$31,FALSE)*$C$42*$A101/8760/1000*INDEX('Bulb Weighting'!$B$2:$C$17,MATCH(RIGHT('SC-New'!$D101,LEN($D101)-7),'Bulb Weighting'!$B$3:$B$17,0)+1,2)</f>
        <v>5.8836063523685082E-5</v>
      </c>
      <c r="T101" s="37">
        <f>VLOOKUP($C101,$C$33:$Y$36,T$31,FALSE)*$C$42*$A101/8760/1000*INDEX('Bulb Weighting'!$B$2:$C$17,MATCH(RIGHT('SC-New'!$D101,LEN($D101)-7),'Bulb Weighting'!$B$3:$B$17,0)+1,2)</f>
        <v>5.9283310581776749E-5</v>
      </c>
      <c r="U101" s="37">
        <f>VLOOKUP($C101,$C$33:$Y$36,U$31,FALSE)*$C$42*$A101/8760/1000*INDEX('Bulb Weighting'!$B$2:$C$17,MATCH(RIGHT('SC-New'!$D101,LEN($D101)-7),'Bulb Weighting'!$B$3:$B$17,0)+1,2)</f>
        <v>5.961361056188193E-5</v>
      </c>
      <c r="V101" s="37">
        <f>VLOOKUP($C101,$C$33:$Y$36,V$31,FALSE)*$C$42*$A101/8760/1000*INDEX('Bulb Weighting'!$B$2:$C$17,MATCH(RIGHT('SC-New'!$D101,LEN($D101)-7),'Bulb Weighting'!$B$3:$B$17,0)+1,2)</f>
        <v>5.9908845084627307E-5</v>
      </c>
      <c r="W101" s="37">
        <f>VLOOKUP($C101,$C$33:$Y$36,W$31,FALSE)*$C$42*$A101/8760/1000*INDEX('Bulb Weighting'!$B$2:$C$17,MATCH(RIGHT('SC-New'!$D101,LEN($D101)-7),'Bulb Weighting'!$B$3:$B$17,0)+1,2)</f>
        <v>6.0151929623365754E-5</v>
      </c>
      <c r="X101" s="37">
        <f>VLOOKUP($C101,$C$33:$Y$36,X$31,FALSE)*$C$42*$A101/8760/1000*INDEX('Bulb Weighting'!$B$2:$C$17,MATCH(RIGHT('SC-New'!$D101,LEN($D101)-7),'Bulb Weighting'!$B$3:$B$17,0)+1,2)</f>
        <v>6.03341928050337E-5</v>
      </c>
      <c r="Y101" s="37">
        <f t="shared" si="15"/>
        <v>9.544740747273908E-4</v>
      </c>
      <c r="AA101" s="3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c r="A102" s="89">
        <f t="shared" si="16"/>
        <v>54.583633546821666</v>
      </c>
      <c r="B102" s="71">
        <f t="shared" si="17"/>
        <v>-12.334283459818346</v>
      </c>
      <c r="C102" s="1" t="s">
        <v>30</v>
      </c>
      <c r="D102" t="s">
        <v>759</v>
      </c>
      <c r="E102" s="37">
        <f>VLOOKUP($C102,$C$33:$Y$36,E$31,FALSE)*$C$42*$A102/8760/1000*INDEX('Bulb Weighting'!$B$2:$C$17,MATCH(RIGHT('SC-New'!$D102,LEN($D102)-7),'Bulb Weighting'!$B$3:$B$17,0)+1,2)</f>
        <v>0</v>
      </c>
      <c r="F102" s="37">
        <f>VLOOKUP($C102,$C$33:$Y$36,F$31,FALSE)*$C$42*$A102/8760/1000*INDEX('Bulb Weighting'!$B$2:$C$17,MATCH(RIGHT('SC-New'!$D102,LEN($D102)-7),'Bulb Weighting'!$B$3:$B$17,0)+1,2)</f>
        <v>2.9464242544410807E-4</v>
      </c>
      <c r="G102" s="37">
        <f>VLOOKUP($C102,$C$33:$Y$36,G$31,FALSE)*$C$42*$A102/8760/1000*INDEX('Bulb Weighting'!$B$2:$C$17,MATCH(RIGHT('SC-New'!$D102,LEN($D102)-7),'Bulb Weighting'!$B$3:$B$17,0)+1,2)</f>
        <v>3.9224671411211765E-4</v>
      </c>
      <c r="H102" s="37">
        <f>VLOOKUP($C102,$C$33:$Y$36,H$31,FALSE)*$C$42*$A102/8760/1000*INDEX('Bulb Weighting'!$B$2:$C$17,MATCH(RIGHT('SC-New'!$D102,LEN($D102)-7),'Bulb Weighting'!$B$3:$B$17,0)+1,2)</f>
        <v>4.770585094078084E-4</v>
      </c>
      <c r="I102" s="37">
        <f>VLOOKUP($C102,$C$33:$Y$36,I$31,FALSE)*$C$42*$A102/8760/1000*INDEX('Bulb Weighting'!$B$2:$C$17,MATCH(RIGHT('SC-New'!$D102,LEN($D102)-7),'Bulb Weighting'!$B$3:$B$17,0)+1,2)</f>
        <v>5.2221976193659973E-4</v>
      </c>
      <c r="J102" s="37">
        <f>VLOOKUP($C102,$C$33:$Y$36,J$31,FALSE)*$C$42*$A102/8760/1000*INDEX('Bulb Weighting'!$B$2:$C$17,MATCH(RIGHT('SC-New'!$D102,LEN($D102)-7),'Bulb Weighting'!$B$3:$B$17,0)+1,2)</f>
        <v>5.6484043847324582E-4</v>
      </c>
      <c r="K102" s="37">
        <f>VLOOKUP($C102,$C$33:$Y$36,K$31,FALSE)*$C$42*$A102/8760/1000*INDEX('Bulb Weighting'!$B$2:$C$17,MATCH(RIGHT('SC-New'!$D102,LEN($D102)-7),'Bulb Weighting'!$B$3:$B$17,0)+1,2)</f>
        <v>6.1042948002958586E-4</v>
      </c>
      <c r="L102" s="37">
        <f>VLOOKUP($C102,$C$33:$Y$36,L$31,FALSE)*$C$42*$A102/8760/1000*INDEX('Bulb Weighting'!$B$2:$C$17,MATCH(RIGHT('SC-New'!$D102,LEN($D102)-7),'Bulb Weighting'!$B$3:$B$17,0)+1,2)</f>
        <v>6.5121978033389578E-4</v>
      </c>
      <c r="M102" s="37">
        <f>VLOOKUP($C102,$C$33:$Y$36,M$31,FALSE)*$C$42*$A102/8760/1000*INDEX('Bulb Weighting'!$B$2:$C$17,MATCH(RIGHT('SC-New'!$D102,LEN($D102)-7),'Bulb Weighting'!$B$3:$B$17,0)+1,2)</f>
        <v>6.8648030231668064E-4</v>
      </c>
      <c r="N102" s="37">
        <f>VLOOKUP($C102,$C$33:$Y$36,N$31,FALSE)*$C$42*$A102/8760/1000*INDEX('Bulb Weighting'!$B$2:$C$17,MATCH(RIGHT('SC-New'!$D102,LEN($D102)-7),'Bulb Weighting'!$B$3:$B$17,0)+1,2)</f>
        <v>7.1350633664036352E-4</v>
      </c>
      <c r="O102" s="37">
        <f>VLOOKUP($C102,$C$33:$Y$36,O$31,FALSE)*$C$42*$A102/8760/1000*INDEX('Bulb Weighting'!$B$2:$C$17,MATCH(RIGHT('SC-New'!$D102,LEN($D102)-7),'Bulb Weighting'!$B$3:$B$17,0)+1,2)</f>
        <v>7.3172413240091489E-4</v>
      </c>
      <c r="P102" s="37">
        <f>VLOOKUP($C102,$C$33:$Y$36,P$31,FALSE)*$C$42*$A102/8760/1000*INDEX('Bulb Weighting'!$B$2:$C$17,MATCH(RIGHT('SC-New'!$D102,LEN($D102)-7),'Bulb Weighting'!$B$3:$B$17,0)+1,2)</f>
        <v>7.4812377613222767E-4</v>
      </c>
      <c r="Q102" s="37">
        <f>VLOOKUP($C102,$C$33:$Y$36,Q$31,FALSE)*$C$42*$A102/8760/1000*INDEX('Bulb Weighting'!$B$2:$C$17,MATCH(RIGHT('SC-New'!$D102,LEN($D102)-7),'Bulb Weighting'!$B$3:$B$17,0)+1,2)</f>
        <v>7.6257750213217814E-4</v>
      </c>
      <c r="R102" s="37">
        <f>VLOOKUP($C102,$C$33:$Y$36,R$31,FALSE)*$C$42*$A102/8760/1000*INDEX('Bulb Weighting'!$B$2:$C$17,MATCH(RIGHT('SC-New'!$D102,LEN($D102)-7),'Bulb Weighting'!$B$3:$B$17,0)+1,2)</f>
        <v>7.7386316377935094E-4</v>
      </c>
      <c r="S102" s="37">
        <f>VLOOKUP($C102,$C$33:$Y$36,S$31,FALSE)*$C$42*$A102/8760/1000*INDEX('Bulb Weighting'!$B$2:$C$17,MATCH(RIGHT('SC-New'!$D102,LEN($D102)-7),'Bulb Weighting'!$B$3:$B$17,0)+1,2)</f>
        <v>7.822758431743265E-4</v>
      </c>
      <c r="T102" s="37">
        <f>VLOOKUP($C102,$C$33:$Y$36,T$31,FALSE)*$C$42*$A102/8760/1000*INDEX('Bulb Weighting'!$B$2:$C$17,MATCH(RIGHT('SC-New'!$D102,LEN($D102)-7),'Bulb Weighting'!$B$3:$B$17,0)+1,2)</f>
        <v>7.8822237576883043E-4</v>
      </c>
      <c r="U102" s="37">
        <f>VLOOKUP($C102,$C$33:$Y$36,U$31,FALSE)*$C$42*$A102/8760/1000*INDEX('Bulb Weighting'!$B$2:$C$17,MATCH(RIGHT('SC-New'!$D102,LEN($D102)-7),'Bulb Weighting'!$B$3:$B$17,0)+1,2)</f>
        <v>7.9261399682507632E-4</v>
      </c>
      <c r="V102" s="37">
        <f>VLOOKUP($C102,$C$33:$Y$36,V$31,FALSE)*$C$42*$A102/8760/1000*INDEX('Bulb Weighting'!$B$2:$C$17,MATCH(RIGHT('SC-New'!$D102,LEN($D102)-7),'Bulb Weighting'!$B$3:$B$17,0)+1,2)</f>
        <v>7.9653939260077846E-4</v>
      </c>
      <c r="W102" s="37">
        <f>VLOOKUP($C102,$C$33:$Y$36,W$31,FALSE)*$C$42*$A102/8760/1000*INDEX('Bulb Weighting'!$B$2:$C$17,MATCH(RIGHT('SC-New'!$D102,LEN($D102)-7),'Bulb Weighting'!$B$3:$B$17,0)+1,2)</f>
        <v>7.9977140968546525E-4</v>
      </c>
      <c r="X102" s="37">
        <f>VLOOKUP($C102,$C$33:$Y$36,X$31,FALSE)*$C$42*$A102/8760/1000*INDEX('Bulb Weighting'!$B$2:$C$17,MATCH(RIGHT('SC-New'!$D102,LEN($D102)-7),'Bulb Weighting'!$B$3:$B$17,0)+1,2)</f>
        <v>8.0219475474935665E-4</v>
      </c>
      <c r="Y102" s="37">
        <f t="shared" si="15"/>
        <v>1.2690550095942912E-2</v>
      </c>
      <c r="AA102" s="31"/>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c r="A103" s="89">
        <f t="shared" si="16"/>
        <v>48.844129164687544</v>
      </c>
      <c r="B103" s="71">
        <f t="shared" si="17"/>
        <v>-29.993229849727555</v>
      </c>
      <c r="C103" s="1" t="s">
        <v>30</v>
      </c>
      <c r="D103" t="s">
        <v>760</v>
      </c>
      <c r="E103" s="37">
        <f>VLOOKUP($C103,$C$33:$Y$36,E$31,FALSE)*$C$42*$A103/8760/1000*INDEX('Bulb Weighting'!$B$2:$C$17,MATCH(RIGHT('SC-New'!$D103,LEN($D103)-7),'Bulb Weighting'!$B$3:$B$17,0)+1,2)</f>
        <v>0</v>
      </c>
      <c r="F103" s="37">
        <f>VLOOKUP($C103,$C$33:$Y$36,F$31,FALSE)*$C$42*$A103/8760/1000*INDEX('Bulb Weighting'!$B$2:$C$17,MATCH(RIGHT('SC-New'!$D103,LEN($D103)-7),'Bulb Weighting'!$B$3:$B$17,0)+1,2)</f>
        <v>1.0195471479773168E-3</v>
      </c>
      <c r="G103" s="37">
        <f>VLOOKUP($C103,$C$33:$Y$36,G$31,FALSE)*$C$42*$A103/8760/1000*INDEX('Bulb Weighting'!$B$2:$C$17,MATCH(RIGHT('SC-New'!$D103,LEN($D103)-7),'Bulb Weighting'!$B$3:$B$17,0)+1,2)</f>
        <v>1.3572859308149594E-3</v>
      </c>
      <c r="H103" s="37">
        <f>VLOOKUP($C103,$C$33:$Y$36,H$31,FALSE)*$C$42*$A103/8760/1000*INDEX('Bulb Weighting'!$B$2:$C$17,MATCH(RIGHT('SC-New'!$D103,LEN($D103)-7),'Bulb Weighting'!$B$3:$B$17,0)+1,2)</f>
        <v>1.6507590241015889E-3</v>
      </c>
      <c r="I103" s="37">
        <f>VLOOKUP($C103,$C$33:$Y$36,I$31,FALSE)*$C$42*$A103/8760/1000*INDEX('Bulb Weighting'!$B$2:$C$17,MATCH(RIGHT('SC-New'!$D103,LEN($D103)-7),'Bulb Weighting'!$B$3:$B$17,0)+1,2)</f>
        <v>1.8070298874893424E-3</v>
      </c>
      <c r="J103" s="37">
        <f>VLOOKUP($C103,$C$33:$Y$36,J$31,FALSE)*$C$42*$A103/8760/1000*INDEX('Bulb Weighting'!$B$2:$C$17,MATCH(RIGHT('SC-New'!$D103,LEN($D103)-7),'Bulb Weighting'!$B$3:$B$17,0)+1,2)</f>
        <v>1.9545096305789685E-3</v>
      </c>
      <c r="K103" s="37">
        <f>VLOOKUP($C103,$C$33:$Y$36,K$31,FALSE)*$C$42*$A103/8760/1000*INDEX('Bulb Weighting'!$B$2:$C$17,MATCH(RIGHT('SC-New'!$D103,LEN($D103)-7),'Bulb Weighting'!$B$3:$B$17,0)+1,2)</f>
        <v>2.1122607664777688E-3</v>
      </c>
      <c r="L103" s="37">
        <f>VLOOKUP($C103,$C$33:$Y$36,L$31,FALSE)*$C$42*$A103/8760/1000*INDEX('Bulb Weighting'!$B$2:$C$17,MATCH(RIGHT('SC-New'!$D103,LEN($D103)-7),'Bulb Weighting'!$B$3:$B$17,0)+1,2)</f>
        <v>2.2534068837679502E-3</v>
      </c>
      <c r="M103" s="37">
        <f>VLOOKUP($C103,$C$33:$Y$36,M$31,FALSE)*$C$42*$A103/8760/1000*INDEX('Bulb Weighting'!$B$2:$C$17,MATCH(RIGHT('SC-New'!$D103,LEN($D103)-7),'Bulb Weighting'!$B$3:$B$17,0)+1,2)</f>
        <v>2.3754183848936064E-3</v>
      </c>
      <c r="N103" s="37">
        <f>VLOOKUP($C103,$C$33:$Y$36,N$31,FALSE)*$C$42*$A103/8760/1000*INDEX('Bulb Weighting'!$B$2:$C$17,MATCH(RIGHT('SC-New'!$D103,LEN($D103)-7),'Bulb Weighting'!$B$3:$B$17,0)+1,2)</f>
        <v>2.4689362011901428E-3</v>
      </c>
      <c r="O103" s="37">
        <f>VLOOKUP($C103,$C$33:$Y$36,O$31,FALSE)*$C$42*$A103/8760/1000*INDEX('Bulb Weighting'!$B$2:$C$17,MATCH(RIGHT('SC-New'!$D103,LEN($D103)-7),'Bulb Weighting'!$B$3:$B$17,0)+1,2)</f>
        <v>2.531974990265095E-3</v>
      </c>
      <c r="P103" s="37">
        <f>VLOOKUP($C103,$C$33:$Y$36,P$31,FALSE)*$C$42*$A103/8760/1000*INDEX('Bulb Weighting'!$B$2:$C$17,MATCH(RIGHT('SC-New'!$D103,LEN($D103)-7),'Bulb Weighting'!$B$3:$B$17,0)+1,2)</f>
        <v>2.5887224527831008E-3</v>
      </c>
      <c r="Q103" s="37">
        <f>VLOOKUP($C103,$C$33:$Y$36,Q$31,FALSE)*$C$42*$A103/8760/1000*INDEX('Bulb Weighting'!$B$2:$C$17,MATCH(RIGHT('SC-New'!$D103,LEN($D103)-7),'Bulb Weighting'!$B$3:$B$17,0)+1,2)</f>
        <v>2.6387364828355736E-3</v>
      </c>
      <c r="R103" s="37">
        <f>VLOOKUP($C103,$C$33:$Y$36,R$31,FALSE)*$C$42*$A103/8760/1000*INDEX('Bulb Weighting'!$B$2:$C$17,MATCH(RIGHT('SC-New'!$D103,LEN($D103)-7),'Bulb Weighting'!$B$3:$B$17,0)+1,2)</f>
        <v>2.677788103212609E-3</v>
      </c>
      <c r="S103" s="37">
        <f>VLOOKUP($C103,$C$33:$Y$36,S$31,FALSE)*$C$42*$A103/8760/1000*INDEX('Bulb Weighting'!$B$2:$C$17,MATCH(RIGHT('SC-New'!$D103,LEN($D103)-7),'Bulb Weighting'!$B$3:$B$17,0)+1,2)</f>
        <v>2.7068983824640319E-3</v>
      </c>
      <c r="T103" s="37">
        <f>VLOOKUP($C103,$C$33:$Y$36,T$31,FALSE)*$C$42*$A103/8760/1000*INDEX('Bulb Weighting'!$B$2:$C$17,MATCH(RIGHT('SC-New'!$D103,LEN($D103)-7),'Bulb Weighting'!$B$3:$B$17,0)+1,2)</f>
        <v>2.7274750877295502E-3</v>
      </c>
      <c r="U103" s="37">
        <f>VLOOKUP($C103,$C$33:$Y$36,U$31,FALSE)*$C$42*$A103/8760/1000*INDEX('Bulb Weighting'!$B$2:$C$17,MATCH(RIGHT('SC-New'!$D103,LEN($D103)-7),'Bulb Weighting'!$B$3:$B$17,0)+1,2)</f>
        <v>2.742671353902501E-3</v>
      </c>
      <c r="V103" s="37">
        <f>VLOOKUP($C103,$C$33:$Y$36,V$31,FALSE)*$C$42*$A103/8760/1000*INDEX('Bulb Weighting'!$B$2:$C$17,MATCH(RIGHT('SC-New'!$D103,LEN($D103)-7),'Bulb Weighting'!$B$3:$B$17,0)+1,2)</f>
        <v>2.7562543471247674E-3</v>
      </c>
      <c r="W103" s="37">
        <f>VLOOKUP($C103,$C$33:$Y$36,W$31,FALSE)*$C$42*$A103/8760/1000*INDEX('Bulb Weighting'!$B$2:$C$17,MATCH(RIGHT('SC-New'!$D103,LEN($D103)-7),'Bulb Weighting'!$B$3:$B$17,0)+1,2)</f>
        <v>2.7674380515622372E-3</v>
      </c>
      <c r="X103" s="37">
        <f>VLOOKUP($C103,$C$33:$Y$36,X$31,FALSE)*$C$42*$A103/8760/1000*INDEX('Bulb Weighting'!$B$2:$C$17,MATCH(RIGHT('SC-New'!$D103,LEN($D103)-7),'Bulb Weighting'!$B$3:$B$17,0)+1,2)</f>
        <v>2.7758235192854672E-3</v>
      </c>
      <c r="Y103" s="37">
        <f t="shared" si="15"/>
        <v>4.3912936628456571E-2</v>
      </c>
      <c r="AA103" s="31">
        <f t="shared" ref="AA103" si="19">SUM(E103:Y103)</f>
        <v>8.7825873256913142E-2</v>
      </c>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ht="15">
      <c r="B105" s="90">
        <f>SUMPRODUCT(B44:B103,AA44:AA103)/SUM(AA44:AA103)</f>
        <v>-29.993229849727555</v>
      </c>
      <c r="E105" s="37">
        <f>SUM(E44:E103)</f>
        <v>0</v>
      </c>
      <c r="F105" s="37">
        <f t="shared" ref="F105:X105" si="20">SUM(F44:F103)</f>
        <v>2.3171331440716125</v>
      </c>
      <c r="G105" s="37">
        <f t="shared" si="20"/>
        <v>2.8424153526541813</v>
      </c>
      <c r="H105" s="37">
        <f t="shared" si="20"/>
        <v>3.2268285785408475</v>
      </c>
      <c r="I105" s="37">
        <f t="shared" si="20"/>
        <v>3.530005373771814</v>
      </c>
      <c r="J105" s="37">
        <f t="shared" si="20"/>
        <v>3.7045233342080404</v>
      </c>
      <c r="K105" s="37">
        <f t="shared" si="20"/>
        <v>3.8903327114379675</v>
      </c>
      <c r="L105" s="37">
        <f t="shared" si="20"/>
        <v>4.121135371403831</v>
      </c>
      <c r="M105" s="37">
        <f t="shared" si="20"/>
        <v>4.2951834810946945</v>
      </c>
      <c r="N105" s="37">
        <f t="shared" si="20"/>
        <v>4.5450221344631681</v>
      </c>
      <c r="O105" s="37">
        <f t="shared" si="20"/>
        <v>4.7150363083565185</v>
      </c>
      <c r="P105" s="37">
        <f t="shared" si="20"/>
        <v>4.7727052576158693</v>
      </c>
      <c r="Q105" s="37">
        <f t="shared" si="20"/>
        <v>4.748295983255046</v>
      </c>
      <c r="R105" s="37">
        <f t="shared" si="20"/>
        <v>4.8114330389639139</v>
      </c>
      <c r="S105" s="37">
        <f t="shared" si="20"/>
        <v>4.9030189554365977</v>
      </c>
      <c r="T105" s="37">
        <f t="shared" si="20"/>
        <v>4.9113313716260816</v>
      </c>
      <c r="U105" s="37">
        <f t="shared" si="20"/>
        <v>4.7914317358933944</v>
      </c>
      <c r="V105" s="37">
        <f t="shared" si="20"/>
        <v>4.7983345479698398</v>
      </c>
      <c r="W105" s="37">
        <f t="shared" si="20"/>
        <v>4.8166453563889791</v>
      </c>
      <c r="X105" s="37">
        <f t="shared" si="20"/>
        <v>4.8563428651526692</v>
      </c>
      <c r="Y105" s="31">
        <f>SUM(Y44:Y103)</f>
        <v>80.597154902305121</v>
      </c>
      <c r="AA105" s="42">
        <f>SUM(E105:X105)</f>
        <v>80.597154902305064</v>
      </c>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customFormat="1">
      <c r="A106" s="1"/>
      <c r="B106" s="1"/>
      <c r="C106" s="1"/>
      <c r="D106" s="1"/>
    </row>
    <row r="107" spans="1:80" customFormat="1">
      <c r="A107" s="1"/>
      <c r="B107" s="1"/>
      <c r="C107" s="72"/>
      <c r="D107" s="72"/>
    </row>
    <row r="108" spans="1:80" ht="15">
      <c r="A108" s="63" t="s">
        <v>77</v>
      </c>
      <c r="B108" s="63"/>
      <c r="C108" s="73"/>
      <c r="D108" s="73"/>
      <c r="E108" s="37"/>
      <c r="F108" s="37"/>
      <c r="G108" s="37"/>
      <c r="H108" s="37"/>
      <c r="I108" s="37"/>
      <c r="J108" s="37"/>
      <c r="K108" s="37"/>
      <c r="L108" s="37"/>
      <c r="M108" s="37"/>
      <c r="N108" s="37"/>
      <c r="O108" s="37"/>
      <c r="P108" s="37"/>
      <c r="Q108" s="37"/>
      <c r="R108" s="37"/>
      <c r="S108" s="37"/>
      <c r="T108" s="37"/>
      <c r="U108" s="37"/>
      <c r="V108" s="37"/>
      <c r="W108" s="37"/>
      <c r="X108" s="37"/>
      <c r="Y108" s="37"/>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ht="15">
      <c r="C109" s="73"/>
      <c r="D109" s="73"/>
      <c r="E109" s="67">
        <f t="shared" ref="E109:X109" si="21">E11</f>
        <v>2016</v>
      </c>
      <c r="F109" s="67">
        <f t="shared" si="21"/>
        <v>2017</v>
      </c>
      <c r="G109" s="67">
        <f t="shared" si="21"/>
        <v>2018</v>
      </c>
      <c r="H109" s="67">
        <f t="shared" si="21"/>
        <v>2019</v>
      </c>
      <c r="I109" s="67">
        <f t="shared" si="21"/>
        <v>2020</v>
      </c>
      <c r="J109" s="67">
        <f t="shared" si="21"/>
        <v>2021</v>
      </c>
      <c r="K109" s="67">
        <f t="shared" si="21"/>
        <v>2022</v>
      </c>
      <c r="L109" s="67">
        <f t="shared" si="21"/>
        <v>2023</v>
      </c>
      <c r="M109" s="67">
        <f t="shared" si="21"/>
        <v>2024</v>
      </c>
      <c r="N109" s="67">
        <f t="shared" si="21"/>
        <v>2025</v>
      </c>
      <c r="O109" s="67">
        <f t="shared" si="21"/>
        <v>2026</v>
      </c>
      <c r="P109" s="67">
        <f t="shared" si="21"/>
        <v>2027</v>
      </c>
      <c r="Q109" s="67">
        <f t="shared" si="21"/>
        <v>2028</v>
      </c>
      <c r="R109" s="67">
        <f t="shared" si="21"/>
        <v>2029</v>
      </c>
      <c r="S109" s="67">
        <f t="shared" si="21"/>
        <v>2030</v>
      </c>
      <c r="T109" s="67">
        <f t="shared" si="21"/>
        <v>2031</v>
      </c>
      <c r="U109" s="67">
        <f t="shared" si="21"/>
        <v>2032</v>
      </c>
      <c r="V109" s="67">
        <f t="shared" si="21"/>
        <v>2033</v>
      </c>
      <c r="W109" s="67">
        <f t="shared" si="21"/>
        <v>2034</v>
      </c>
      <c r="X109" s="67">
        <f t="shared" si="21"/>
        <v>2035</v>
      </c>
      <c r="Y109" s="37"/>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ht="15">
      <c r="C110" s="73" t="s">
        <v>74</v>
      </c>
      <c r="D110" s="73" t="s">
        <v>74</v>
      </c>
      <c r="E110" s="69" t="str">
        <f>CONCATENATE($E$41,"_",E109)</f>
        <v>aMW_2016</v>
      </c>
      <c r="F110" s="69" t="str">
        <f t="shared" ref="F110:X110" si="22">CONCATENATE($E$41,"_",F109)</f>
        <v>aMW_2017</v>
      </c>
      <c r="G110" s="69" t="str">
        <f t="shared" si="22"/>
        <v>aMW_2018</v>
      </c>
      <c r="H110" s="69" t="str">
        <f t="shared" si="22"/>
        <v>aMW_2019</v>
      </c>
      <c r="I110" s="69" t="str">
        <f t="shared" si="22"/>
        <v>aMW_2020</v>
      </c>
      <c r="J110" s="69" t="str">
        <f t="shared" si="22"/>
        <v>aMW_2021</v>
      </c>
      <c r="K110" s="69" t="str">
        <f t="shared" si="22"/>
        <v>aMW_2022</v>
      </c>
      <c r="L110" s="69" t="str">
        <f t="shared" si="22"/>
        <v>aMW_2023</v>
      </c>
      <c r="M110" s="69" t="str">
        <f t="shared" si="22"/>
        <v>aMW_2024</v>
      </c>
      <c r="N110" s="69" t="str">
        <f t="shared" si="22"/>
        <v>aMW_2025</v>
      </c>
      <c r="O110" s="69" t="str">
        <f t="shared" si="22"/>
        <v>aMW_2026</v>
      </c>
      <c r="P110" s="69" t="str">
        <f t="shared" si="22"/>
        <v>aMW_2027</v>
      </c>
      <c r="Q110" s="69" t="str">
        <f t="shared" si="22"/>
        <v>aMW_2028</v>
      </c>
      <c r="R110" s="69" t="str">
        <f t="shared" si="22"/>
        <v>aMW_2029</v>
      </c>
      <c r="S110" s="69" t="str">
        <f t="shared" si="22"/>
        <v>aMW_2030</v>
      </c>
      <c r="T110" s="69" t="str">
        <f t="shared" si="22"/>
        <v>aMW_2031</v>
      </c>
      <c r="U110" s="69" t="str">
        <f t="shared" si="22"/>
        <v>aMW_2032</v>
      </c>
      <c r="V110" s="69" t="str">
        <f t="shared" si="22"/>
        <v>aMW_2033</v>
      </c>
      <c r="W110" s="69" t="str">
        <f t="shared" si="22"/>
        <v>aMW_2034</v>
      </c>
      <c r="X110" s="69" t="str">
        <f t="shared" si="22"/>
        <v>aMW_2035</v>
      </c>
      <c r="Y110" s="37"/>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c r="B111" s="1" t="s">
        <v>78</v>
      </c>
      <c r="C111" s="73" t="s">
        <v>79</v>
      </c>
      <c r="D111" s="73" t="s">
        <v>80</v>
      </c>
      <c r="E111" s="37">
        <f>DSUM($B$43:$X$103,E$43,$C$110:$D111)</f>
        <v>0</v>
      </c>
      <c r="F111" s="37">
        <f>DSUM($B$43:$X$103,F$43,$C$110:$D111)</f>
        <v>1.3866146940371182</v>
      </c>
      <c r="G111" s="37">
        <f>DSUM($B$43:$X$103,G$43,$C$110:$D111)</f>
        <v>1.7008465922933624</v>
      </c>
      <c r="H111" s="37">
        <f>DSUM($B$43:$X$103,H$43,$C$110:$D111)</f>
        <v>1.9308454052661874</v>
      </c>
      <c r="I111" s="37">
        <f>DSUM($B$43:$X$103,I$43,$C$110:$D111)</f>
        <v>2.1123462167545335</v>
      </c>
      <c r="J111" s="37">
        <f>DSUM($B$43:$X$103,J$43,$C$110:$D111)</f>
        <v>2.2167551819308957</v>
      </c>
      <c r="K111" s="37">
        <f>DSUM($B$43:$X$103,K$43,$C$110:$D111)</f>
        <v>2.3278733585523801</v>
      </c>
      <c r="L111" s="37">
        <f>DSUM($B$43:$X$103,L$43,$C$110:$D111)</f>
        <v>2.4659017967582706</v>
      </c>
      <c r="M111" s="37">
        <f>DSUM($B$43:$X$103,M$43,$C$110:$D111)</f>
        <v>2.569880494387399</v>
      </c>
      <c r="N111" s="37">
        <f>DSUM($B$43:$X$103,N$43,$C$110:$D111)</f>
        <v>2.719317329459682</v>
      </c>
      <c r="O111" s="37">
        <f>DSUM($B$43:$X$103,O$43,$C$110:$D111)</f>
        <v>2.8210288140028408</v>
      </c>
      <c r="P111" s="37">
        <f>DSUM($B$43:$X$103,P$43,$C$110:$D111)</f>
        <v>2.855462578485453</v>
      </c>
      <c r="Q111" s="37">
        <f>DSUM($B$43:$X$103,Q$43,$C$110:$D111)</f>
        <v>2.840698382075769</v>
      </c>
      <c r="R111" s="37">
        <f>DSUM($B$43:$X$103,R$43,$C$110:$D111)</f>
        <v>2.8785483743937403</v>
      </c>
      <c r="S111" s="37">
        <f>DSUM($B$43:$X$103,S$43,$C$110:$D111)</f>
        <v>2.9334750636230886</v>
      </c>
      <c r="T111" s="37">
        <f>DSUM($B$43:$X$103,T$43,$C$110:$D111)</f>
        <v>2.9385328198638687</v>
      </c>
      <c r="U111" s="37">
        <f>DSUM($B$43:$X$103,U$43,$C$110:$D111)</f>
        <v>2.8667164983557574</v>
      </c>
      <c r="V111" s="37">
        <f>DSUM($B$43:$X$103,V$43,$C$110:$D111)</f>
        <v>2.8708836736048253</v>
      </c>
      <c r="W111" s="37">
        <f>DSUM($B$43:$X$103,W$43,$C$110:$D111)</f>
        <v>2.8819785287689492</v>
      </c>
      <c r="X111" s="37">
        <f>DSUM($B$43:$X$103,X$43,$C$110:$D111)</f>
        <v>2.905782063618715</v>
      </c>
      <c r="Y111" s="37"/>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c r="B112" s="1" t="s">
        <v>785</v>
      </c>
      <c r="C112" s="73" t="s">
        <v>82</v>
      </c>
      <c r="D112" s="73" t="s">
        <v>83</v>
      </c>
      <c r="E112" s="37">
        <f>DSUM($B$43:$X$103,E$43,$C$110:$D112)</f>
        <v>0</v>
      </c>
      <c r="F112" s="37">
        <f>DSUM($B$43:$X$103,F$43,$C$110:$D112)</f>
        <v>1.3866146940371182</v>
      </c>
      <c r="G112" s="37">
        <f>DSUM($B$43:$X$103,G$43,$C$110:$D112)</f>
        <v>1.7008465922933624</v>
      </c>
      <c r="H112" s="37">
        <f>DSUM($B$43:$X$103,H$43,$C$110:$D112)</f>
        <v>1.9308454052661874</v>
      </c>
      <c r="I112" s="37">
        <f>DSUM($B$43:$X$103,I$43,$C$110:$D112)</f>
        <v>2.1123462167545335</v>
      </c>
      <c r="J112" s="37">
        <f>DSUM($B$43:$X$103,J$43,$C$110:$D112)</f>
        <v>2.2167551819308957</v>
      </c>
      <c r="K112" s="37">
        <f>DSUM($B$43:$X$103,K$43,$C$110:$D112)</f>
        <v>2.3278733585523801</v>
      </c>
      <c r="L112" s="37">
        <f>DSUM($B$43:$X$103,L$43,$C$110:$D112)</f>
        <v>2.4659017967582706</v>
      </c>
      <c r="M112" s="37">
        <f>DSUM($B$43:$X$103,M$43,$C$110:$D112)</f>
        <v>2.569880494387399</v>
      </c>
      <c r="N112" s="37">
        <f>DSUM($B$43:$X$103,N$43,$C$110:$D112)</f>
        <v>2.719317329459682</v>
      </c>
      <c r="O112" s="37">
        <f>DSUM($B$43:$X$103,O$43,$C$110:$D112)</f>
        <v>2.8210288140028408</v>
      </c>
      <c r="P112" s="37">
        <f>DSUM($B$43:$X$103,P$43,$C$110:$D112)</f>
        <v>2.855462578485453</v>
      </c>
      <c r="Q112" s="37">
        <f>DSUM($B$43:$X$103,Q$43,$C$110:$D112)</f>
        <v>2.840698382075769</v>
      </c>
      <c r="R112" s="37">
        <f>DSUM($B$43:$X$103,R$43,$C$110:$D112)</f>
        <v>2.8785483743937403</v>
      </c>
      <c r="S112" s="37">
        <f>DSUM($B$43:$X$103,S$43,$C$110:$D112)</f>
        <v>2.9334750636230886</v>
      </c>
      <c r="T112" s="37">
        <f>DSUM($B$43:$X$103,T$43,$C$110:$D112)</f>
        <v>2.9385328198638687</v>
      </c>
      <c r="U112" s="37">
        <f>DSUM($B$43:$X$103,U$43,$C$110:$D112)</f>
        <v>2.8667164983557574</v>
      </c>
      <c r="V112" s="37">
        <f>DSUM($B$43:$X$103,V$43,$C$110:$D112)</f>
        <v>2.8708836736048253</v>
      </c>
      <c r="W112" s="37">
        <f>DSUM($B$43:$X$103,W$43,$C$110:$D112)</f>
        <v>2.8819785287689492</v>
      </c>
      <c r="X112" s="37">
        <f>DSUM($B$43:$X$103,X$43,$C$110:$D112)</f>
        <v>2.905782063618715</v>
      </c>
      <c r="Y112" s="37"/>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2:80">
      <c r="B113" s="1" t="s">
        <v>84</v>
      </c>
      <c r="C113" s="73" t="s">
        <v>85</v>
      </c>
      <c r="D113" s="73" t="s">
        <v>86</v>
      </c>
      <c r="E113" s="37">
        <f>DSUM($B$43:$X$103,E$43,$C$110:$D113)</f>
        <v>0</v>
      </c>
      <c r="F113" s="37">
        <f>DSUM($B$43:$X$103,F$43,$C$110:$D113)</f>
        <v>1.4119323590253881</v>
      </c>
      <c r="G113" s="37">
        <f>DSUM($B$43:$X$103,G$43,$C$110:$D113)</f>
        <v>1.7319065411152452</v>
      </c>
      <c r="H113" s="37">
        <f>DSUM($B$43:$X$103,H$43,$C$110:$D113)</f>
        <v>1.9661066811819801</v>
      </c>
      <c r="I113" s="37">
        <f>DSUM($B$43:$X$103,I$43,$C$110:$D113)</f>
        <v>2.1509180683965785</v>
      </c>
      <c r="J113" s="37">
        <f>DSUM($B$43:$X$103,J$43,$C$110:$D113)</f>
        <v>2.2572345680818882</v>
      </c>
      <c r="K113" s="37">
        <f>DSUM($B$43:$X$103,K$43,$C$110:$D113)</f>
        <v>2.3703849524414418</v>
      </c>
      <c r="L113" s="37">
        <f>DSUM($B$43:$X$103,L$43,$C$110:$D113)</f>
        <v>2.5109376035374469</v>
      </c>
      <c r="M113" s="37">
        <f>DSUM($B$43:$X$103,M$43,$C$110:$D113)</f>
        <v>2.6168227586908057</v>
      </c>
      <c r="N113" s="37">
        <f>DSUM($B$43:$X$103,N$43,$C$110:$D113)</f>
        <v>2.7689913392752192</v>
      </c>
      <c r="O113" s="37">
        <f>DSUM($B$43:$X$103,O$43,$C$110:$D113)</f>
        <v>2.8725612121251358</v>
      </c>
      <c r="P113" s="37">
        <f>DSUM($B$43:$X$103,P$43,$C$110:$D113)</f>
        <v>2.9076271624865941</v>
      </c>
      <c r="Q113" s="37">
        <f>DSUM($B$43:$X$103,Q$43,$C$110:$D113)</f>
        <v>2.8926005415625515</v>
      </c>
      <c r="R113" s="37">
        <f>DSUM($B$43:$X$103,R$43,$C$110:$D113)</f>
        <v>2.9311385475351082</v>
      </c>
      <c r="S113" s="37">
        <f>DSUM($B$43:$X$103,S$43,$C$110:$D113)</f>
        <v>2.987062665707473</v>
      </c>
      <c r="T113" s="37">
        <f>DSUM($B$43:$X$103,T$43,$C$110:$D113)</f>
        <v>2.9922089751523613</v>
      </c>
      <c r="U113" s="37">
        <f>DSUM($B$43:$X$103,U$43,$C$110:$D113)</f>
        <v>2.9190843966816735</v>
      </c>
      <c r="V113" s="37">
        <f>DSUM($B$43:$X$103,V$43,$C$110:$D113)</f>
        <v>2.9233260034873894</v>
      </c>
      <c r="W113" s="37">
        <f>DSUM($B$43:$X$103,W$43,$C$110:$D113)</f>
        <v>2.9346171912304895</v>
      </c>
      <c r="X113" s="37">
        <f>DSUM($B$43:$X$103,X$43,$C$110:$D113)</f>
        <v>2.9588531713551132</v>
      </c>
      <c r="Y113" s="37"/>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2:80">
      <c r="B114" s="1" t="s">
        <v>87</v>
      </c>
      <c r="C114" s="73" t="s">
        <v>88</v>
      </c>
      <c r="D114" s="73" t="s">
        <v>89</v>
      </c>
      <c r="E114" s="37">
        <f>DSUM($B$43:$X$103,E$43,$C$110:$D114)</f>
        <v>0</v>
      </c>
      <c r="F114" s="37">
        <f>DSUM($B$43:$X$103,F$43,$C$110:$D114)</f>
        <v>1.4119323590253881</v>
      </c>
      <c r="G114" s="37">
        <f>DSUM($B$43:$X$103,G$43,$C$110:$D114)</f>
        <v>1.7319065411152452</v>
      </c>
      <c r="H114" s="37">
        <f>DSUM($B$43:$X$103,H$43,$C$110:$D114)</f>
        <v>1.9661066811819801</v>
      </c>
      <c r="I114" s="37">
        <f>DSUM($B$43:$X$103,I$43,$C$110:$D114)</f>
        <v>2.1509180683965785</v>
      </c>
      <c r="J114" s="37">
        <f>DSUM($B$43:$X$103,J$43,$C$110:$D114)</f>
        <v>2.2572345680818882</v>
      </c>
      <c r="K114" s="37">
        <f>DSUM($B$43:$X$103,K$43,$C$110:$D114)</f>
        <v>2.3703849524414418</v>
      </c>
      <c r="L114" s="37">
        <f>DSUM($B$43:$X$103,L$43,$C$110:$D114)</f>
        <v>2.5109376035374469</v>
      </c>
      <c r="M114" s="37">
        <f>DSUM($B$43:$X$103,M$43,$C$110:$D114)</f>
        <v>2.6168227586908057</v>
      </c>
      <c r="N114" s="37">
        <f>DSUM($B$43:$X$103,N$43,$C$110:$D114)</f>
        <v>2.7689913392752192</v>
      </c>
      <c r="O114" s="37">
        <f>DSUM($B$43:$X$103,O$43,$C$110:$D114)</f>
        <v>2.8725612121251358</v>
      </c>
      <c r="P114" s="37">
        <f>DSUM($B$43:$X$103,P$43,$C$110:$D114)</f>
        <v>2.9076271624865941</v>
      </c>
      <c r="Q114" s="37">
        <f>DSUM($B$43:$X$103,Q$43,$C$110:$D114)</f>
        <v>2.8926005415625515</v>
      </c>
      <c r="R114" s="37">
        <f>DSUM($B$43:$X$103,R$43,$C$110:$D114)</f>
        <v>2.9311385475351082</v>
      </c>
      <c r="S114" s="37">
        <f>DSUM($B$43:$X$103,S$43,$C$110:$D114)</f>
        <v>2.987062665707473</v>
      </c>
      <c r="T114" s="37">
        <f>DSUM($B$43:$X$103,T$43,$C$110:$D114)</f>
        <v>2.9922089751523613</v>
      </c>
      <c r="U114" s="37">
        <f>DSUM($B$43:$X$103,U$43,$C$110:$D114)</f>
        <v>2.9190843966816735</v>
      </c>
      <c r="V114" s="37">
        <f>DSUM($B$43:$X$103,V$43,$C$110:$D114)</f>
        <v>2.9233260034873894</v>
      </c>
      <c r="W114" s="37">
        <f>DSUM($B$43:$X$103,W$43,$C$110:$D114)</f>
        <v>2.9346171912304895</v>
      </c>
      <c r="X114" s="37">
        <f>DSUM($B$43:$X$103,X$43,$C$110:$D114)</f>
        <v>2.9588531713551132</v>
      </c>
      <c r="Y114" s="37"/>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2:80">
      <c r="B115" s="1" t="s">
        <v>90</v>
      </c>
      <c r="C115" s="73" t="s">
        <v>91</v>
      </c>
      <c r="D115" s="73" t="s">
        <v>92</v>
      </c>
      <c r="E115" s="37">
        <f>DSUM($B$43:$X$103,E$43,$C$110:$D115)</f>
        <v>0</v>
      </c>
      <c r="F115" s="37">
        <f>DSUM($B$43:$X$103,F$43,$C$110:$D115)</f>
        <v>2.1744474885124361</v>
      </c>
      <c r="G115" s="37">
        <f>DSUM($B$43:$X$103,G$43,$C$110:$D115)</f>
        <v>2.6673672523914496</v>
      </c>
      <c r="H115" s="37">
        <f>DSUM($B$43:$X$103,H$43,$C$110:$D115)</f>
        <v>3.0281025794319616</v>
      </c>
      <c r="I115" s="37">
        <f>DSUM($B$43:$X$103,I$43,$C$110:$D115)</f>
        <v>3.3126215850129972</v>
      </c>
      <c r="J115" s="37">
        <f>DSUM($B$43:$X$103,J$43,$C$110:$D115)</f>
        <v>3.4763890353987477</v>
      </c>
      <c r="K115" s="37">
        <f>DSUM($B$43:$X$103,K$43,$C$110:$D115)</f>
        <v>3.6507452674245982</v>
      </c>
      <c r="L115" s="37">
        <f>DSUM($B$43:$X$103,L$43,$C$110:$D115)</f>
        <v>3.867321932569697</v>
      </c>
      <c r="M115" s="37">
        <f>DSUM($B$43:$X$103,M$43,$C$110:$D115)</f>
        <v>4.0306256018958351</v>
      </c>
      <c r="N115" s="37">
        <f>DSUM($B$43:$X$103,N$43,$C$110:$D115)</f>
        <v>4.2650686451478244</v>
      </c>
      <c r="O115" s="37">
        <f>DSUM($B$43:$X$103,O$43,$C$110:$D115)</f>
        <v>4.424609287854314</v>
      </c>
      <c r="P115" s="37">
        <f>DSUM($B$43:$X$103,P$43,$C$110:$D115)</f>
        <v>4.4787153549679273</v>
      </c>
      <c r="Q115" s="37">
        <f>DSUM($B$43:$X$103,Q$43,$C$110:$D115)</f>
        <v>4.4557850564085264</v>
      </c>
      <c r="R115" s="37">
        <f>DSUM($B$43:$X$103,R$43,$C$110:$D115)</f>
        <v>4.5150445950010338</v>
      </c>
      <c r="S115" s="37">
        <f>DSUM($B$43:$X$103,S$43,$C$110:$D115)</f>
        <v>4.6010091872846974</v>
      </c>
      <c r="T115" s="37">
        <f>DSUM($B$43:$X$103,T$43,$C$110:$D115)</f>
        <v>4.6088225340700371</v>
      </c>
      <c r="U115" s="37">
        <f>DSUM($B$43:$X$103,U$43,$C$110:$D115)</f>
        <v>4.4962959914891716</v>
      </c>
      <c r="V115" s="37">
        <f>DSUM($B$43:$X$103,V$43,$C$110:$D115)</f>
        <v>4.5027793211425973</v>
      </c>
      <c r="W115" s="37">
        <f>DSUM($B$43:$X$103,W$43,$C$110:$D115)</f>
        <v>4.5199836356274785</v>
      </c>
      <c r="X115" s="37">
        <f>DSUM($B$43:$X$103,X$43,$C$110:$D115)</f>
        <v>4.5572439631754031</v>
      </c>
      <c r="Y115" s="37"/>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2:80">
      <c r="B116" s="1" t="s">
        <v>93</v>
      </c>
      <c r="C116" s="73" t="s">
        <v>94</v>
      </c>
      <c r="D116" s="73" t="s">
        <v>95</v>
      </c>
      <c r="E116" s="37">
        <f>DSUM($B$43:$X$103,E$43,$C$110:$D116)</f>
        <v>0</v>
      </c>
      <c r="F116" s="37">
        <f>DSUM($B$43:$X$103,F$43,$C$110:$D116)</f>
        <v>2.1744474885124361</v>
      </c>
      <c r="G116" s="37">
        <f>DSUM($B$43:$X$103,G$43,$C$110:$D116)</f>
        <v>2.6673672523914496</v>
      </c>
      <c r="H116" s="37">
        <f>DSUM($B$43:$X$103,H$43,$C$110:$D116)</f>
        <v>3.0281025794319616</v>
      </c>
      <c r="I116" s="37">
        <f>DSUM($B$43:$X$103,I$43,$C$110:$D116)</f>
        <v>3.3126215850129972</v>
      </c>
      <c r="J116" s="37">
        <f>DSUM($B$43:$X$103,J$43,$C$110:$D116)</f>
        <v>3.4763890353987477</v>
      </c>
      <c r="K116" s="37">
        <f>DSUM($B$43:$X$103,K$43,$C$110:$D116)</f>
        <v>3.6507452674245982</v>
      </c>
      <c r="L116" s="37">
        <f>DSUM($B$43:$X$103,L$43,$C$110:$D116)</f>
        <v>3.867321932569697</v>
      </c>
      <c r="M116" s="37">
        <f>DSUM($B$43:$X$103,M$43,$C$110:$D116)</f>
        <v>4.0306256018958351</v>
      </c>
      <c r="N116" s="37">
        <f>DSUM($B$43:$X$103,N$43,$C$110:$D116)</f>
        <v>4.2650686451478244</v>
      </c>
      <c r="O116" s="37">
        <f>DSUM($B$43:$X$103,O$43,$C$110:$D116)</f>
        <v>4.424609287854314</v>
      </c>
      <c r="P116" s="37">
        <f>DSUM($B$43:$X$103,P$43,$C$110:$D116)</f>
        <v>4.4787153549679273</v>
      </c>
      <c r="Q116" s="37">
        <f>DSUM($B$43:$X$103,Q$43,$C$110:$D116)</f>
        <v>4.4557850564085264</v>
      </c>
      <c r="R116" s="37">
        <f>DSUM($B$43:$X$103,R$43,$C$110:$D116)</f>
        <v>4.5150445950010338</v>
      </c>
      <c r="S116" s="37">
        <f>DSUM($B$43:$X$103,S$43,$C$110:$D116)</f>
        <v>4.6010091872846974</v>
      </c>
      <c r="T116" s="37">
        <f>DSUM($B$43:$X$103,T$43,$C$110:$D116)</f>
        <v>4.6088225340700371</v>
      </c>
      <c r="U116" s="37">
        <f>DSUM($B$43:$X$103,U$43,$C$110:$D116)</f>
        <v>4.4962959914891716</v>
      </c>
      <c r="V116" s="37">
        <f>DSUM($B$43:$X$103,V$43,$C$110:$D116)</f>
        <v>4.5027793211425973</v>
      </c>
      <c r="W116" s="37">
        <f>DSUM($B$43:$X$103,W$43,$C$110:$D116)</f>
        <v>4.5199836356274785</v>
      </c>
      <c r="X116" s="37">
        <f>DSUM($B$43:$X$103,X$43,$C$110:$D116)</f>
        <v>4.5572439631754031</v>
      </c>
      <c r="Y116" s="37"/>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2:80">
      <c r="B117" s="1" t="s">
        <v>96</v>
      </c>
      <c r="C117" s="73" t="s">
        <v>97</v>
      </c>
      <c r="D117" s="73" t="s">
        <v>98</v>
      </c>
      <c r="E117" s="37">
        <f>DSUM($B$43:$X$103,E$43,$C$110:$D117)</f>
        <v>0</v>
      </c>
      <c r="F117" s="37">
        <f>DSUM($B$43:$X$103,F$43,$C$110:$D117)</f>
        <v>2.1744474885124361</v>
      </c>
      <c r="G117" s="37">
        <f>DSUM($B$43:$X$103,G$43,$C$110:$D117)</f>
        <v>2.6673672523914496</v>
      </c>
      <c r="H117" s="37">
        <f>DSUM($B$43:$X$103,H$43,$C$110:$D117)</f>
        <v>3.0281025794319616</v>
      </c>
      <c r="I117" s="37">
        <f>DSUM($B$43:$X$103,I$43,$C$110:$D117)</f>
        <v>3.3126215850129972</v>
      </c>
      <c r="J117" s="37">
        <f>DSUM($B$43:$X$103,J$43,$C$110:$D117)</f>
        <v>3.4763890353987477</v>
      </c>
      <c r="K117" s="37">
        <f>DSUM($B$43:$X$103,K$43,$C$110:$D117)</f>
        <v>3.6507452674245982</v>
      </c>
      <c r="L117" s="37">
        <f>DSUM($B$43:$X$103,L$43,$C$110:$D117)</f>
        <v>3.867321932569697</v>
      </c>
      <c r="M117" s="37">
        <f>DSUM($B$43:$X$103,M$43,$C$110:$D117)</f>
        <v>4.0306256018958351</v>
      </c>
      <c r="N117" s="37">
        <f>DSUM($B$43:$X$103,N$43,$C$110:$D117)</f>
        <v>4.2650686451478244</v>
      </c>
      <c r="O117" s="37">
        <f>DSUM($B$43:$X$103,O$43,$C$110:$D117)</f>
        <v>4.424609287854314</v>
      </c>
      <c r="P117" s="37">
        <f>DSUM($B$43:$X$103,P$43,$C$110:$D117)</f>
        <v>4.4787153549679273</v>
      </c>
      <c r="Q117" s="37">
        <f>DSUM($B$43:$X$103,Q$43,$C$110:$D117)</f>
        <v>4.4557850564085264</v>
      </c>
      <c r="R117" s="37">
        <f>DSUM($B$43:$X$103,R$43,$C$110:$D117)</f>
        <v>4.5150445950010338</v>
      </c>
      <c r="S117" s="37">
        <f>DSUM($B$43:$X$103,S$43,$C$110:$D117)</f>
        <v>4.6010091872846974</v>
      </c>
      <c r="T117" s="37">
        <f>DSUM($B$43:$X$103,T$43,$C$110:$D117)</f>
        <v>4.6088225340700371</v>
      </c>
      <c r="U117" s="37">
        <f>DSUM($B$43:$X$103,U$43,$C$110:$D117)</f>
        <v>4.4962959914891716</v>
      </c>
      <c r="V117" s="37">
        <f>DSUM($B$43:$X$103,V$43,$C$110:$D117)</f>
        <v>4.5027793211425973</v>
      </c>
      <c r="W117" s="37">
        <f>DSUM($B$43:$X$103,W$43,$C$110:$D117)</f>
        <v>4.5199836356274785</v>
      </c>
      <c r="X117" s="37">
        <f>DSUM($B$43:$X$103,X$43,$C$110:$D117)</f>
        <v>4.5572439631754031</v>
      </c>
      <c r="Y117" s="3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2:80">
      <c r="B118" s="1" t="s">
        <v>99</v>
      </c>
      <c r="C118" s="73" t="s">
        <v>100</v>
      </c>
      <c r="D118" s="73" t="s">
        <v>101</v>
      </c>
      <c r="E118" s="37">
        <f>DSUM($B$43:$X$103,E$43,$C$110:$D118)</f>
        <v>0</v>
      </c>
      <c r="F118" s="37">
        <f>DSUM($B$43:$X$103,F$43,$C$110:$D118)</f>
        <v>2.3164943936424289</v>
      </c>
      <c r="G118" s="37">
        <f>DSUM($B$43:$X$103,G$43,$C$110:$D118)</f>
        <v>2.8416317276378296</v>
      </c>
      <c r="H118" s="37">
        <f>DSUM($B$43:$X$103,H$43,$C$110:$D118)</f>
        <v>3.2259389564080312</v>
      </c>
      <c r="I118" s="37">
        <f>DSUM($B$43:$X$103,I$43,$C$110:$D118)</f>
        <v>3.5290322276778836</v>
      </c>
      <c r="J118" s="37">
        <f>DSUM($B$43:$X$103,J$43,$C$110:$D118)</f>
        <v>3.7035020620927397</v>
      </c>
      <c r="K118" s="37">
        <f>DSUM($B$43:$X$103,K$43,$C$110:$D118)</f>
        <v>3.8892601678659391</v>
      </c>
      <c r="L118" s="37">
        <f>DSUM($B$43:$X$103,L$43,$C$110:$D118)</f>
        <v>4.1199991433621772</v>
      </c>
      <c r="M118" s="37">
        <f>DSUM($B$43:$X$103,M$43,$C$110:$D118)</f>
        <v>4.2939991542033882</v>
      </c>
      <c r="N118" s="37">
        <f>DSUM($B$43:$X$103,N$43,$C$110:$D118)</f>
        <v>4.543768887171062</v>
      </c>
      <c r="O118" s="37">
        <f>DSUM($B$43:$X$103,O$43,$C$110:$D118)</f>
        <v>4.7137361749740467</v>
      </c>
      <c r="P118" s="37">
        <f>DSUM($B$43:$X$103,P$43,$C$110:$D118)</f>
        <v>4.7713891745397099</v>
      </c>
      <c r="Q118" s="37">
        <f>DSUM($B$43:$X$103,Q$43,$C$110:$D118)</f>
        <v>4.7469865210015909</v>
      </c>
      <c r="R118" s="37">
        <f>DSUM($B$43:$X$103,R$43,$C$110:$D118)</f>
        <v>4.8101062185134316</v>
      </c>
      <c r="S118" s="37">
        <f>DSUM($B$43:$X$103,S$43,$C$110:$D118)</f>
        <v>4.9016669704156177</v>
      </c>
      <c r="T118" s="37">
        <f>DSUM($B$43:$X$103,T$43,$C$110:$D118)</f>
        <v>4.9099771524576328</v>
      </c>
      <c r="U118" s="37">
        <f>DSUM($B$43:$X$103,U$43,$C$110:$D118)</f>
        <v>4.7901105233113244</v>
      </c>
      <c r="V118" s="37">
        <f>DSUM($B$43:$X$103,V$43,$C$110:$D118)</f>
        <v>4.7970114575215135</v>
      </c>
      <c r="W118" s="37">
        <f>DSUM($B$43:$X$103,W$43,$C$110:$D118)</f>
        <v>4.8153173125802562</v>
      </c>
      <c r="X118" s="37">
        <f>DSUM($B$43:$X$103,X$43,$C$110:$D118)</f>
        <v>4.8550039109932079</v>
      </c>
      <c r="Y118" s="37"/>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2:80">
      <c r="B119" s="1" t="s">
        <v>102</v>
      </c>
      <c r="C119" s="73" t="s">
        <v>103</v>
      </c>
      <c r="D119" s="73" t="s">
        <v>104</v>
      </c>
      <c r="E119" s="37">
        <f>DSUM($B$43:$X$103,E$43,$C$110:$D119)</f>
        <v>0</v>
      </c>
      <c r="F119" s="37">
        <f>DSUM($B$43:$X$103,F$43,$C$110:$D119)</f>
        <v>2.3164943936424289</v>
      </c>
      <c r="G119" s="37">
        <f>DSUM($B$43:$X$103,G$43,$C$110:$D119)</f>
        <v>2.8416317276378296</v>
      </c>
      <c r="H119" s="37">
        <f>DSUM($B$43:$X$103,H$43,$C$110:$D119)</f>
        <v>3.2259389564080312</v>
      </c>
      <c r="I119" s="37">
        <f>DSUM($B$43:$X$103,I$43,$C$110:$D119)</f>
        <v>3.5290322276778836</v>
      </c>
      <c r="J119" s="37">
        <f>DSUM($B$43:$X$103,J$43,$C$110:$D119)</f>
        <v>3.7035020620927397</v>
      </c>
      <c r="K119" s="37">
        <f>DSUM($B$43:$X$103,K$43,$C$110:$D119)</f>
        <v>3.8892601678659391</v>
      </c>
      <c r="L119" s="37">
        <f>DSUM($B$43:$X$103,L$43,$C$110:$D119)</f>
        <v>4.1199991433621772</v>
      </c>
      <c r="M119" s="37">
        <f>DSUM($B$43:$X$103,M$43,$C$110:$D119)</f>
        <v>4.2939991542033882</v>
      </c>
      <c r="N119" s="37">
        <f>DSUM($B$43:$X$103,N$43,$C$110:$D119)</f>
        <v>4.543768887171062</v>
      </c>
      <c r="O119" s="37">
        <f>DSUM($B$43:$X$103,O$43,$C$110:$D119)</f>
        <v>4.7137361749740467</v>
      </c>
      <c r="P119" s="37">
        <f>DSUM($B$43:$X$103,P$43,$C$110:$D119)</f>
        <v>4.7713891745397099</v>
      </c>
      <c r="Q119" s="37">
        <f>DSUM($B$43:$X$103,Q$43,$C$110:$D119)</f>
        <v>4.7469865210015909</v>
      </c>
      <c r="R119" s="37">
        <f>DSUM($B$43:$X$103,R$43,$C$110:$D119)</f>
        <v>4.8101062185134316</v>
      </c>
      <c r="S119" s="37">
        <f>DSUM($B$43:$X$103,S$43,$C$110:$D119)</f>
        <v>4.9016669704156177</v>
      </c>
      <c r="T119" s="37">
        <f>DSUM($B$43:$X$103,T$43,$C$110:$D119)</f>
        <v>4.9099771524576328</v>
      </c>
      <c r="U119" s="37">
        <f>DSUM($B$43:$X$103,U$43,$C$110:$D119)</f>
        <v>4.7901105233113244</v>
      </c>
      <c r="V119" s="37">
        <f>DSUM($B$43:$X$103,V$43,$C$110:$D119)</f>
        <v>4.7970114575215135</v>
      </c>
      <c r="W119" s="37">
        <f>DSUM($B$43:$X$103,W$43,$C$110:$D119)</f>
        <v>4.8153173125802562</v>
      </c>
      <c r="X119" s="37">
        <f>DSUM($B$43:$X$103,X$43,$C$110:$D119)</f>
        <v>4.8550039109932079</v>
      </c>
      <c r="Y119" s="37"/>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2:80">
      <c r="B120" s="1" t="s">
        <v>105</v>
      </c>
      <c r="C120" s="73" t="s">
        <v>106</v>
      </c>
      <c r="D120" s="73" t="s">
        <v>107</v>
      </c>
      <c r="E120" s="37">
        <f>DSUM($B$43:$X$103,E$43,$C$110:$D120)</f>
        <v>0</v>
      </c>
      <c r="F120" s="37">
        <f>DSUM($B$43:$X$103,F$43,$C$110:$D120)</f>
        <v>2.3164943936424289</v>
      </c>
      <c r="G120" s="37">
        <f>DSUM($B$43:$X$103,G$43,$C$110:$D120)</f>
        <v>2.8416317276378296</v>
      </c>
      <c r="H120" s="37">
        <f>DSUM($B$43:$X$103,H$43,$C$110:$D120)</f>
        <v>3.2259389564080312</v>
      </c>
      <c r="I120" s="37">
        <f>DSUM($B$43:$X$103,I$43,$C$110:$D120)</f>
        <v>3.5290322276778836</v>
      </c>
      <c r="J120" s="37">
        <f>DSUM($B$43:$X$103,J$43,$C$110:$D120)</f>
        <v>3.7035020620927397</v>
      </c>
      <c r="K120" s="37">
        <f>DSUM($B$43:$X$103,K$43,$C$110:$D120)</f>
        <v>3.8892601678659391</v>
      </c>
      <c r="L120" s="37">
        <f>DSUM($B$43:$X$103,L$43,$C$110:$D120)</f>
        <v>4.1199991433621772</v>
      </c>
      <c r="M120" s="37">
        <f>DSUM($B$43:$X$103,M$43,$C$110:$D120)</f>
        <v>4.2939991542033882</v>
      </c>
      <c r="N120" s="37">
        <f>DSUM($B$43:$X$103,N$43,$C$110:$D120)</f>
        <v>4.543768887171062</v>
      </c>
      <c r="O120" s="37">
        <f>DSUM($B$43:$X$103,O$43,$C$110:$D120)</f>
        <v>4.7137361749740467</v>
      </c>
      <c r="P120" s="37">
        <f>DSUM($B$43:$X$103,P$43,$C$110:$D120)</f>
        <v>4.7713891745397099</v>
      </c>
      <c r="Q120" s="37">
        <f>DSUM($B$43:$X$103,Q$43,$C$110:$D120)</f>
        <v>4.7469865210015909</v>
      </c>
      <c r="R120" s="37">
        <f>DSUM($B$43:$X$103,R$43,$C$110:$D120)</f>
        <v>4.8101062185134316</v>
      </c>
      <c r="S120" s="37">
        <f>DSUM($B$43:$X$103,S$43,$C$110:$D120)</f>
        <v>4.9016669704156177</v>
      </c>
      <c r="T120" s="37">
        <f>DSUM($B$43:$X$103,T$43,$C$110:$D120)</f>
        <v>4.9099771524576328</v>
      </c>
      <c r="U120" s="37">
        <f>DSUM($B$43:$X$103,U$43,$C$110:$D120)</f>
        <v>4.7901105233113244</v>
      </c>
      <c r="V120" s="37">
        <f>DSUM($B$43:$X$103,V$43,$C$110:$D120)</f>
        <v>4.7970114575215135</v>
      </c>
      <c r="W120" s="37">
        <f>DSUM($B$43:$X$103,W$43,$C$110:$D120)</f>
        <v>4.8153173125802562</v>
      </c>
      <c r="X120" s="37">
        <f>DSUM($B$43:$X$103,X$43,$C$110:$D120)</f>
        <v>4.8550039109932079</v>
      </c>
      <c r="Y120" s="37"/>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2:80">
      <c r="B121" s="1" t="s">
        <v>108</v>
      </c>
      <c r="C121" s="73" t="s">
        <v>109</v>
      </c>
      <c r="D121" s="73" t="s">
        <v>110</v>
      </c>
      <c r="E121" s="37">
        <f>DSUM($B$43:$X$103,E$43,$C$110:$D121)</f>
        <v>0</v>
      </c>
      <c r="F121" s="37">
        <f>DSUM($B$43:$X$103,F$43,$C$110:$D121)</f>
        <v>2.3164943936424289</v>
      </c>
      <c r="G121" s="37">
        <f>DSUM($B$43:$X$103,G$43,$C$110:$D121)</f>
        <v>2.8416317276378296</v>
      </c>
      <c r="H121" s="37">
        <f>DSUM($B$43:$X$103,H$43,$C$110:$D121)</f>
        <v>3.2259389564080312</v>
      </c>
      <c r="I121" s="37">
        <f>DSUM($B$43:$X$103,I$43,$C$110:$D121)</f>
        <v>3.5290322276778836</v>
      </c>
      <c r="J121" s="37">
        <f>DSUM($B$43:$X$103,J$43,$C$110:$D121)</f>
        <v>3.7035020620927397</v>
      </c>
      <c r="K121" s="37">
        <f>DSUM($B$43:$X$103,K$43,$C$110:$D121)</f>
        <v>3.8892601678659391</v>
      </c>
      <c r="L121" s="37">
        <f>DSUM($B$43:$X$103,L$43,$C$110:$D121)</f>
        <v>4.1199991433621772</v>
      </c>
      <c r="M121" s="37">
        <f>DSUM($B$43:$X$103,M$43,$C$110:$D121)</f>
        <v>4.2939991542033882</v>
      </c>
      <c r="N121" s="37">
        <f>DSUM($B$43:$X$103,N$43,$C$110:$D121)</f>
        <v>4.543768887171062</v>
      </c>
      <c r="O121" s="37">
        <f>DSUM($B$43:$X$103,O$43,$C$110:$D121)</f>
        <v>4.7137361749740467</v>
      </c>
      <c r="P121" s="37">
        <f>DSUM($B$43:$X$103,P$43,$C$110:$D121)</f>
        <v>4.7713891745397099</v>
      </c>
      <c r="Q121" s="37">
        <f>DSUM($B$43:$X$103,Q$43,$C$110:$D121)</f>
        <v>4.7469865210015909</v>
      </c>
      <c r="R121" s="37">
        <f>DSUM($B$43:$X$103,R$43,$C$110:$D121)</f>
        <v>4.8101062185134316</v>
      </c>
      <c r="S121" s="37">
        <f>DSUM($B$43:$X$103,S$43,$C$110:$D121)</f>
        <v>4.9016669704156177</v>
      </c>
      <c r="T121" s="37">
        <f>DSUM($B$43:$X$103,T$43,$C$110:$D121)</f>
        <v>4.9099771524576328</v>
      </c>
      <c r="U121" s="37">
        <f>DSUM($B$43:$X$103,U$43,$C$110:$D121)</f>
        <v>4.7901105233113244</v>
      </c>
      <c r="V121" s="37">
        <f>DSUM($B$43:$X$103,V$43,$C$110:$D121)</f>
        <v>4.7970114575215135</v>
      </c>
      <c r="W121" s="37">
        <f>DSUM($B$43:$X$103,W$43,$C$110:$D121)</f>
        <v>4.8153173125802562</v>
      </c>
      <c r="X121" s="37">
        <f>DSUM($B$43:$X$103,X$43,$C$110:$D121)</f>
        <v>4.8550039109932079</v>
      </c>
      <c r="Y121" s="37"/>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2:80">
      <c r="B122" s="1" t="s">
        <v>111</v>
      </c>
      <c r="C122" s="73" t="s">
        <v>112</v>
      </c>
      <c r="D122" s="73" t="s">
        <v>113</v>
      </c>
      <c r="E122" s="37">
        <f>DSUM($B$43:$X$103,E$43,$C$110:$D122)</f>
        <v>0</v>
      </c>
      <c r="F122" s="37">
        <f>DSUM($B$43:$X$103,F$43,$C$110:$D122)</f>
        <v>2.3164943936424289</v>
      </c>
      <c r="G122" s="37">
        <f>DSUM($B$43:$X$103,G$43,$C$110:$D122)</f>
        <v>2.8416317276378296</v>
      </c>
      <c r="H122" s="37">
        <f>DSUM($B$43:$X$103,H$43,$C$110:$D122)</f>
        <v>3.2259389564080312</v>
      </c>
      <c r="I122" s="37">
        <f>DSUM($B$43:$X$103,I$43,$C$110:$D122)</f>
        <v>3.5290322276778836</v>
      </c>
      <c r="J122" s="37">
        <f>DSUM($B$43:$X$103,J$43,$C$110:$D122)</f>
        <v>3.7035020620927397</v>
      </c>
      <c r="K122" s="37">
        <f>DSUM($B$43:$X$103,K$43,$C$110:$D122)</f>
        <v>3.8892601678659391</v>
      </c>
      <c r="L122" s="37">
        <f>DSUM($B$43:$X$103,L$43,$C$110:$D122)</f>
        <v>4.1199991433621772</v>
      </c>
      <c r="M122" s="37">
        <f>DSUM($B$43:$X$103,M$43,$C$110:$D122)</f>
        <v>4.2939991542033882</v>
      </c>
      <c r="N122" s="37">
        <f>DSUM($B$43:$X$103,N$43,$C$110:$D122)</f>
        <v>4.543768887171062</v>
      </c>
      <c r="O122" s="37">
        <f>DSUM($B$43:$X$103,O$43,$C$110:$D122)</f>
        <v>4.7137361749740467</v>
      </c>
      <c r="P122" s="37">
        <f>DSUM($B$43:$X$103,P$43,$C$110:$D122)</f>
        <v>4.7713891745397099</v>
      </c>
      <c r="Q122" s="37">
        <f>DSUM($B$43:$X$103,Q$43,$C$110:$D122)</f>
        <v>4.7469865210015909</v>
      </c>
      <c r="R122" s="37">
        <f>DSUM($B$43:$X$103,R$43,$C$110:$D122)</f>
        <v>4.8101062185134316</v>
      </c>
      <c r="S122" s="37">
        <f>DSUM($B$43:$X$103,S$43,$C$110:$D122)</f>
        <v>4.9016669704156177</v>
      </c>
      <c r="T122" s="37">
        <f>DSUM($B$43:$X$103,T$43,$C$110:$D122)</f>
        <v>4.9099771524576328</v>
      </c>
      <c r="U122" s="37">
        <f>DSUM($B$43:$X$103,U$43,$C$110:$D122)</f>
        <v>4.7901105233113244</v>
      </c>
      <c r="V122" s="37">
        <f>DSUM($B$43:$X$103,V$43,$C$110:$D122)</f>
        <v>4.7970114575215135</v>
      </c>
      <c r="W122" s="37">
        <f>DSUM($B$43:$X$103,W$43,$C$110:$D122)</f>
        <v>4.8153173125802562</v>
      </c>
      <c r="X122" s="37">
        <f>DSUM($B$43:$X$103,X$43,$C$110:$D122)</f>
        <v>4.8550039109932079</v>
      </c>
      <c r="Y122" s="37"/>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2:80">
      <c r="B123" s="1" t="s">
        <v>114</v>
      </c>
      <c r="C123" s="73" t="s">
        <v>115</v>
      </c>
      <c r="D123" s="73" t="s">
        <v>116</v>
      </c>
      <c r="E123" s="37">
        <f>DSUM($B$43:$X$103,E$43,$C$110:$D123)</f>
        <v>0</v>
      </c>
      <c r="F123" s="37">
        <f>DSUM($B$43:$X$103,F$43,$C$110:$D123)</f>
        <v>2.3164943936424289</v>
      </c>
      <c r="G123" s="37">
        <f>DSUM($B$43:$X$103,G$43,$C$110:$D123)</f>
        <v>2.8416317276378296</v>
      </c>
      <c r="H123" s="37">
        <f>DSUM($B$43:$X$103,H$43,$C$110:$D123)</f>
        <v>3.2259389564080312</v>
      </c>
      <c r="I123" s="37">
        <f>DSUM($B$43:$X$103,I$43,$C$110:$D123)</f>
        <v>3.5290322276778836</v>
      </c>
      <c r="J123" s="37">
        <f>DSUM($B$43:$X$103,J$43,$C$110:$D123)</f>
        <v>3.7035020620927397</v>
      </c>
      <c r="K123" s="37">
        <f>DSUM($B$43:$X$103,K$43,$C$110:$D123)</f>
        <v>3.8892601678659391</v>
      </c>
      <c r="L123" s="37">
        <f>DSUM($B$43:$X$103,L$43,$C$110:$D123)</f>
        <v>4.1199991433621772</v>
      </c>
      <c r="M123" s="37">
        <f>DSUM($B$43:$X$103,M$43,$C$110:$D123)</f>
        <v>4.2939991542033882</v>
      </c>
      <c r="N123" s="37">
        <f>DSUM($B$43:$X$103,N$43,$C$110:$D123)</f>
        <v>4.543768887171062</v>
      </c>
      <c r="O123" s="37">
        <f>DSUM($B$43:$X$103,O$43,$C$110:$D123)</f>
        <v>4.7137361749740467</v>
      </c>
      <c r="P123" s="37">
        <f>DSUM($B$43:$X$103,P$43,$C$110:$D123)</f>
        <v>4.7713891745397099</v>
      </c>
      <c r="Q123" s="37">
        <f>DSUM($B$43:$X$103,Q$43,$C$110:$D123)</f>
        <v>4.7469865210015909</v>
      </c>
      <c r="R123" s="37">
        <f>DSUM($B$43:$X$103,R$43,$C$110:$D123)</f>
        <v>4.8101062185134316</v>
      </c>
      <c r="S123" s="37">
        <f>DSUM($B$43:$X$103,S$43,$C$110:$D123)</f>
        <v>4.9016669704156177</v>
      </c>
      <c r="T123" s="37">
        <f>DSUM($B$43:$X$103,T$43,$C$110:$D123)</f>
        <v>4.9099771524576328</v>
      </c>
      <c r="U123" s="37">
        <f>DSUM($B$43:$X$103,U$43,$C$110:$D123)</f>
        <v>4.7901105233113244</v>
      </c>
      <c r="V123" s="37">
        <f>DSUM($B$43:$X$103,V$43,$C$110:$D123)</f>
        <v>4.7970114575215135</v>
      </c>
      <c r="W123" s="37">
        <f>DSUM($B$43:$X$103,W$43,$C$110:$D123)</f>
        <v>4.8153173125802562</v>
      </c>
      <c r="X123" s="37">
        <f>DSUM($B$43:$X$103,X$43,$C$110:$D123)</f>
        <v>4.8550039109932079</v>
      </c>
      <c r="Y123" s="37"/>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2:80">
      <c r="B124" s="1" t="s">
        <v>117</v>
      </c>
      <c r="C124" s="73" t="s">
        <v>118</v>
      </c>
      <c r="D124" s="73" t="s">
        <v>119</v>
      </c>
      <c r="E124" s="37">
        <f>DSUM($B$43:$X$103,E$43,$C$110:$D124)</f>
        <v>0</v>
      </c>
      <c r="F124" s="37">
        <f>DSUM($B$43:$X$103,F$43,$C$110:$D124)</f>
        <v>2.3164943936424289</v>
      </c>
      <c r="G124" s="37">
        <f>DSUM($B$43:$X$103,G$43,$C$110:$D124)</f>
        <v>2.8416317276378296</v>
      </c>
      <c r="H124" s="37">
        <f>DSUM($B$43:$X$103,H$43,$C$110:$D124)</f>
        <v>3.2259389564080312</v>
      </c>
      <c r="I124" s="37">
        <f>DSUM($B$43:$X$103,I$43,$C$110:$D124)</f>
        <v>3.5290322276778836</v>
      </c>
      <c r="J124" s="37">
        <f>DSUM($B$43:$X$103,J$43,$C$110:$D124)</f>
        <v>3.7035020620927397</v>
      </c>
      <c r="K124" s="37">
        <f>DSUM($B$43:$X$103,K$43,$C$110:$D124)</f>
        <v>3.8892601678659391</v>
      </c>
      <c r="L124" s="37">
        <f>DSUM($B$43:$X$103,L$43,$C$110:$D124)</f>
        <v>4.1199991433621772</v>
      </c>
      <c r="M124" s="37">
        <f>DSUM($B$43:$X$103,M$43,$C$110:$D124)</f>
        <v>4.2939991542033882</v>
      </c>
      <c r="N124" s="37">
        <f>DSUM($B$43:$X$103,N$43,$C$110:$D124)</f>
        <v>4.543768887171062</v>
      </c>
      <c r="O124" s="37">
        <f>DSUM($B$43:$X$103,O$43,$C$110:$D124)</f>
        <v>4.7137361749740467</v>
      </c>
      <c r="P124" s="37">
        <f>DSUM($B$43:$X$103,P$43,$C$110:$D124)</f>
        <v>4.7713891745397099</v>
      </c>
      <c r="Q124" s="37">
        <f>DSUM($B$43:$X$103,Q$43,$C$110:$D124)</f>
        <v>4.7469865210015909</v>
      </c>
      <c r="R124" s="37">
        <f>DSUM($B$43:$X$103,R$43,$C$110:$D124)</f>
        <v>4.8101062185134316</v>
      </c>
      <c r="S124" s="37">
        <f>DSUM($B$43:$X$103,S$43,$C$110:$D124)</f>
        <v>4.9016669704156177</v>
      </c>
      <c r="T124" s="37">
        <f>DSUM($B$43:$X$103,T$43,$C$110:$D124)</f>
        <v>4.9099771524576328</v>
      </c>
      <c r="U124" s="37">
        <f>DSUM($B$43:$X$103,U$43,$C$110:$D124)</f>
        <v>4.7901105233113244</v>
      </c>
      <c r="V124" s="37">
        <f>DSUM($B$43:$X$103,V$43,$C$110:$D124)</f>
        <v>4.7970114575215135</v>
      </c>
      <c r="W124" s="37">
        <f>DSUM($B$43:$X$103,W$43,$C$110:$D124)</f>
        <v>4.8153173125802562</v>
      </c>
      <c r="X124" s="37">
        <f>DSUM($B$43:$X$103,X$43,$C$110:$D124)</f>
        <v>4.8550039109932079</v>
      </c>
      <c r="Y124" s="37"/>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2:80">
      <c r="B125" s="1" t="s">
        <v>120</v>
      </c>
      <c r="C125" s="73" t="s">
        <v>121</v>
      </c>
      <c r="D125" s="73" t="s">
        <v>122</v>
      </c>
      <c r="E125" s="37">
        <f>DSUM($B$43:$X$103,E$43,$C$110:$D125)</f>
        <v>0</v>
      </c>
      <c r="F125" s="37">
        <f>DSUM($B$43:$X$103,F$43,$C$110:$D125)</f>
        <v>2.3164943936424289</v>
      </c>
      <c r="G125" s="37">
        <f>DSUM($B$43:$X$103,G$43,$C$110:$D125)</f>
        <v>2.8416317276378296</v>
      </c>
      <c r="H125" s="37">
        <f>DSUM($B$43:$X$103,H$43,$C$110:$D125)</f>
        <v>3.2259389564080312</v>
      </c>
      <c r="I125" s="37">
        <f>DSUM($B$43:$X$103,I$43,$C$110:$D125)</f>
        <v>3.5290322276778836</v>
      </c>
      <c r="J125" s="37">
        <f>DSUM($B$43:$X$103,J$43,$C$110:$D125)</f>
        <v>3.7035020620927397</v>
      </c>
      <c r="K125" s="37">
        <f>DSUM($B$43:$X$103,K$43,$C$110:$D125)</f>
        <v>3.8892601678659391</v>
      </c>
      <c r="L125" s="37">
        <f>DSUM($B$43:$X$103,L$43,$C$110:$D125)</f>
        <v>4.1199991433621772</v>
      </c>
      <c r="M125" s="37">
        <f>DSUM($B$43:$X$103,M$43,$C$110:$D125)</f>
        <v>4.2939991542033882</v>
      </c>
      <c r="N125" s="37">
        <f>DSUM($B$43:$X$103,N$43,$C$110:$D125)</f>
        <v>4.543768887171062</v>
      </c>
      <c r="O125" s="37">
        <f>DSUM($B$43:$X$103,O$43,$C$110:$D125)</f>
        <v>4.7137361749740467</v>
      </c>
      <c r="P125" s="37">
        <f>DSUM($B$43:$X$103,P$43,$C$110:$D125)</f>
        <v>4.7713891745397099</v>
      </c>
      <c r="Q125" s="37">
        <f>DSUM($B$43:$X$103,Q$43,$C$110:$D125)</f>
        <v>4.7469865210015909</v>
      </c>
      <c r="R125" s="37">
        <f>DSUM($B$43:$X$103,R$43,$C$110:$D125)</f>
        <v>4.8101062185134316</v>
      </c>
      <c r="S125" s="37">
        <f>DSUM($B$43:$X$103,S$43,$C$110:$D125)</f>
        <v>4.9016669704156177</v>
      </c>
      <c r="T125" s="37">
        <f>DSUM($B$43:$X$103,T$43,$C$110:$D125)</f>
        <v>4.9099771524576328</v>
      </c>
      <c r="U125" s="37">
        <f>DSUM($B$43:$X$103,U$43,$C$110:$D125)</f>
        <v>4.7901105233113244</v>
      </c>
      <c r="V125" s="37">
        <f>DSUM($B$43:$X$103,V$43,$C$110:$D125)</f>
        <v>4.7970114575215135</v>
      </c>
      <c r="W125" s="37">
        <f>DSUM($B$43:$X$103,W$43,$C$110:$D125)</f>
        <v>4.8153173125802562</v>
      </c>
      <c r="X125" s="37">
        <f>DSUM($B$43:$X$103,X$43,$C$110:$D125)</f>
        <v>4.8550039109932079</v>
      </c>
      <c r="Y125" s="37"/>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2:80">
      <c r="B126" s="1" t="s">
        <v>123</v>
      </c>
      <c r="C126" s="73" t="s">
        <v>124</v>
      </c>
      <c r="D126" s="73" t="s">
        <v>125</v>
      </c>
      <c r="E126" s="37">
        <f>DSUM($B$43:$X$103,E$43,$C$110:$D126)</f>
        <v>0</v>
      </c>
      <c r="F126" s="37">
        <f>DSUM($B$43:$X$103,F$43,$C$110:$D126)</f>
        <v>2.3164943936424289</v>
      </c>
      <c r="G126" s="37">
        <f>DSUM($B$43:$X$103,G$43,$C$110:$D126)</f>
        <v>2.8416317276378296</v>
      </c>
      <c r="H126" s="37">
        <f>DSUM($B$43:$X$103,H$43,$C$110:$D126)</f>
        <v>3.2259389564080312</v>
      </c>
      <c r="I126" s="37">
        <f>DSUM($B$43:$X$103,I$43,$C$110:$D126)</f>
        <v>3.5290322276778836</v>
      </c>
      <c r="J126" s="37">
        <f>DSUM($B$43:$X$103,J$43,$C$110:$D126)</f>
        <v>3.7035020620927397</v>
      </c>
      <c r="K126" s="37">
        <f>DSUM($B$43:$X$103,K$43,$C$110:$D126)</f>
        <v>3.8892601678659391</v>
      </c>
      <c r="L126" s="37">
        <f>DSUM($B$43:$X$103,L$43,$C$110:$D126)</f>
        <v>4.1199991433621772</v>
      </c>
      <c r="M126" s="37">
        <f>DSUM($B$43:$X$103,M$43,$C$110:$D126)</f>
        <v>4.2939991542033882</v>
      </c>
      <c r="N126" s="37">
        <f>DSUM($B$43:$X$103,N$43,$C$110:$D126)</f>
        <v>4.543768887171062</v>
      </c>
      <c r="O126" s="37">
        <f>DSUM($B$43:$X$103,O$43,$C$110:$D126)</f>
        <v>4.7137361749740467</v>
      </c>
      <c r="P126" s="37">
        <f>DSUM($B$43:$X$103,P$43,$C$110:$D126)</f>
        <v>4.7713891745397099</v>
      </c>
      <c r="Q126" s="37">
        <f>DSUM($B$43:$X$103,Q$43,$C$110:$D126)</f>
        <v>4.7469865210015909</v>
      </c>
      <c r="R126" s="37">
        <f>DSUM($B$43:$X$103,R$43,$C$110:$D126)</f>
        <v>4.8101062185134316</v>
      </c>
      <c r="S126" s="37">
        <f>DSUM($B$43:$X$103,S$43,$C$110:$D126)</f>
        <v>4.9016669704156177</v>
      </c>
      <c r="T126" s="37">
        <f>DSUM($B$43:$X$103,T$43,$C$110:$D126)</f>
        <v>4.9099771524576328</v>
      </c>
      <c r="U126" s="37">
        <f>DSUM($B$43:$X$103,U$43,$C$110:$D126)</f>
        <v>4.7901105233113244</v>
      </c>
      <c r="V126" s="37">
        <f>DSUM($B$43:$X$103,V$43,$C$110:$D126)</f>
        <v>4.7970114575215135</v>
      </c>
      <c r="W126" s="37">
        <f>DSUM($B$43:$X$103,W$43,$C$110:$D126)</f>
        <v>4.8153173125802562</v>
      </c>
      <c r="X126" s="37">
        <f>DSUM($B$43:$X$103,X$43,$C$110:$D126)</f>
        <v>4.8550039109932079</v>
      </c>
      <c r="Y126" s="37"/>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row r="127" spans="2:80">
      <c r="B127" s="1" t="s">
        <v>126</v>
      </c>
      <c r="C127" s="73" t="s">
        <v>127</v>
      </c>
      <c r="D127" s="73" t="s">
        <v>128</v>
      </c>
      <c r="E127" s="37">
        <f>DSUM($B$43:$X$103,E$43,$C$110:$D127)</f>
        <v>0</v>
      </c>
      <c r="F127" s="37">
        <f>DSUM($B$43:$X$103,F$43,$C$110:$D127)</f>
        <v>2.3164943936424289</v>
      </c>
      <c r="G127" s="37">
        <f>DSUM($B$43:$X$103,G$43,$C$110:$D127)</f>
        <v>2.8416317276378296</v>
      </c>
      <c r="H127" s="37">
        <f>DSUM($B$43:$X$103,H$43,$C$110:$D127)</f>
        <v>3.2259389564080312</v>
      </c>
      <c r="I127" s="37">
        <f>DSUM($B$43:$X$103,I$43,$C$110:$D127)</f>
        <v>3.5290322276778836</v>
      </c>
      <c r="J127" s="37">
        <f>DSUM($B$43:$X$103,J$43,$C$110:$D127)</f>
        <v>3.7035020620927397</v>
      </c>
      <c r="K127" s="37">
        <f>DSUM($B$43:$X$103,K$43,$C$110:$D127)</f>
        <v>3.8892601678659391</v>
      </c>
      <c r="L127" s="37">
        <f>DSUM($B$43:$X$103,L$43,$C$110:$D127)</f>
        <v>4.1199991433621772</v>
      </c>
      <c r="M127" s="37">
        <f>DSUM($B$43:$X$103,M$43,$C$110:$D127)</f>
        <v>4.2939991542033882</v>
      </c>
      <c r="N127" s="37">
        <f>DSUM($B$43:$X$103,N$43,$C$110:$D127)</f>
        <v>4.543768887171062</v>
      </c>
      <c r="O127" s="37">
        <f>DSUM($B$43:$X$103,O$43,$C$110:$D127)</f>
        <v>4.7137361749740467</v>
      </c>
      <c r="P127" s="37">
        <f>DSUM($B$43:$X$103,P$43,$C$110:$D127)</f>
        <v>4.7713891745397099</v>
      </c>
      <c r="Q127" s="37">
        <f>DSUM($B$43:$X$103,Q$43,$C$110:$D127)</f>
        <v>4.7469865210015909</v>
      </c>
      <c r="R127" s="37">
        <f>DSUM($B$43:$X$103,R$43,$C$110:$D127)</f>
        <v>4.8101062185134316</v>
      </c>
      <c r="S127" s="37">
        <f>DSUM($B$43:$X$103,S$43,$C$110:$D127)</f>
        <v>4.9016669704156177</v>
      </c>
      <c r="T127" s="37">
        <f>DSUM($B$43:$X$103,T$43,$C$110:$D127)</f>
        <v>4.9099771524576328</v>
      </c>
      <c r="U127" s="37">
        <f>DSUM($B$43:$X$103,U$43,$C$110:$D127)</f>
        <v>4.7901105233113244</v>
      </c>
      <c r="V127" s="37">
        <f>DSUM($B$43:$X$103,V$43,$C$110:$D127)</f>
        <v>4.7970114575215135</v>
      </c>
      <c r="W127" s="37">
        <f>DSUM($B$43:$X$103,W$43,$C$110:$D127)</f>
        <v>4.8153173125802562</v>
      </c>
      <c r="X127" s="37">
        <f>DSUM($B$43:$X$103,X$43,$C$110:$D127)</f>
        <v>4.8550039109932079</v>
      </c>
      <c r="Y127" s="3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row>
    <row r="128" spans="2:80">
      <c r="B128" s="1" t="s">
        <v>129</v>
      </c>
      <c r="C128" s="73" t="s">
        <v>130</v>
      </c>
      <c r="D128" s="73" t="s">
        <v>131</v>
      </c>
      <c r="E128" s="37">
        <f>DSUM($B$43:$X$103,E$43,$C$110:$D128)</f>
        <v>0</v>
      </c>
      <c r="F128" s="37">
        <f>DSUM($B$43:$X$103,F$43,$C$110:$D128)</f>
        <v>2.3164943936424289</v>
      </c>
      <c r="G128" s="37">
        <f>DSUM($B$43:$X$103,G$43,$C$110:$D128)</f>
        <v>2.8416317276378296</v>
      </c>
      <c r="H128" s="37">
        <f>DSUM($B$43:$X$103,H$43,$C$110:$D128)</f>
        <v>3.2259389564080312</v>
      </c>
      <c r="I128" s="37">
        <f>DSUM($B$43:$X$103,I$43,$C$110:$D128)</f>
        <v>3.5290322276778836</v>
      </c>
      <c r="J128" s="37">
        <f>DSUM($B$43:$X$103,J$43,$C$110:$D128)</f>
        <v>3.7035020620927397</v>
      </c>
      <c r="K128" s="37">
        <f>DSUM($B$43:$X$103,K$43,$C$110:$D128)</f>
        <v>3.8892601678659391</v>
      </c>
      <c r="L128" s="37">
        <f>DSUM($B$43:$X$103,L$43,$C$110:$D128)</f>
        <v>4.1199991433621772</v>
      </c>
      <c r="M128" s="37">
        <f>DSUM($B$43:$X$103,M$43,$C$110:$D128)</f>
        <v>4.2939991542033882</v>
      </c>
      <c r="N128" s="37">
        <f>DSUM($B$43:$X$103,N$43,$C$110:$D128)</f>
        <v>4.543768887171062</v>
      </c>
      <c r="O128" s="37">
        <f>DSUM($B$43:$X$103,O$43,$C$110:$D128)</f>
        <v>4.7137361749740467</v>
      </c>
      <c r="P128" s="37">
        <f>DSUM($B$43:$X$103,P$43,$C$110:$D128)</f>
        <v>4.7713891745397099</v>
      </c>
      <c r="Q128" s="37">
        <f>DSUM($B$43:$X$103,Q$43,$C$110:$D128)</f>
        <v>4.7469865210015909</v>
      </c>
      <c r="R128" s="37">
        <f>DSUM($B$43:$X$103,R$43,$C$110:$D128)</f>
        <v>4.8101062185134316</v>
      </c>
      <c r="S128" s="37">
        <f>DSUM($B$43:$X$103,S$43,$C$110:$D128)</f>
        <v>4.9016669704156177</v>
      </c>
      <c r="T128" s="37">
        <f>DSUM($B$43:$X$103,T$43,$C$110:$D128)</f>
        <v>4.9099771524576328</v>
      </c>
      <c r="U128" s="37">
        <f>DSUM($B$43:$X$103,U$43,$C$110:$D128)</f>
        <v>4.7901105233113244</v>
      </c>
      <c r="V128" s="37">
        <f>DSUM($B$43:$X$103,V$43,$C$110:$D128)</f>
        <v>4.7970114575215135</v>
      </c>
      <c r="W128" s="37">
        <f>DSUM($B$43:$X$103,W$43,$C$110:$D128)</f>
        <v>4.8153173125802562</v>
      </c>
      <c r="X128" s="37">
        <f>DSUM($B$43:$X$103,X$43,$C$110:$D128)</f>
        <v>4.8550039109932079</v>
      </c>
      <c r="Y128" s="37"/>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row>
    <row r="129" spans="1:80">
      <c r="B129" s="1" t="s">
        <v>132</v>
      </c>
      <c r="C129" s="73" t="s">
        <v>133</v>
      </c>
      <c r="D129" s="73" t="s">
        <v>134</v>
      </c>
      <c r="E129" s="37">
        <f>DSUM($B$43:$X$103,E$43,$C$110:$D129)</f>
        <v>0</v>
      </c>
      <c r="F129" s="37">
        <f>DSUM($B$43:$X$103,F$43,$C$110:$D129)</f>
        <v>2.3164943936424289</v>
      </c>
      <c r="G129" s="37">
        <f>DSUM($B$43:$X$103,G$43,$C$110:$D129)</f>
        <v>2.8416317276378296</v>
      </c>
      <c r="H129" s="37">
        <f>DSUM($B$43:$X$103,H$43,$C$110:$D129)</f>
        <v>3.2259389564080312</v>
      </c>
      <c r="I129" s="37">
        <f>DSUM($B$43:$X$103,I$43,$C$110:$D129)</f>
        <v>3.5290322276778836</v>
      </c>
      <c r="J129" s="37">
        <f>DSUM($B$43:$X$103,J$43,$C$110:$D129)</f>
        <v>3.7035020620927397</v>
      </c>
      <c r="K129" s="37">
        <f>DSUM($B$43:$X$103,K$43,$C$110:$D129)</f>
        <v>3.8892601678659391</v>
      </c>
      <c r="L129" s="37">
        <f>DSUM($B$43:$X$103,L$43,$C$110:$D129)</f>
        <v>4.1199991433621772</v>
      </c>
      <c r="M129" s="37">
        <f>DSUM($B$43:$X$103,M$43,$C$110:$D129)</f>
        <v>4.2939991542033882</v>
      </c>
      <c r="N129" s="37">
        <f>DSUM($B$43:$X$103,N$43,$C$110:$D129)</f>
        <v>4.543768887171062</v>
      </c>
      <c r="O129" s="37">
        <f>DSUM($B$43:$X$103,O$43,$C$110:$D129)</f>
        <v>4.7137361749740467</v>
      </c>
      <c r="P129" s="37">
        <f>DSUM($B$43:$X$103,P$43,$C$110:$D129)</f>
        <v>4.7713891745397099</v>
      </c>
      <c r="Q129" s="37">
        <f>DSUM($B$43:$X$103,Q$43,$C$110:$D129)</f>
        <v>4.7469865210015909</v>
      </c>
      <c r="R129" s="37">
        <f>DSUM($B$43:$X$103,R$43,$C$110:$D129)</f>
        <v>4.8101062185134316</v>
      </c>
      <c r="S129" s="37">
        <f>DSUM($B$43:$X$103,S$43,$C$110:$D129)</f>
        <v>4.9016669704156177</v>
      </c>
      <c r="T129" s="37">
        <f>DSUM($B$43:$X$103,T$43,$C$110:$D129)</f>
        <v>4.9099771524576328</v>
      </c>
      <c r="U129" s="37">
        <f>DSUM($B$43:$X$103,U$43,$C$110:$D129)</f>
        <v>4.7901105233113244</v>
      </c>
      <c r="V129" s="37">
        <f>DSUM($B$43:$X$103,V$43,$C$110:$D129)</f>
        <v>4.7970114575215135</v>
      </c>
      <c r="W129" s="37">
        <f>DSUM($B$43:$X$103,W$43,$C$110:$D129)</f>
        <v>4.8153173125802562</v>
      </c>
      <c r="X129" s="37">
        <f>DSUM($B$43:$X$103,X$43,$C$110:$D129)</f>
        <v>4.8550039109932079</v>
      </c>
      <c r="Y129" s="37"/>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c r="B130" s="1" t="s">
        <v>135</v>
      </c>
      <c r="C130" s="73" t="s">
        <v>136</v>
      </c>
      <c r="D130" s="73" t="s">
        <v>137</v>
      </c>
      <c r="E130" s="37">
        <f>DSUM($B$43:$X$103,E$43,$C$110:$D130)</f>
        <v>0</v>
      </c>
      <c r="F130" s="37">
        <f>DSUM($B$43:$X$103,F$43,$C$110:$D130)</f>
        <v>2.3164943936424289</v>
      </c>
      <c r="G130" s="37">
        <f>DSUM($B$43:$X$103,G$43,$C$110:$D130)</f>
        <v>2.8416317276378296</v>
      </c>
      <c r="H130" s="37">
        <f>DSUM($B$43:$X$103,H$43,$C$110:$D130)</f>
        <v>3.2259389564080312</v>
      </c>
      <c r="I130" s="37">
        <f>DSUM($B$43:$X$103,I$43,$C$110:$D130)</f>
        <v>3.5290322276778836</v>
      </c>
      <c r="J130" s="37">
        <f>DSUM($B$43:$X$103,J$43,$C$110:$D130)</f>
        <v>3.7035020620927397</v>
      </c>
      <c r="K130" s="37">
        <f>DSUM($B$43:$X$103,K$43,$C$110:$D130)</f>
        <v>3.8892601678659391</v>
      </c>
      <c r="L130" s="37">
        <f>DSUM($B$43:$X$103,L$43,$C$110:$D130)</f>
        <v>4.1199991433621772</v>
      </c>
      <c r="M130" s="37">
        <f>DSUM($B$43:$X$103,M$43,$C$110:$D130)</f>
        <v>4.2939991542033882</v>
      </c>
      <c r="N130" s="37">
        <f>DSUM($B$43:$X$103,N$43,$C$110:$D130)</f>
        <v>4.543768887171062</v>
      </c>
      <c r="O130" s="37">
        <f>DSUM($B$43:$X$103,O$43,$C$110:$D130)</f>
        <v>4.7137361749740467</v>
      </c>
      <c r="P130" s="37">
        <f>DSUM($B$43:$X$103,P$43,$C$110:$D130)</f>
        <v>4.7713891745397099</v>
      </c>
      <c r="Q130" s="37">
        <f>DSUM($B$43:$X$103,Q$43,$C$110:$D130)</f>
        <v>4.7469865210015909</v>
      </c>
      <c r="R130" s="37">
        <f>DSUM($B$43:$X$103,R$43,$C$110:$D130)</f>
        <v>4.8101062185134316</v>
      </c>
      <c r="S130" s="37">
        <f>DSUM($B$43:$X$103,S$43,$C$110:$D130)</f>
        <v>4.9016669704156177</v>
      </c>
      <c r="T130" s="37">
        <f>DSUM($B$43:$X$103,T$43,$C$110:$D130)</f>
        <v>4.9099771524576328</v>
      </c>
      <c r="U130" s="37">
        <f>DSUM($B$43:$X$103,U$43,$C$110:$D130)</f>
        <v>4.7901105233113244</v>
      </c>
      <c r="V130" s="37">
        <f>DSUM($B$43:$X$103,V$43,$C$110:$D130)</f>
        <v>4.7970114575215135</v>
      </c>
      <c r="W130" s="37">
        <f>DSUM($B$43:$X$103,W$43,$C$110:$D130)</f>
        <v>4.8153173125802562</v>
      </c>
      <c r="X130" s="37">
        <f>DSUM($B$43:$X$103,X$43,$C$110:$D130)</f>
        <v>4.8550039109932079</v>
      </c>
      <c r="Y130" s="37"/>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c r="B131" s="1" t="s">
        <v>138</v>
      </c>
      <c r="C131" s="73" t="s">
        <v>139</v>
      </c>
      <c r="D131" s="73" t="s">
        <v>140</v>
      </c>
      <c r="E131" s="37">
        <f>DSUM($B$43:$X$103,E$43,$C$110:$D131)</f>
        <v>0</v>
      </c>
      <c r="F131" s="37">
        <f>DSUM($B$43:$X$103,F$43,$C$110:$D131)</f>
        <v>2.3164943936424289</v>
      </c>
      <c r="G131" s="37">
        <f>DSUM($B$43:$X$103,G$43,$C$110:$D131)</f>
        <v>2.8416317276378296</v>
      </c>
      <c r="H131" s="37">
        <f>DSUM($B$43:$X$103,H$43,$C$110:$D131)</f>
        <v>3.2259389564080312</v>
      </c>
      <c r="I131" s="37">
        <f>DSUM($B$43:$X$103,I$43,$C$110:$D131)</f>
        <v>3.5290322276778836</v>
      </c>
      <c r="J131" s="37">
        <f>DSUM($B$43:$X$103,J$43,$C$110:$D131)</f>
        <v>3.7035020620927397</v>
      </c>
      <c r="K131" s="37">
        <f>DSUM($B$43:$X$103,K$43,$C$110:$D131)</f>
        <v>3.8892601678659391</v>
      </c>
      <c r="L131" s="37">
        <f>DSUM($B$43:$X$103,L$43,$C$110:$D131)</f>
        <v>4.1199991433621772</v>
      </c>
      <c r="M131" s="37">
        <f>DSUM($B$43:$X$103,M$43,$C$110:$D131)</f>
        <v>4.2939991542033882</v>
      </c>
      <c r="N131" s="37">
        <f>DSUM($B$43:$X$103,N$43,$C$110:$D131)</f>
        <v>4.543768887171062</v>
      </c>
      <c r="O131" s="37">
        <f>DSUM($B$43:$X$103,O$43,$C$110:$D131)</f>
        <v>4.7137361749740467</v>
      </c>
      <c r="P131" s="37">
        <f>DSUM($B$43:$X$103,P$43,$C$110:$D131)</f>
        <v>4.7713891745397099</v>
      </c>
      <c r="Q131" s="37">
        <f>DSUM($B$43:$X$103,Q$43,$C$110:$D131)</f>
        <v>4.7469865210015909</v>
      </c>
      <c r="R131" s="37">
        <f>DSUM($B$43:$X$103,R$43,$C$110:$D131)</f>
        <v>4.8101062185134316</v>
      </c>
      <c r="S131" s="37">
        <f>DSUM($B$43:$X$103,S$43,$C$110:$D131)</f>
        <v>4.9016669704156177</v>
      </c>
      <c r="T131" s="37">
        <f>DSUM($B$43:$X$103,T$43,$C$110:$D131)</f>
        <v>4.9099771524576328</v>
      </c>
      <c r="U131" s="37">
        <f>DSUM($B$43:$X$103,U$43,$C$110:$D131)</f>
        <v>4.7901105233113244</v>
      </c>
      <c r="V131" s="37">
        <f>DSUM($B$43:$X$103,V$43,$C$110:$D131)</f>
        <v>4.7970114575215135</v>
      </c>
      <c r="W131" s="37">
        <f>DSUM($B$43:$X$103,W$43,$C$110:$D131)</f>
        <v>4.8153173125802562</v>
      </c>
      <c r="X131" s="37">
        <f>DSUM($B$43:$X$103,X$43,$C$110:$D131)</f>
        <v>4.8550039109932079</v>
      </c>
      <c r="Y131" s="37"/>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row>
    <row r="132" spans="1:80">
      <c r="B132" s="1" t="s">
        <v>365</v>
      </c>
      <c r="C132" s="73" t="s">
        <v>142</v>
      </c>
      <c r="D132" s="73" t="s">
        <v>366</v>
      </c>
      <c r="E132" s="37">
        <f>DSUM($B$43:$X$103,E$43,$C$110:$D132)</f>
        <v>0</v>
      </c>
      <c r="F132" s="37">
        <f>DSUM($B$43:$X$103,F$43,$C$110:$D132)</f>
        <v>2.3164943936424289</v>
      </c>
      <c r="G132" s="37">
        <f>DSUM($B$43:$X$103,G$43,$C$110:$D132)</f>
        <v>2.8416317276378296</v>
      </c>
      <c r="H132" s="37">
        <f>DSUM($B$43:$X$103,H$43,$C$110:$D132)</f>
        <v>3.2259389564080312</v>
      </c>
      <c r="I132" s="37">
        <f>DSUM($B$43:$X$103,I$43,$C$110:$D132)</f>
        <v>3.5290322276778836</v>
      </c>
      <c r="J132" s="37">
        <f>DSUM($B$43:$X$103,J$43,$C$110:$D132)</f>
        <v>3.7035020620927397</v>
      </c>
      <c r="K132" s="37">
        <f>DSUM($B$43:$X$103,K$43,$C$110:$D132)</f>
        <v>3.8892601678659391</v>
      </c>
      <c r="L132" s="37">
        <f>DSUM($B$43:$X$103,L$43,$C$110:$D132)</f>
        <v>4.1199991433621772</v>
      </c>
      <c r="M132" s="37">
        <f>DSUM($B$43:$X$103,M$43,$C$110:$D132)</f>
        <v>4.2939991542033882</v>
      </c>
      <c r="N132" s="37">
        <f>DSUM($B$43:$X$103,N$43,$C$110:$D132)</f>
        <v>4.543768887171062</v>
      </c>
      <c r="O132" s="37">
        <f>DSUM($B$43:$X$103,O$43,$C$110:$D132)</f>
        <v>4.7137361749740467</v>
      </c>
      <c r="P132" s="37">
        <f>DSUM($B$43:$X$103,P$43,$C$110:$D132)</f>
        <v>4.7713891745397099</v>
      </c>
      <c r="Q132" s="37">
        <f>DSUM($B$43:$X$103,Q$43,$C$110:$D132)</f>
        <v>4.7469865210015909</v>
      </c>
      <c r="R132" s="37">
        <f>DSUM($B$43:$X$103,R$43,$C$110:$D132)</f>
        <v>4.8101062185134316</v>
      </c>
      <c r="S132" s="37">
        <f>DSUM($B$43:$X$103,S$43,$C$110:$D132)</f>
        <v>4.9016669704156177</v>
      </c>
      <c r="T132" s="37">
        <f>DSUM($B$43:$X$103,T$43,$C$110:$D132)</f>
        <v>4.9099771524576328</v>
      </c>
      <c r="U132" s="37">
        <f>DSUM($B$43:$X$103,U$43,$C$110:$D132)</f>
        <v>4.7901105233113244</v>
      </c>
      <c r="V132" s="37">
        <f>DSUM($B$43:$X$103,V$43,$C$110:$D132)</f>
        <v>4.7970114575215135</v>
      </c>
      <c r="W132" s="37">
        <f>DSUM($B$43:$X$103,W$43,$C$110:$D132)</f>
        <v>4.8153173125802562</v>
      </c>
      <c r="X132" s="37">
        <f>DSUM($B$43:$X$103,X$43,$C$110:$D132)</f>
        <v>4.8550039109932079</v>
      </c>
      <c r="Y132" s="37"/>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c r="B133" s="1" t="s">
        <v>367</v>
      </c>
      <c r="C133" s="73" t="s">
        <v>368</v>
      </c>
      <c r="D133" s="73" t="s">
        <v>369</v>
      </c>
      <c r="E133" s="37">
        <f>DSUM($B$43:$X$103,E$43,$C$110:$D133)</f>
        <v>0</v>
      </c>
      <c r="F133" s="37">
        <f>DSUM($B$43:$X$103,F$43,$C$110:$D133)</f>
        <v>2.3164943936424289</v>
      </c>
      <c r="G133" s="37">
        <f>DSUM($B$43:$X$103,G$43,$C$110:$D133)</f>
        <v>2.8416317276378296</v>
      </c>
      <c r="H133" s="37">
        <f>DSUM($B$43:$X$103,H$43,$C$110:$D133)</f>
        <v>3.2259389564080312</v>
      </c>
      <c r="I133" s="37">
        <f>DSUM($B$43:$X$103,I$43,$C$110:$D133)</f>
        <v>3.5290322276778836</v>
      </c>
      <c r="J133" s="37">
        <f>DSUM($B$43:$X$103,J$43,$C$110:$D133)</f>
        <v>3.7035020620927397</v>
      </c>
      <c r="K133" s="37">
        <f>DSUM($B$43:$X$103,K$43,$C$110:$D133)</f>
        <v>3.8892601678659391</v>
      </c>
      <c r="L133" s="37">
        <f>DSUM($B$43:$X$103,L$43,$C$110:$D133)</f>
        <v>4.1199991433621772</v>
      </c>
      <c r="M133" s="37">
        <f>DSUM($B$43:$X$103,M$43,$C$110:$D133)</f>
        <v>4.2939991542033882</v>
      </c>
      <c r="N133" s="37">
        <f>DSUM($B$43:$X$103,N$43,$C$110:$D133)</f>
        <v>4.543768887171062</v>
      </c>
      <c r="O133" s="37">
        <f>DSUM($B$43:$X$103,O$43,$C$110:$D133)</f>
        <v>4.7137361749740467</v>
      </c>
      <c r="P133" s="37">
        <f>DSUM($B$43:$X$103,P$43,$C$110:$D133)</f>
        <v>4.7713891745397099</v>
      </c>
      <c r="Q133" s="37">
        <f>DSUM($B$43:$X$103,Q$43,$C$110:$D133)</f>
        <v>4.7469865210015909</v>
      </c>
      <c r="R133" s="37">
        <f>DSUM($B$43:$X$103,R$43,$C$110:$D133)</f>
        <v>4.8101062185134316</v>
      </c>
      <c r="S133" s="37">
        <f>DSUM($B$43:$X$103,S$43,$C$110:$D133)</f>
        <v>4.9016669704156177</v>
      </c>
      <c r="T133" s="37">
        <f>DSUM($B$43:$X$103,T$43,$C$110:$D133)</f>
        <v>4.9099771524576328</v>
      </c>
      <c r="U133" s="37">
        <f>DSUM($B$43:$X$103,U$43,$C$110:$D133)</f>
        <v>4.7901105233113244</v>
      </c>
      <c r="V133" s="37">
        <f>DSUM($B$43:$X$103,V$43,$C$110:$D133)</f>
        <v>4.7970114575215135</v>
      </c>
      <c r="W133" s="37">
        <f>DSUM($B$43:$X$103,W$43,$C$110:$D133)</f>
        <v>4.8153173125802562</v>
      </c>
      <c r="X133" s="37">
        <f>DSUM($B$43:$X$103,X$43,$C$110:$D133)</f>
        <v>4.8550039109932079</v>
      </c>
      <c r="Y133" s="37"/>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c r="B134" s="1" t="s">
        <v>370</v>
      </c>
      <c r="C134" s="73" t="s">
        <v>371</v>
      </c>
      <c r="D134" s="73" t="s">
        <v>372</v>
      </c>
      <c r="E134" s="37">
        <f>DSUM($B$43:$X$103,E$43,$C$110:$D134)</f>
        <v>0</v>
      </c>
      <c r="F134" s="37">
        <f>DSUM($B$43:$X$103,F$43,$C$110:$D134)</f>
        <v>2.3164943936424289</v>
      </c>
      <c r="G134" s="37">
        <f>DSUM($B$43:$X$103,G$43,$C$110:$D134)</f>
        <v>2.8416317276378296</v>
      </c>
      <c r="H134" s="37">
        <f>DSUM($B$43:$X$103,H$43,$C$110:$D134)</f>
        <v>3.2259389564080312</v>
      </c>
      <c r="I134" s="37">
        <f>DSUM($B$43:$X$103,I$43,$C$110:$D134)</f>
        <v>3.5290322276778836</v>
      </c>
      <c r="J134" s="37">
        <f>DSUM($B$43:$X$103,J$43,$C$110:$D134)</f>
        <v>3.7035020620927397</v>
      </c>
      <c r="K134" s="37">
        <f>DSUM($B$43:$X$103,K$43,$C$110:$D134)</f>
        <v>3.8892601678659391</v>
      </c>
      <c r="L134" s="37">
        <f>DSUM($B$43:$X$103,L$43,$C$110:$D134)</f>
        <v>4.1199991433621772</v>
      </c>
      <c r="M134" s="37">
        <f>DSUM($B$43:$X$103,M$43,$C$110:$D134)</f>
        <v>4.2939991542033882</v>
      </c>
      <c r="N134" s="37">
        <f>DSUM($B$43:$X$103,N$43,$C$110:$D134)</f>
        <v>4.543768887171062</v>
      </c>
      <c r="O134" s="37">
        <f>DSUM($B$43:$X$103,O$43,$C$110:$D134)</f>
        <v>4.7137361749740467</v>
      </c>
      <c r="P134" s="37">
        <f>DSUM($B$43:$X$103,P$43,$C$110:$D134)</f>
        <v>4.7713891745397099</v>
      </c>
      <c r="Q134" s="37">
        <f>DSUM($B$43:$X$103,Q$43,$C$110:$D134)</f>
        <v>4.7469865210015909</v>
      </c>
      <c r="R134" s="37">
        <f>DSUM($B$43:$X$103,R$43,$C$110:$D134)</f>
        <v>4.8101062185134316</v>
      </c>
      <c r="S134" s="37">
        <f>DSUM($B$43:$X$103,S$43,$C$110:$D134)</f>
        <v>4.9016669704156177</v>
      </c>
      <c r="T134" s="37">
        <f>DSUM($B$43:$X$103,T$43,$C$110:$D134)</f>
        <v>4.9099771524576328</v>
      </c>
      <c r="U134" s="37">
        <f>DSUM($B$43:$X$103,U$43,$C$110:$D134)</f>
        <v>4.7901105233113244</v>
      </c>
      <c r="V134" s="37">
        <f>DSUM($B$43:$X$103,V$43,$C$110:$D134)</f>
        <v>4.7970114575215135</v>
      </c>
      <c r="W134" s="37">
        <f>DSUM($B$43:$X$103,W$43,$C$110:$D134)</f>
        <v>4.8153173125802562</v>
      </c>
      <c r="X134" s="37">
        <f>DSUM($B$43:$X$103,X$43,$C$110:$D134)</f>
        <v>4.8550039109932079</v>
      </c>
      <c r="Y134" s="37"/>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row>
    <row r="135" spans="1:80">
      <c r="B135" s="1" t="s">
        <v>373</v>
      </c>
      <c r="C135" s="73" t="s">
        <v>374</v>
      </c>
      <c r="D135" s="73" t="s">
        <v>375</v>
      </c>
      <c r="E135" s="37">
        <f>DSUM($B$43:$X$103,E$43,$C$110:$D135)</f>
        <v>0</v>
      </c>
      <c r="F135" s="37">
        <f>DSUM($B$43:$X$103,F$43,$C$110:$D135)</f>
        <v>2.3164943936424289</v>
      </c>
      <c r="G135" s="37">
        <f>DSUM($B$43:$X$103,G$43,$C$110:$D135)</f>
        <v>2.8416317276378296</v>
      </c>
      <c r="H135" s="37">
        <f>DSUM($B$43:$X$103,H$43,$C$110:$D135)</f>
        <v>3.2259389564080312</v>
      </c>
      <c r="I135" s="37">
        <f>DSUM($B$43:$X$103,I$43,$C$110:$D135)</f>
        <v>3.5290322276778836</v>
      </c>
      <c r="J135" s="37">
        <f>DSUM($B$43:$X$103,J$43,$C$110:$D135)</f>
        <v>3.7035020620927397</v>
      </c>
      <c r="K135" s="37">
        <f>DSUM($B$43:$X$103,K$43,$C$110:$D135)</f>
        <v>3.8892601678659391</v>
      </c>
      <c r="L135" s="37">
        <f>DSUM($B$43:$X$103,L$43,$C$110:$D135)</f>
        <v>4.1199991433621772</v>
      </c>
      <c r="M135" s="37">
        <f>DSUM($B$43:$X$103,M$43,$C$110:$D135)</f>
        <v>4.2939991542033882</v>
      </c>
      <c r="N135" s="37">
        <f>DSUM($B$43:$X$103,N$43,$C$110:$D135)</f>
        <v>4.543768887171062</v>
      </c>
      <c r="O135" s="37">
        <f>DSUM($B$43:$X$103,O$43,$C$110:$D135)</f>
        <v>4.7137361749740467</v>
      </c>
      <c r="P135" s="37">
        <f>DSUM($B$43:$X$103,P$43,$C$110:$D135)</f>
        <v>4.7713891745397099</v>
      </c>
      <c r="Q135" s="37">
        <f>DSUM($B$43:$X$103,Q$43,$C$110:$D135)</f>
        <v>4.7469865210015909</v>
      </c>
      <c r="R135" s="37">
        <f>DSUM($B$43:$X$103,R$43,$C$110:$D135)</f>
        <v>4.8101062185134316</v>
      </c>
      <c r="S135" s="37">
        <f>DSUM($B$43:$X$103,S$43,$C$110:$D135)</f>
        <v>4.9016669704156177</v>
      </c>
      <c r="T135" s="37">
        <f>DSUM($B$43:$X$103,T$43,$C$110:$D135)</f>
        <v>4.9099771524576328</v>
      </c>
      <c r="U135" s="37">
        <f>DSUM($B$43:$X$103,U$43,$C$110:$D135)</f>
        <v>4.7901105233113244</v>
      </c>
      <c r="V135" s="37">
        <f>DSUM($B$43:$X$103,V$43,$C$110:$D135)</f>
        <v>4.7970114575215135</v>
      </c>
      <c r="W135" s="37">
        <f>DSUM($B$43:$X$103,W$43,$C$110:$D135)</f>
        <v>4.8153173125802562</v>
      </c>
      <c r="X135" s="37">
        <f>DSUM($B$43:$X$103,X$43,$C$110:$D135)</f>
        <v>4.8550039109932079</v>
      </c>
      <c r="Y135" s="37"/>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c r="B136" s="1" t="s">
        <v>376</v>
      </c>
      <c r="C136" s="73" t="s">
        <v>377</v>
      </c>
      <c r="D136" s="73" t="s">
        <v>378</v>
      </c>
      <c r="E136" s="37">
        <f>DSUM($B$43:$X$103,E$43,$C$110:$D136)</f>
        <v>0</v>
      </c>
      <c r="F136" s="37">
        <f>DSUM($B$43:$X$103,F$43,$C$110:$D136)</f>
        <v>2.3164943936424289</v>
      </c>
      <c r="G136" s="37">
        <f>DSUM($B$43:$X$103,G$43,$C$110:$D136)</f>
        <v>2.8416317276378296</v>
      </c>
      <c r="H136" s="37">
        <f>DSUM($B$43:$X$103,H$43,$C$110:$D136)</f>
        <v>3.2259389564080312</v>
      </c>
      <c r="I136" s="37">
        <f>DSUM($B$43:$X$103,I$43,$C$110:$D136)</f>
        <v>3.5290322276778836</v>
      </c>
      <c r="J136" s="37">
        <f>DSUM($B$43:$X$103,J$43,$C$110:$D136)</f>
        <v>3.7035020620927397</v>
      </c>
      <c r="K136" s="37">
        <f>DSUM($B$43:$X$103,K$43,$C$110:$D136)</f>
        <v>3.8892601678659391</v>
      </c>
      <c r="L136" s="37">
        <f>DSUM($B$43:$X$103,L$43,$C$110:$D136)</f>
        <v>4.1199991433621772</v>
      </c>
      <c r="M136" s="37">
        <f>DSUM($B$43:$X$103,M$43,$C$110:$D136)</f>
        <v>4.2939991542033882</v>
      </c>
      <c r="N136" s="37">
        <f>DSUM($B$43:$X$103,N$43,$C$110:$D136)</f>
        <v>4.543768887171062</v>
      </c>
      <c r="O136" s="37">
        <f>DSUM($B$43:$X$103,O$43,$C$110:$D136)</f>
        <v>4.7137361749740467</v>
      </c>
      <c r="P136" s="37">
        <f>DSUM($B$43:$X$103,P$43,$C$110:$D136)</f>
        <v>4.7713891745397099</v>
      </c>
      <c r="Q136" s="37">
        <f>DSUM($B$43:$X$103,Q$43,$C$110:$D136)</f>
        <v>4.7469865210015909</v>
      </c>
      <c r="R136" s="37">
        <f>DSUM($B$43:$X$103,R$43,$C$110:$D136)</f>
        <v>4.8101062185134316</v>
      </c>
      <c r="S136" s="37">
        <f>DSUM($B$43:$X$103,S$43,$C$110:$D136)</f>
        <v>4.9016669704156177</v>
      </c>
      <c r="T136" s="37">
        <f>DSUM($B$43:$X$103,T$43,$C$110:$D136)</f>
        <v>4.9099771524576328</v>
      </c>
      <c r="U136" s="37">
        <f>DSUM($B$43:$X$103,U$43,$C$110:$D136)</f>
        <v>4.7901105233113244</v>
      </c>
      <c r="V136" s="37">
        <f>DSUM($B$43:$X$103,V$43,$C$110:$D136)</f>
        <v>4.7970114575215135</v>
      </c>
      <c r="W136" s="37">
        <f>DSUM($B$43:$X$103,W$43,$C$110:$D136)</f>
        <v>4.8153173125802562</v>
      </c>
      <c r="X136" s="37">
        <f>DSUM($B$43:$X$103,X$43,$C$110:$D136)</f>
        <v>4.8550039109932079</v>
      </c>
      <c r="Y136" s="37"/>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c r="B137" s="1" t="s">
        <v>379</v>
      </c>
      <c r="C137" s="73" t="s">
        <v>380</v>
      </c>
      <c r="D137" s="73" t="s">
        <v>381</v>
      </c>
      <c r="E137" s="37">
        <f>DSUM($B$43:$X$103,E$43,$C$110:$D137)</f>
        <v>0</v>
      </c>
      <c r="F137" s="37">
        <f>DSUM($B$43:$X$103,F$43,$C$110:$D137)</f>
        <v>2.3171331440716125</v>
      </c>
      <c r="G137" s="37">
        <f>DSUM($B$43:$X$103,G$43,$C$110:$D137)</f>
        <v>2.8424153526541813</v>
      </c>
      <c r="H137" s="37">
        <f>DSUM($B$43:$X$103,H$43,$C$110:$D137)</f>
        <v>3.2268285785408475</v>
      </c>
      <c r="I137" s="37">
        <f>DSUM($B$43:$X$103,I$43,$C$110:$D137)</f>
        <v>3.530005373771814</v>
      </c>
      <c r="J137" s="37">
        <f>DSUM($B$43:$X$103,J$43,$C$110:$D137)</f>
        <v>3.7045233342080404</v>
      </c>
      <c r="K137" s="37">
        <f>DSUM($B$43:$X$103,K$43,$C$110:$D137)</f>
        <v>3.8903327114379675</v>
      </c>
      <c r="L137" s="37">
        <f>DSUM($B$43:$X$103,L$43,$C$110:$D137)</f>
        <v>4.121135371403831</v>
      </c>
      <c r="M137" s="37">
        <f>DSUM($B$43:$X$103,M$43,$C$110:$D137)</f>
        <v>4.2951834810946945</v>
      </c>
      <c r="N137" s="37">
        <f>DSUM($B$43:$X$103,N$43,$C$110:$D137)</f>
        <v>4.5450221344631681</v>
      </c>
      <c r="O137" s="37">
        <f>DSUM($B$43:$X$103,O$43,$C$110:$D137)</f>
        <v>4.7150363083565185</v>
      </c>
      <c r="P137" s="37">
        <f>DSUM($B$43:$X$103,P$43,$C$110:$D137)</f>
        <v>4.7727052576158693</v>
      </c>
      <c r="Q137" s="37">
        <f>DSUM($B$43:$X$103,Q$43,$C$110:$D137)</f>
        <v>4.748295983255046</v>
      </c>
      <c r="R137" s="37">
        <f>DSUM($B$43:$X$103,R$43,$C$110:$D137)</f>
        <v>4.8114330389639139</v>
      </c>
      <c r="S137" s="37">
        <f>DSUM($B$43:$X$103,S$43,$C$110:$D137)</f>
        <v>4.9030189554365977</v>
      </c>
      <c r="T137" s="37">
        <f>DSUM($B$43:$X$103,T$43,$C$110:$D137)</f>
        <v>4.9113313716260816</v>
      </c>
      <c r="U137" s="37">
        <f>DSUM($B$43:$X$103,U$43,$C$110:$D137)</f>
        <v>4.7914317358933944</v>
      </c>
      <c r="V137" s="37">
        <f>DSUM($B$43:$X$103,V$43,$C$110:$D137)</f>
        <v>4.7983345479698398</v>
      </c>
      <c r="W137" s="37">
        <f>DSUM($B$43:$X$103,W$43,$C$110:$D137)</f>
        <v>4.8166453563889791</v>
      </c>
      <c r="X137" s="37">
        <f>DSUM($B$43:$X$103,X$43,$C$110:$D137)</f>
        <v>4.8563428651526692</v>
      </c>
      <c r="Y137" s="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c r="B138" s="1" t="s">
        <v>382</v>
      </c>
      <c r="C138" s="73" t="s">
        <v>383</v>
      </c>
      <c r="D138" s="73" t="s">
        <v>384</v>
      </c>
      <c r="E138" s="37">
        <f>DSUM($B$43:$X$103,E$43,$C$110:$D138)</f>
        <v>0</v>
      </c>
      <c r="F138" s="37">
        <f>DSUM($B$43:$X$103,F$43,$C$110:$D138)</f>
        <v>2.3171331440716125</v>
      </c>
      <c r="G138" s="37">
        <f>DSUM($B$43:$X$103,G$43,$C$110:$D138)</f>
        <v>2.8424153526541813</v>
      </c>
      <c r="H138" s="37">
        <f>DSUM($B$43:$X$103,H$43,$C$110:$D138)</f>
        <v>3.2268285785408475</v>
      </c>
      <c r="I138" s="37">
        <f>DSUM($B$43:$X$103,I$43,$C$110:$D138)</f>
        <v>3.530005373771814</v>
      </c>
      <c r="J138" s="37">
        <f>DSUM($B$43:$X$103,J$43,$C$110:$D138)</f>
        <v>3.7045233342080404</v>
      </c>
      <c r="K138" s="37">
        <f>DSUM($B$43:$X$103,K$43,$C$110:$D138)</f>
        <v>3.8903327114379675</v>
      </c>
      <c r="L138" s="37">
        <f>DSUM($B$43:$X$103,L$43,$C$110:$D138)</f>
        <v>4.121135371403831</v>
      </c>
      <c r="M138" s="37">
        <f>DSUM($B$43:$X$103,M$43,$C$110:$D138)</f>
        <v>4.2951834810946945</v>
      </c>
      <c r="N138" s="37">
        <f>DSUM($B$43:$X$103,N$43,$C$110:$D138)</f>
        <v>4.5450221344631681</v>
      </c>
      <c r="O138" s="37">
        <f>DSUM($B$43:$X$103,O$43,$C$110:$D138)</f>
        <v>4.7150363083565185</v>
      </c>
      <c r="P138" s="37">
        <f>DSUM($B$43:$X$103,P$43,$C$110:$D138)</f>
        <v>4.7727052576158693</v>
      </c>
      <c r="Q138" s="37">
        <f>DSUM($B$43:$X$103,Q$43,$C$110:$D138)</f>
        <v>4.748295983255046</v>
      </c>
      <c r="R138" s="37">
        <f>DSUM($B$43:$X$103,R$43,$C$110:$D138)</f>
        <v>4.8114330389639139</v>
      </c>
      <c r="S138" s="37">
        <f>DSUM($B$43:$X$103,S$43,$C$110:$D138)</f>
        <v>4.9030189554365977</v>
      </c>
      <c r="T138" s="37">
        <f>DSUM($B$43:$X$103,T$43,$C$110:$D138)</f>
        <v>4.9113313716260816</v>
      </c>
      <c r="U138" s="37">
        <f>DSUM($B$43:$X$103,U$43,$C$110:$D138)</f>
        <v>4.7914317358933944</v>
      </c>
      <c r="V138" s="37">
        <f>DSUM($B$43:$X$103,V$43,$C$110:$D138)</f>
        <v>4.7983345479698398</v>
      </c>
      <c r="W138" s="37">
        <f>DSUM($B$43:$X$103,W$43,$C$110:$D138)</f>
        <v>4.8166453563889791</v>
      </c>
      <c r="X138" s="37">
        <f>DSUM($B$43:$X$103,X$43,$C$110:$D138)</f>
        <v>4.8563428651526692</v>
      </c>
      <c r="Y138" s="37"/>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c r="B139" s="1" t="s">
        <v>385</v>
      </c>
      <c r="C139" s="73" t="s">
        <v>386</v>
      </c>
      <c r="D139" s="73" t="s">
        <v>387</v>
      </c>
      <c r="E139" s="37">
        <f>DSUM($B$43:$X$103,E$43,$C$110:$D139)</f>
        <v>0</v>
      </c>
      <c r="F139" s="37">
        <f>DSUM($B$43:$X$103,F$43,$C$110:$D139)</f>
        <v>2.3171331440716125</v>
      </c>
      <c r="G139" s="37">
        <f>DSUM($B$43:$X$103,G$43,$C$110:$D139)</f>
        <v>2.8424153526541813</v>
      </c>
      <c r="H139" s="37">
        <f>DSUM($B$43:$X$103,H$43,$C$110:$D139)</f>
        <v>3.2268285785408475</v>
      </c>
      <c r="I139" s="37">
        <f>DSUM($B$43:$X$103,I$43,$C$110:$D139)</f>
        <v>3.530005373771814</v>
      </c>
      <c r="J139" s="37">
        <f>DSUM($B$43:$X$103,J$43,$C$110:$D139)</f>
        <v>3.7045233342080404</v>
      </c>
      <c r="K139" s="37">
        <f>DSUM($B$43:$X$103,K$43,$C$110:$D139)</f>
        <v>3.8903327114379675</v>
      </c>
      <c r="L139" s="37">
        <f>DSUM($B$43:$X$103,L$43,$C$110:$D139)</f>
        <v>4.121135371403831</v>
      </c>
      <c r="M139" s="37">
        <f>DSUM($B$43:$X$103,M$43,$C$110:$D139)</f>
        <v>4.2951834810946945</v>
      </c>
      <c r="N139" s="37">
        <f>DSUM($B$43:$X$103,N$43,$C$110:$D139)</f>
        <v>4.5450221344631681</v>
      </c>
      <c r="O139" s="37">
        <f>DSUM($B$43:$X$103,O$43,$C$110:$D139)</f>
        <v>4.7150363083565185</v>
      </c>
      <c r="P139" s="37">
        <f>DSUM($B$43:$X$103,P$43,$C$110:$D139)</f>
        <v>4.7727052576158693</v>
      </c>
      <c r="Q139" s="37">
        <f>DSUM($B$43:$X$103,Q$43,$C$110:$D139)</f>
        <v>4.748295983255046</v>
      </c>
      <c r="R139" s="37">
        <f>DSUM($B$43:$X$103,R$43,$C$110:$D139)</f>
        <v>4.8114330389639139</v>
      </c>
      <c r="S139" s="37">
        <f>DSUM($B$43:$X$103,S$43,$C$110:$D139)</f>
        <v>4.9030189554365977</v>
      </c>
      <c r="T139" s="37">
        <f>DSUM($B$43:$X$103,T$43,$C$110:$D139)</f>
        <v>4.9113313716260816</v>
      </c>
      <c r="U139" s="37">
        <f>DSUM($B$43:$X$103,U$43,$C$110:$D139)</f>
        <v>4.7914317358933944</v>
      </c>
      <c r="V139" s="37">
        <f>DSUM($B$43:$X$103,V$43,$C$110:$D139)</f>
        <v>4.7983345479698398</v>
      </c>
      <c r="W139" s="37">
        <f>DSUM($B$43:$X$103,W$43,$C$110:$D139)</f>
        <v>4.8166453563889791</v>
      </c>
      <c r="X139" s="37">
        <f>DSUM($B$43:$X$103,X$43,$C$110:$D139)</f>
        <v>4.8563428651526692</v>
      </c>
      <c r="Y139" s="37"/>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c r="B140" s="1" t="s">
        <v>388</v>
      </c>
      <c r="C140" s="73" t="s">
        <v>389</v>
      </c>
      <c r="D140" s="73" t="s">
        <v>390</v>
      </c>
      <c r="E140" s="37">
        <f>DSUM($B$43:$X$103,E$43,$C$110:$D140)</f>
        <v>0</v>
      </c>
      <c r="F140" s="37">
        <f>DSUM($B$43:$X$103,F$43,$C$110:$D140)</f>
        <v>2.3171331440716125</v>
      </c>
      <c r="G140" s="37">
        <f>DSUM($B$43:$X$103,G$43,$C$110:$D140)</f>
        <v>2.8424153526541813</v>
      </c>
      <c r="H140" s="37">
        <f>DSUM($B$43:$X$103,H$43,$C$110:$D140)</f>
        <v>3.2268285785408475</v>
      </c>
      <c r="I140" s="37">
        <f>DSUM($B$43:$X$103,I$43,$C$110:$D140)</f>
        <v>3.530005373771814</v>
      </c>
      <c r="J140" s="37">
        <f>DSUM($B$43:$X$103,J$43,$C$110:$D140)</f>
        <v>3.7045233342080404</v>
      </c>
      <c r="K140" s="37">
        <f>DSUM($B$43:$X$103,K$43,$C$110:$D140)</f>
        <v>3.8903327114379675</v>
      </c>
      <c r="L140" s="37">
        <f>DSUM($B$43:$X$103,L$43,$C$110:$D140)</f>
        <v>4.121135371403831</v>
      </c>
      <c r="M140" s="37">
        <f>DSUM($B$43:$X$103,M$43,$C$110:$D140)</f>
        <v>4.2951834810946945</v>
      </c>
      <c r="N140" s="37">
        <f>DSUM($B$43:$X$103,N$43,$C$110:$D140)</f>
        <v>4.5450221344631681</v>
      </c>
      <c r="O140" s="37">
        <f>DSUM($B$43:$X$103,O$43,$C$110:$D140)</f>
        <v>4.7150363083565185</v>
      </c>
      <c r="P140" s="37">
        <f>DSUM($B$43:$X$103,P$43,$C$110:$D140)</f>
        <v>4.7727052576158693</v>
      </c>
      <c r="Q140" s="37">
        <f>DSUM($B$43:$X$103,Q$43,$C$110:$D140)</f>
        <v>4.748295983255046</v>
      </c>
      <c r="R140" s="37">
        <f>DSUM($B$43:$X$103,R$43,$C$110:$D140)</f>
        <v>4.8114330389639139</v>
      </c>
      <c r="S140" s="37">
        <f>DSUM($B$43:$X$103,S$43,$C$110:$D140)</f>
        <v>4.9030189554365977</v>
      </c>
      <c r="T140" s="37">
        <f>DSUM($B$43:$X$103,T$43,$C$110:$D140)</f>
        <v>4.9113313716260816</v>
      </c>
      <c r="U140" s="37">
        <f>DSUM($B$43:$X$103,U$43,$C$110:$D140)</f>
        <v>4.7914317358933944</v>
      </c>
      <c r="V140" s="37">
        <f>DSUM($B$43:$X$103,V$43,$C$110:$D140)</f>
        <v>4.7983345479698398</v>
      </c>
      <c r="W140" s="37">
        <f>DSUM($B$43:$X$103,W$43,$C$110:$D140)</f>
        <v>4.8166453563889791</v>
      </c>
      <c r="X140" s="37">
        <f>DSUM($B$43:$X$103,X$43,$C$110:$D140)</f>
        <v>4.8563428651526692</v>
      </c>
      <c r="Y140" s="37"/>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c r="B141" s="1" t="s">
        <v>391</v>
      </c>
      <c r="C141" s="73" t="s">
        <v>392</v>
      </c>
      <c r="D141" s="73" t="s">
        <v>393</v>
      </c>
      <c r="E141" s="37">
        <f>DSUM($B$43:$X$103,E$43,$C$110:$D141)</f>
        <v>0</v>
      </c>
      <c r="F141" s="37">
        <f>DSUM($B$43:$X$103,F$43,$C$110:$D141)</f>
        <v>2.3171331440716125</v>
      </c>
      <c r="G141" s="37">
        <f>DSUM($B$43:$X$103,G$43,$C$110:$D141)</f>
        <v>2.8424153526541813</v>
      </c>
      <c r="H141" s="37">
        <f>DSUM($B$43:$X$103,H$43,$C$110:$D141)</f>
        <v>3.2268285785408475</v>
      </c>
      <c r="I141" s="37">
        <f>DSUM($B$43:$X$103,I$43,$C$110:$D141)</f>
        <v>3.530005373771814</v>
      </c>
      <c r="J141" s="37">
        <f>DSUM($B$43:$X$103,J$43,$C$110:$D141)</f>
        <v>3.7045233342080404</v>
      </c>
      <c r="K141" s="37">
        <f>DSUM($B$43:$X$103,K$43,$C$110:$D141)</f>
        <v>3.8903327114379675</v>
      </c>
      <c r="L141" s="37">
        <f>DSUM($B$43:$X$103,L$43,$C$110:$D141)</f>
        <v>4.121135371403831</v>
      </c>
      <c r="M141" s="37">
        <f>DSUM($B$43:$X$103,M$43,$C$110:$D141)</f>
        <v>4.2951834810946945</v>
      </c>
      <c r="N141" s="37">
        <f>DSUM($B$43:$X$103,N$43,$C$110:$D141)</f>
        <v>4.5450221344631681</v>
      </c>
      <c r="O141" s="37">
        <f>DSUM($B$43:$X$103,O$43,$C$110:$D141)</f>
        <v>4.7150363083565185</v>
      </c>
      <c r="P141" s="37">
        <f>DSUM($B$43:$X$103,P$43,$C$110:$D141)</f>
        <v>4.7727052576158693</v>
      </c>
      <c r="Q141" s="37">
        <f>DSUM($B$43:$X$103,Q$43,$C$110:$D141)</f>
        <v>4.748295983255046</v>
      </c>
      <c r="R141" s="37">
        <f>DSUM($B$43:$X$103,R$43,$C$110:$D141)</f>
        <v>4.8114330389639139</v>
      </c>
      <c r="S141" s="37">
        <f>DSUM($B$43:$X$103,S$43,$C$110:$D141)</f>
        <v>4.9030189554365977</v>
      </c>
      <c r="T141" s="37">
        <f>DSUM($B$43:$X$103,T$43,$C$110:$D141)</f>
        <v>4.9113313716260816</v>
      </c>
      <c r="U141" s="37">
        <f>DSUM($B$43:$X$103,U$43,$C$110:$D141)</f>
        <v>4.7914317358933944</v>
      </c>
      <c r="V141" s="37">
        <f>DSUM($B$43:$X$103,V$43,$C$110:$D141)</f>
        <v>4.7983345479698398</v>
      </c>
      <c r="W141" s="37">
        <f>DSUM($B$43:$X$103,W$43,$C$110:$D141)</f>
        <v>4.8166453563889791</v>
      </c>
      <c r="X141" s="37">
        <f>DSUM($B$43:$X$103,X$43,$C$110:$D141)</f>
        <v>4.8563428651526692</v>
      </c>
      <c r="Y141" s="37"/>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c r="B142" s="1" t="s">
        <v>394</v>
      </c>
      <c r="C142" s="73" t="s">
        <v>395</v>
      </c>
      <c r="D142" s="73" t="s">
        <v>143</v>
      </c>
      <c r="E142" s="37">
        <f>DSUM($B$43:$X$103,E$43,$C$110:$D142)</f>
        <v>0</v>
      </c>
      <c r="F142" s="37">
        <f>DSUM($B$43:$X$103,F$43,$C$110:$D142)</f>
        <v>2.3171331440716125</v>
      </c>
      <c r="G142" s="37">
        <f>DSUM($B$43:$X$103,G$43,$C$110:$D142)</f>
        <v>2.8424153526541813</v>
      </c>
      <c r="H142" s="37">
        <f>DSUM($B$43:$X$103,H$43,$C$110:$D142)</f>
        <v>3.2268285785408475</v>
      </c>
      <c r="I142" s="37">
        <f>DSUM($B$43:$X$103,I$43,$C$110:$D142)</f>
        <v>3.530005373771814</v>
      </c>
      <c r="J142" s="37">
        <f>DSUM($B$43:$X$103,J$43,$C$110:$D142)</f>
        <v>3.7045233342080404</v>
      </c>
      <c r="K142" s="37">
        <f>DSUM($B$43:$X$103,K$43,$C$110:$D142)</f>
        <v>3.8903327114379675</v>
      </c>
      <c r="L142" s="37">
        <f>DSUM($B$43:$X$103,L$43,$C$110:$D142)</f>
        <v>4.121135371403831</v>
      </c>
      <c r="M142" s="37">
        <f>DSUM($B$43:$X$103,M$43,$C$110:$D142)</f>
        <v>4.2951834810946945</v>
      </c>
      <c r="N142" s="37">
        <f>DSUM($B$43:$X$103,N$43,$C$110:$D142)</f>
        <v>4.5450221344631681</v>
      </c>
      <c r="O142" s="37">
        <f>DSUM($B$43:$X$103,O$43,$C$110:$D142)</f>
        <v>4.7150363083565185</v>
      </c>
      <c r="P142" s="37">
        <f>DSUM($B$43:$X$103,P$43,$C$110:$D142)</f>
        <v>4.7727052576158693</v>
      </c>
      <c r="Q142" s="37">
        <f>DSUM($B$43:$X$103,Q$43,$C$110:$D142)</f>
        <v>4.748295983255046</v>
      </c>
      <c r="R142" s="37">
        <f>DSUM($B$43:$X$103,R$43,$C$110:$D142)</f>
        <v>4.8114330389639139</v>
      </c>
      <c r="S142" s="37">
        <f>DSUM($B$43:$X$103,S$43,$C$110:$D142)</f>
        <v>4.9030189554365977</v>
      </c>
      <c r="T142" s="37">
        <f>DSUM($B$43:$X$103,T$43,$C$110:$D142)</f>
        <v>4.9113313716260816</v>
      </c>
      <c r="U142" s="37">
        <f>DSUM($B$43:$X$103,U$43,$C$110:$D142)</f>
        <v>4.7914317358933944</v>
      </c>
      <c r="V142" s="37">
        <f>DSUM($B$43:$X$103,V$43,$C$110:$D142)</f>
        <v>4.7983345479698398</v>
      </c>
      <c r="W142" s="37">
        <f>DSUM($B$43:$X$103,W$43,$C$110:$D142)</f>
        <v>4.8166453563889791</v>
      </c>
      <c r="X142" s="37">
        <f>DSUM($B$43:$X$103,X$43,$C$110:$D142)</f>
        <v>4.8563428651526692</v>
      </c>
      <c r="Y142" s="37"/>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customFormat="1">
      <c r="A143" s="1"/>
      <c r="B143" s="1"/>
    </row>
    <row r="144" spans="1:80" customFormat="1">
      <c r="A144" s="1"/>
      <c r="B144" s="1"/>
    </row>
    <row r="145" spans="1:80" ht="15">
      <c r="A145" s="63" t="s">
        <v>144</v>
      </c>
      <c r="B145" s="63"/>
      <c r="E145" s="37"/>
      <c r="F145" s="37"/>
      <c r="G145" s="37"/>
      <c r="H145" s="37"/>
      <c r="I145" s="37"/>
      <c r="J145" s="37"/>
      <c r="K145" s="37"/>
      <c r="L145" s="37"/>
      <c r="M145" s="37"/>
      <c r="N145" s="37"/>
      <c r="O145" s="37"/>
      <c r="P145" s="37"/>
      <c r="Q145" s="37"/>
      <c r="R145" s="37"/>
      <c r="S145" s="37"/>
      <c r="T145" s="37"/>
      <c r="U145" s="37"/>
      <c r="V145" s="37"/>
      <c r="W145" s="37"/>
      <c r="X145" s="37"/>
      <c r="Y145" s="37"/>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ht="15">
      <c r="C146" s="61" t="s">
        <v>145</v>
      </c>
      <c r="E146" s="74">
        <f t="shared" ref="E146:X146" si="23">E11</f>
        <v>2016</v>
      </c>
      <c r="F146" s="67">
        <f t="shared" si="23"/>
        <v>2017</v>
      </c>
      <c r="G146" s="67">
        <f t="shared" si="23"/>
        <v>2018</v>
      </c>
      <c r="H146" s="67">
        <f t="shared" si="23"/>
        <v>2019</v>
      </c>
      <c r="I146" s="67">
        <f t="shared" si="23"/>
        <v>2020</v>
      </c>
      <c r="J146" s="67">
        <f t="shared" si="23"/>
        <v>2021</v>
      </c>
      <c r="K146" s="67">
        <f t="shared" si="23"/>
        <v>2022</v>
      </c>
      <c r="L146" s="67">
        <f t="shared" si="23"/>
        <v>2023</v>
      </c>
      <c r="M146" s="67">
        <f t="shared" si="23"/>
        <v>2024</v>
      </c>
      <c r="N146" s="67">
        <f t="shared" si="23"/>
        <v>2025</v>
      </c>
      <c r="O146" s="67">
        <f t="shared" si="23"/>
        <v>2026</v>
      </c>
      <c r="P146" s="67">
        <f t="shared" si="23"/>
        <v>2027</v>
      </c>
      <c r="Q146" s="67">
        <f t="shared" si="23"/>
        <v>2028</v>
      </c>
      <c r="R146" s="67">
        <f t="shared" si="23"/>
        <v>2029</v>
      </c>
      <c r="S146" s="67">
        <f t="shared" si="23"/>
        <v>2030</v>
      </c>
      <c r="T146" s="67">
        <f t="shared" si="23"/>
        <v>2031</v>
      </c>
      <c r="U146" s="67">
        <f t="shared" si="23"/>
        <v>2032</v>
      </c>
      <c r="V146" s="67">
        <f t="shared" si="23"/>
        <v>2033</v>
      </c>
      <c r="W146" s="67">
        <f t="shared" si="23"/>
        <v>2034</v>
      </c>
      <c r="X146" s="67">
        <f t="shared" si="23"/>
        <v>2035</v>
      </c>
      <c r="Y146" s="68" t="s">
        <v>159</v>
      </c>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ht="15">
      <c r="C147" s="61" t="str">
        <f>C8</f>
        <v>Lighting</v>
      </c>
      <c r="E147" s="69" t="str">
        <f>CONCATENATE($E$41,"_",E146)</f>
        <v>aMW_2016</v>
      </c>
      <c r="F147" s="69" t="str">
        <f t="shared" ref="F147:X147" si="24">CONCATENATE($E$41,"_",F146)</f>
        <v>aMW_2017</v>
      </c>
      <c r="G147" s="69" t="str">
        <f t="shared" si="24"/>
        <v>aMW_2018</v>
      </c>
      <c r="H147" s="69" t="str">
        <f t="shared" si="24"/>
        <v>aMW_2019</v>
      </c>
      <c r="I147" s="69" t="str">
        <f t="shared" si="24"/>
        <v>aMW_2020</v>
      </c>
      <c r="J147" s="69" t="str">
        <f t="shared" si="24"/>
        <v>aMW_2021</v>
      </c>
      <c r="K147" s="69" t="str">
        <f t="shared" si="24"/>
        <v>aMW_2022</v>
      </c>
      <c r="L147" s="69" t="str">
        <f t="shared" si="24"/>
        <v>aMW_2023</v>
      </c>
      <c r="M147" s="69" t="str">
        <f t="shared" si="24"/>
        <v>aMW_2024</v>
      </c>
      <c r="N147" s="69" t="str">
        <f t="shared" si="24"/>
        <v>aMW_2025</v>
      </c>
      <c r="O147" s="69" t="str">
        <f t="shared" si="24"/>
        <v>aMW_2026</v>
      </c>
      <c r="P147" s="69" t="str">
        <f t="shared" si="24"/>
        <v>aMW_2027</v>
      </c>
      <c r="Q147" s="69" t="str">
        <f t="shared" si="24"/>
        <v>aMW_2028</v>
      </c>
      <c r="R147" s="69" t="str">
        <f t="shared" si="24"/>
        <v>aMW_2029</v>
      </c>
      <c r="S147" s="69" t="str">
        <f t="shared" si="24"/>
        <v>aMW_2030</v>
      </c>
      <c r="T147" s="69" t="str">
        <f t="shared" si="24"/>
        <v>aMW_2031</v>
      </c>
      <c r="U147" s="69" t="str">
        <f t="shared" si="24"/>
        <v>aMW_2032</v>
      </c>
      <c r="V147" s="69" t="str">
        <f t="shared" si="24"/>
        <v>aMW_2033</v>
      </c>
      <c r="W147" s="69" t="str">
        <f t="shared" si="24"/>
        <v>aMW_2034</v>
      </c>
      <c r="X147" s="69" t="str">
        <f t="shared" si="24"/>
        <v>aMW_2035</v>
      </c>
      <c r="Y147" s="70" t="s">
        <v>159</v>
      </c>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c r="C148" s="1" t="s">
        <v>78</v>
      </c>
      <c r="E148" s="37">
        <f t="shared" ref="E148:X148" si="25">E111</f>
        <v>0</v>
      </c>
      <c r="F148" s="37">
        <f t="shared" si="25"/>
        <v>1.3866146940371182</v>
      </c>
      <c r="G148" s="37">
        <f t="shared" si="25"/>
        <v>1.7008465922933624</v>
      </c>
      <c r="H148" s="37">
        <f t="shared" si="25"/>
        <v>1.9308454052661874</v>
      </c>
      <c r="I148" s="37">
        <f t="shared" si="25"/>
        <v>2.1123462167545335</v>
      </c>
      <c r="J148" s="37">
        <f t="shared" si="25"/>
        <v>2.2167551819308957</v>
      </c>
      <c r="K148" s="37">
        <f t="shared" si="25"/>
        <v>2.3278733585523801</v>
      </c>
      <c r="L148" s="37">
        <f t="shared" si="25"/>
        <v>2.4659017967582706</v>
      </c>
      <c r="M148" s="37">
        <f t="shared" si="25"/>
        <v>2.569880494387399</v>
      </c>
      <c r="N148" s="37">
        <f t="shared" si="25"/>
        <v>2.719317329459682</v>
      </c>
      <c r="O148" s="37">
        <f t="shared" si="25"/>
        <v>2.8210288140028408</v>
      </c>
      <c r="P148" s="37">
        <f t="shared" si="25"/>
        <v>2.855462578485453</v>
      </c>
      <c r="Q148" s="37">
        <f t="shared" si="25"/>
        <v>2.840698382075769</v>
      </c>
      <c r="R148" s="37">
        <f t="shared" si="25"/>
        <v>2.8785483743937403</v>
      </c>
      <c r="S148" s="37">
        <f t="shared" si="25"/>
        <v>2.9334750636230886</v>
      </c>
      <c r="T148" s="37">
        <f t="shared" si="25"/>
        <v>2.9385328198638687</v>
      </c>
      <c r="U148" s="37">
        <f t="shared" si="25"/>
        <v>2.8667164983557574</v>
      </c>
      <c r="V148" s="37">
        <f t="shared" si="25"/>
        <v>2.8708836736048253</v>
      </c>
      <c r="W148" s="37">
        <f t="shared" si="25"/>
        <v>2.8819785287689492</v>
      </c>
      <c r="X148" s="37">
        <f t="shared" si="25"/>
        <v>2.905782063618715</v>
      </c>
      <c r="Y148" s="37">
        <f>SUM(E148:X148)</f>
        <v>48.22348786623283</v>
      </c>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c r="C149" s="1" t="s">
        <v>785</v>
      </c>
      <c r="E149" s="31">
        <f t="shared" ref="E149:X161" si="26">E112-E111</f>
        <v>0</v>
      </c>
      <c r="F149" s="31">
        <f t="shared" si="26"/>
        <v>0</v>
      </c>
      <c r="G149" s="31">
        <f t="shared" si="26"/>
        <v>0</v>
      </c>
      <c r="H149" s="31">
        <f t="shared" si="26"/>
        <v>0</v>
      </c>
      <c r="I149" s="31">
        <f t="shared" si="26"/>
        <v>0</v>
      </c>
      <c r="J149" s="31">
        <f t="shared" si="26"/>
        <v>0</v>
      </c>
      <c r="K149" s="31">
        <f t="shared" si="26"/>
        <v>0</v>
      </c>
      <c r="L149" s="31">
        <f t="shared" si="26"/>
        <v>0</v>
      </c>
      <c r="M149" s="31">
        <f t="shared" si="26"/>
        <v>0</v>
      </c>
      <c r="N149" s="31">
        <f t="shared" si="26"/>
        <v>0</v>
      </c>
      <c r="O149" s="31">
        <f t="shared" si="26"/>
        <v>0</v>
      </c>
      <c r="P149" s="31">
        <f t="shared" si="26"/>
        <v>0</v>
      </c>
      <c r="Q149" s="31">
        <f t="shared" si="26"/>
        <v>0</v>
      </c>
      <c r="R149" s="31">
        <f t="shared" si="26"/>
        <v>0</v>
      </c>
      <c r="S149" s="31">
        <f t="shared" si="26"/>
        <v>0</v>
      </c>
      <c r="T149" s="31">
        <f t="shared" si="26"/>
        <v>0</v>
      </c>
      <c r="U149" s="31">
        <f t="shared" si="26"/>
        <v>0</v>
      </c>
      <c r="V149" s="31">
        <f t="shared" si="26"/>
        <v>0</v>
      </c>
      <c r="W149" s="31">
        <f t="shared" si="26"/>
        <v>0</v>
      </c>
      <c r="X149" s="31">
        <f t="shared" si="26"/>
        <v>0</v>
      </c>
      <c r="Y149" s="37">
        <f t="shared" ref="Y149:Y179" si="27">SUM(E149:X149)</f>
        <v>0</v>
      </c>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c r="C150" s="1" t="s">
        <v>84</v>
      </c>
      <c r="E150" s="31">
        <f t="shared" si="26"/>
        <v>0</v>
      </c>
      <c r="F150" s="31">
        <f t="shared" si="26"/>
        <v>2.5317664988269817E-2</v>
      </c>
      <c r="G150" s="31">
        <f t="shared" si="26"/>
        <v>3.1059948821882788E-2</v>
      </c>
      <c r="H150" s="31">
        <f t="shared" si="26"/>
        <v>3.5261275915792645E-2</v>
      </c>
      <c r="I150" s="31">
        <f t="shared" si="26"/>
        <v>3.8571851642045019E-2</v>
      </c>
      <c r="J150" s="31">
        <f t="shared" si="26"/>
        <v>4.0479386150992447E-2</v>
      </c>
      <c r="K150" s="31">
        <f t="shared" si="26"/>
        <v>4.2511593889061672E-2</v>
      </c>
      <c r="L150" s="31">
        <f t="shared" si="26"/>
        <v>4.5035806779176291E-2</v>
      </c>
      <c r="M150" s="31">
        <f t="shared" si="26"/>
        <v>4.6942264303406755E-2</v>
      </c>
      <c r="N150" s="31">
        <f t="shared" si="26"/>
        <v>4.9674009815537268E-2</v>
      </c>
      <c r="O150" s="31">
        <f t="shared" si="26"/>
        <v>5.1532398122295042E-2</v>
      </c>
      <c r="P150" s="31">
        <f t="shared" si="26"/>
        <v>5.2164584001141101E-2</v>
      </c>
      <c r="Q150" s="31">
        <f t="shared" si="26"/>
        <v>5.1902159486782562E-2</v>
      </c>
      <c r="R150" s="31">
        <f t="shared" si="26"/>
        <v>5.2590173141367824E-2</v>
      </c>
      <c r="S150" s="31">
        <f t="shared" si="26"/>
        <v>5.35876020843844E-2</v>
      </c>
      <c r="T150" s="31">
        <f t="shared" si="26"/>
        <v>5.3676155288492566E-2</v>
      </c>
      <c r="U150" s="31">
        <f t="shared" si="26"/>
        <v>5.2367898325916151E-2</v>
      </c>
      <c r="V150" s="31">
        <f t="shared" si="26"/>
        <v>5.2442329882564032E-2</v>
      </c>
      <c r="W150" s="31">
        <f t="shared" si="26"/>
        <v>5.2638662461540253E-2</v>
      </c>
      <c r="X150" s="31">
        <f t="shared" si="26"/>
        <v>5.3071107736398115E-2</v>
      </c>
      <c r="Y150" s="37">
        <f t="shared" si="27"/>
        <v>0.88082687283704675</v>
      </c>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c r="C151" s="1" t="s">
        <v>87</v>
      </c>
      <c r="E151" s="31">
        <f t="shared" si="26"/>
        <v>0</v>
      </c>
      <c r="F151" s="31">
        <f t="shared" si="26"/>
        <v>0</v>
      </c>
      <c r="G151" s="31">
        <f t="shared" si="26"/>
        <v>0</v>
      </c>
      <c r="H151" s="31">
        <f t="shared" si="26"/>
        <v>0</v>
      </c>
      <c r="I151" s="31">
        <f t="shared" si="26"/>
        <v>0</v>
      </c>
      <c r="J151" s="31">
        <f t="shared" si="26"/>
        <v>0</v>
      </c>
      <c r="K151" s="31">
        <f t="shared" si="26"/>
        <v>0</v>
      </c>
      <c r="L151" s="31">
        <f t="shared" si="26"/>
        <v>0</v>
      </c>
      <c r="M151" s="31">
        <f t="shared" si="26"/>
        <v>0</v>
      </c>
      <c r="N151" s="31">
        <f t="shared" si="26"/>
        <v>0</v>
      </c>
      <c r="O151" s="31">
        <f t="shared" si="26"/>
        <v>0</v>
      </c>
      <c r="P151" s="31">
        <f t="shared" si="26"/>
        <v>0</v>
      </c>
      <c r="Q151" s="31">
        <f t="shared" si="26"/>
        <v>0</v>
      </c>
      <c r="R151" s="31">
        <f t="shared" si="26"/>
        <v>0</v>
      </c>
      <c r="S151" s="31">
        <f t="shared" si="26"/>
        <v>0</v>
      </c>
      <c r="T151" s="31">
        <f t="shared" si="26"/>
        <v>0</v>
      </c>
      <c r="U151" s="31">
        <f t="shared" si="26"/>
        <v>0</v>
      </c>
      <c r="V151" s="31">
        <f t="shared" si="26"/>
        <v>0</v>
      </c>
      <c r="W151" s="31">
        <f t="shared" si="26"/>
        <v>0</v>
      </c>
      <c r="X151" s="31">
        <f t="shared" si="26"/>
        <v>0</v>
      </c>
      <c r="Y151" s="37">
        <f t="shared" si="27"/>
        <v>0</v>
      </c>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c r="C152" s="1" t="s">
        <v>90</v>
      </c>
      <c r="E152" s="31">
        <f t="shared" si="26"/>
        <v>0</v>
      </c>
      <c r="F152" s="31">
        <f t="shared" si="26"/>
        <v>0.76251512948704803</v>
      </c>
      <c r="G152" s="31">
        <f t="shared" si="26"/>
        <v>0.93546071127620434</v>
      </c>
      <c r="H152" s="31">
        <f t="shared" si="26"/>
        <v>1.0619958982499815</v>
      </c>
      <c r="I152" s="31">
        <f t="shared" si="26"/>
        <v>1.1617035166164187</v>
      </c>
      <c r="J152" s="31">
        <f t="shared" si="26"/>
        <v>1.2191544673168595</v>
      </c>
      <c r="K152" s="31">
        <f t="shared" si="26"/>
        <v>1.2803603149831564</v>
      </c>
      <c r="L152" s="31">
        <f t="shared" si="26"/>
        <v>1.3563843290322501</v>
      </c>
      <c r="M152" s="31">
        <f t="shared" si="26"/>
        <v>1.4138028432050294</v>
      </c>
      <c r="N152" s="31">
        <f t="shared" si="26"/>
        <v>1.4960773058726051</v>
      </c>
      <c r="O152" s="31">
        <f t="shared" si="26"/>
        <v>1.5520480757291781</v>
      </c>
      <c r="P152" s="31">
        <f t="shared" si="26"/>
        <v>1.5710881924813331</v>
      </c>
      <c r="Q152" s="31">
        <f t="shared" si="26"/>
        <v>1.5631845148459749</v>
      </c>
      <c r="R152" s="31">
        <f t="shared" si="26"/>
        <v>1.5839060474659257</v>
      </c>
      <c r="S152" s="31">
        <f t="shared" si="26"/>
        <v>1.6139465215772244</v>
      </c>
      <c r="T152" s="31">
        <f t="shared" si="26"/>
        <v>1.6166135589176758</v>
      </c>
      <c r="U152" s="31">
        <f t="shared" si="26"/>
        <v>1.5772115948074981</v>
      </c>
      <c r="V152" s="31">
        <f t="shared" si="26"/>
        <v>1.5794533176552079</v>
      </c>
      <c r="W152" s="31">
        <f t="shared" si="26"/>
        <v>1.585366444396989</v>
      </c>
      <c r="X152" s="31">
        <f t="shared" si="26"/>
        <v>1.59839079182029</v>
      </c>
      <c r="Y152" s="37">
        <f t="shared" si="27"/>
        <v>26.52866357573685</v>
      </c>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c r="C153" s="1" t="s">
        <v>93</v>
      </c>
      <c r="E153" s="31">
        <f t="shared" si="26"/>
        <v>0</v>
      </c>
      <c r="F153" s="31">
        <f t="shared" si="26"/>
        <v>0</v>
      </c>
      <c r="G153" s="31">
        <f t="shared" si="26"/>
        <v>0</v>
      </c>
      <c r="H153" s="31">
        <f t="shared" si="26"/>
        <v>0</v>
      </c>
      <c r="I153" s="31">
        <f t="shared" si="26"/>
        <v>0</v>
      </c>
      <c r="J153" s="31">
        <f t="shared" si="26"/>
        <v>0</v>
      </c>
      <c r="K153" s="31">
        <f t="shared" si="26"/>
        <v>0</v>
      </c>
      <c r="L153" s="31">
        <f t="shared" si="26"/>
        <v>0</v>
      </c>
      <c r="M153" s="31">
        <f t="shared" si="26"/>
        <v>0</v>
      </c>
      <c r="N153" s="31">
        <f t="shared" si="26"/>
        <v>0</v>
      </c>
      <c r="O153" s="31">
        <f t="shared" si="26"/>
        <v>0</v>
      </c>
      <c r="P153" s="31">
        <f t="shared" si="26"/>
        <v>0</v>
      </c>
      <c r="Q153" s="31">
        <f t="shared" si="26"/>
        <v>0</v>
      </c>
      <c r="R153" s="31">
        <f t="shared" si="26"/>
        <v>0</v>
      </c>
      <c r="S153" s="31">
        <f t="shared" si="26"/>
        <v>0</v>
      </c>
      <c r="T153" s="31">
        <f t="shared" si="26"/>
        <v>0</v>
      </c>
      <c r="U153" s="31">
        <f t="shared" si="26"/>
        <v>0</v>
      </c>
      <c r="V153" s="31">
        <f t="shared" si="26"/>
        <v>0</v>
      </c>
      <c r="W153" s="31">
        <f t="shared" si="26"/>
        <v>0</v>
      </c>
      <c r="X153" s="31">
        <f t="shared" si="26"/>
        <v>0</v>
      </c>
      <c r="Y153" s="37">
        <f t="shared" si="27"/>
        <v>0</v>
      </c>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c r="C154" s="1" t="s">
        <v>96</v>
      </c>
      <c r="E154" s="31">
        <f t="shared" si="26"/>
        <v>0</v>
      </c>
      <c r="F154" s="31">
        <f t="shared" si="26"/>
        <v>0</v>
      </c>
      <c r="G154" s="31">
        <f t="shared" si="26"/>
        <v>0</v>
      </c>
      <c r="H154" s="31">
        <f t="shared" si="26"/>
        <v>0</v>
      </c>
      <c r="I154" s="31">
        <f t="shared" si="26"/>
        <v>0</v>
      </c>
      <c r="J154" s="31">
        <f t="shared" si="26"/>
        <v>0</v>
      </c>
      <c r="K154" s="31">
        <f t="shared" si="26"/>
        <v>0</v>
      </c>
      <c r="L154" s="31">
        <f t="shared" si="26"/>
        <v>0</v>
      </c>
      <c r="M154" s="31">
        <f t="shared" si="26"/>
        <v>0</v>
      </c>
      <c r="N154" s="31">
        <f t="shared" si="26"/>
        <v>0</v>
      </c>
      <c r="O154" s="31">
        <f t="shared" si="26"/>
        <v>0</v>
      </c>
      <c r="P154" s="31">
        <f t="shared" si="26"/>
        <v>0</v>
      </c>
      <c r="Q154" s="31">
        <f t="shared" si="26"/>
        <v>0</v>
      </c>
      <c r="R154" s="31">
        <f t="shared" si="26"/>
        <v>0</v>
      </c>
      <c r="S154" s="31">
        <f t="shared" si="26"/>
        <v>0</v>
      </c>
      <c r="T154" s="31">
        <f t="shared" si="26"/>
        <v>0</v>
      </c>
      <c r="U154" s="31">
        <f t="shared" si="26"/>
        <v>0</v>
      </c>
      <c r="V154" s="31">
        <f t="shared" si="26"/>
        <v>0</v>
      </c>
      <c r="W154" s="31">
        <f t="shared" si="26"/>
        <v>0</v>
      </c>
      <c r="X154" s="31">
        <f t="shared" si="26"/>
        <v>0</v>
      </c>
      <c r="Y154" s="37">
        <f t="shared" si="27"/>
        <v>0</v>
      </c>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c r="C155" s="1" t="s">
        <v>99</v>
      </c>
      <c r="E155" s="31">
        <f t="shared" si="26"/>
        <v>0</v>
      </c>
      <c r="F155" s="31">
        <f t="shared" si="26"/>
        <v>0.14204690512999285</v>
      </c>
      <c r="G155" s="31">
        <f t="shared" si="26"/>
        <v>0.17426447524638</v>
      </c>
      <c r="H155" s="31">
        <f t="shared" si="26"/>
        <v>0.19783637697606959</v>
      </c>
      <c r="I155" s="31">
        <f t="shared" si="26"/>
        <v>0.21641064266488641</v>
      </c>
      <c r="J155" s="31">
        <f t="shared" si="26"/>
        <v>0.22711302669399203</v>
      </c>
      <c r="K155" s="31">
        <f t="shared" si="26"/>
        <v>0.23851490044134094</v>
      </c>
      <c r="L155" s="31">
        <f t="shared" si="26"/>
        <v>0.25267721079248018</v>
      </c>
      <c r="M155" s="31">
        <f t="shared" si="26"/>
        <v>0.2633735523075531</v>
      </c>
      <c r="N155" s="31">
        <f t="shared" si="26"/>
        <v>0.27870024202323762</v>
      </c>
      <c r="O155" s="31">
        <f t="shared" si="26"/>
        <v>0.28912688711973278</v>
      </c>
      <c r="P155" s="31">
        <f t="shared" si="26"/>
        <v>0.29267381957178262</v>
      </c>
      <c r="Q155" s="31">
        <f t="shared" si="26"/>
        <v>0.29120146459306451</v>
      </c>
      <c r="R155" s="31">
        <f t="shared" si="26"/>
        <v>0.29506162351239773</v>
      </c>
      <c r="S155" s="31">
        <f t="shared" si="26"/>
        <v>0.30065778313092029</v>
      </c>
      <c r="T155" s="31">
        <f t="shared" si="26"/>
        <v>0.30115461838759572</v>
      </c>
      <c r="U155" s="31">
        <f t="shared" si="26"/>
        <v>0.29381453182215278</v>
      </c>
      <c r="V155" s="31">
        <f t="shared" si="26"/>
        <v>0.29423213637891621</v>
      </c>
      <c r="W155" s="31">
        <f t="shared" si="26"/>
        <v>0.29533367695277768</v>
      </c>
      <c r="X155" s="31">
        <f t="shared" si="26"/>
        <v>0.29775994781780479</v>
      </c>
      <c r="Y155" s="37">
        <f t="shared" si="27"/>
        <v>4.9419538215630778</v>
      </c>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c r="C156" s="1" t="s">
        <v>102</v>
      </c>
      <c r="E156" s="31">
        <f t="shared" si="26"/>
        <v>0</v>
      </c>
      <c r="F156" s="31">
        <f t="shared" si="26"/>
        <v>0</v>
      </c>
      <c r="G156" s="31">
        <f t="shared" si="26"/>
        <v>0</v>
      </c>
      <c r="H156" s="31">
        <f t="shared" si="26"/>
        <v>0</v>
      </c>
      <c r="I156" s="31">
        <f t="shared" si="26"/>
        <v>0</v>
      </c>
      <c r="J156" s="31">
        <f t="shared" si="26"/>
        <v>0</v>
      </c>
      <c r="K156" s="31">
        <f t="shared" si="26"/>
        <v>0</v>
      </c>
      <c r="L156" s="31">
        <f t="shared" si="26"/>
        <v>0</v>
      </c>
      <c r="M156" s="31">
        <f t="shared" si="26"/>
        <v>0</v>
      </c>
      <c r="N156" s="31">
        <f t="shared" si="26"/>
        <v>0</v>
      </c>
      <c r="O156" s="31">
        <f t="shared" si="26"/>
        <v>0</v>
      </c>
      <c r="P156" s="31">
        <f t="shared" si="26"/>
        <v>0</v>
      </c>
      <c r="Q156" s="31">
        <f t="shared" si="26"/>
        <v>0</v>
      </c>
      <c r="R156" s="31">
        <f t="shared" si="26"/>
        <v>0</v>
      </c>
      <c r="S156" s="31">
        <f t="shared" si="26"/>
        <v>0</v>
      </c>
      <c r="T156" s="31">
        <f t="shared" si="26"/>
        <v>0</v>
      </c>
      <c r="U156" s="31">
        <f t="shared" si="26"/>
        <v>0</v>
      </c>
      <c r="V156" s="31">
        <f t="shared" si="26"/>
        <v>0</v>
      </c>
      <c r="W156" s="31">
        <f t="shared" si="26"/>
        <v>0</v>
      </c>
      <c r="X156" s="31">
        <f t="shared" si="26"/>
        <v>0</v>
      </c>
      <c r="Y156" s="37">
        <f t="shared" si="27"/>
        <v>0</v>
      </c>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c r="C157" s="1" t="s">
        <v>105</v>
      </c>
      <c r="E157" s="31">
        <f t="shared" si="26"/>
        <v>0</v>
      </c>
      <c r="F157" s="31">
        <f t="shared" si="26"/>
        <v>0</v>
      </c>
      <c r="G157" s="31">
        <f t="shared" si="26"/>
        <v>0</v>
      </c>
      <c r="H157" s="31">
        <f t="shared" si="26"/>
        <v>0</v>
      </c>
      <c r="I157" s="31">
        <f t="shared" si="26"/>
        <v>0</v>
      </c>
      <c r="J157" s="31">
        <f t="shared" si="26"/>
        <v>0</v>
      </c>
      <c r="K157" s="31">
        <f t="shared" si="26"/>
        <v>0</v>
      </c>
      <c r="L157" s="31">
        <f t="shared" si="26"/>
        <v>0</v>
      </c>
      <c r="M157" s="31">
        <f t="shared" si="26"/>
        <v>0</v>
      </c>
      <c r="N157" s="31">
        <f t="shared" si="26"/>
        <v>0</v>
      </c>
      <c r="O157" s="31">
        <f t="shared" si="26"/>
        <v>0</v>
      </c>
      <c r="P157" s="31">
        <f t="shared" si="26"/>
        <v>0</v>
      </c>
      <c r="Q157" s="31">
        <f t="shared" si="26"/>
        <v>0</v>
      </c>
      <c r="R157" s="31">
        <f t="shared" si="26"/>
        <v>0</v>
      </c>
      <c r="S157" s="31">
        <f t="shared" si="26"/>
        <v>0</v>
      </c>
      <c r="T157" s="31">
        <f t="shared" si="26"/>
        <v>0</v>
      </c>
      <c r="U157" s="31">
        <f t="shared" si="26"/>
        <v>0</v>
      </c>
      <c r="V157" s="31">
        <f t="shared" si="26"/>
        <v>0</v>
      </c>
      <c r="W157" s="31">
        <f t="shared" si="26"/>
        <v>0</v>
      </c>
      <c r="X157" s="31">
        <f t="shared" si="26"/>
        <v>0</v>
      </c>
      <c r="Y157" s="37">
        <f t="shared" si="27"/>
        <v>0</v>
      </c>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c r="C158" s="1" t="s">
        <v>108</v>
      </c>
      <c r="E158" s="31">
        <f t="shared" si="26"/>
        <v>0</v>
      </c>
      <c r="F158" s="31">
        <f t="shared" si="26"/>
        <v>0</v>
      </c>
      <c r="G158" s="31">
        <f t="shared" si="26"/>
        <v>0</v>
      </c>
      <c r="H158" s="31">
        <f t="shared" si="26"/>
        <v>0</v>
      </c>
      <c r="I158" s="31">
        <f t="shared" si="26"/>
        <v>0</v>
      </c>
      <c r="J158" s="31">
        <f t="shared" si="26"/>
        <v>0</v>
      </c>
      <c r="K158" s="31">
        <f t="shared" si="26"/>
        <v>0</v>
      </c>
      <c r="L158" s="31">
        <f t="shared" si="26"/>
        <v>0</v>
      </c>
      <c r="M158" s="31">
        <f t="shared" si="26"/>
        <v>0</v>
      </c>
      <c r="N158" s="31">
        <f t="shared" si="26"/>
        <v>0</v>
      </c>
      <c r="O158" s="31">
        <f t="shared" si="26"/>
        <v>0</v>
      </c>
      <c r="P158" s="31">
        <f t="shared" si="26"/>
        <v>0</v>
      </c>
      <c r="Q158" s="31">
        <f t="shared" si="26"/>
        <v>0</v>
      </c>
      <c r="R158" s="31">
        <f t="shared" si="26"/>
        <v>0</v>
      </c>
      <c r="S158" s="31">
        <f t="shared" si="26"/>
        <v>0</v>
      </c>
      <c r="T158" s="31">
        <f t="shared" si="26"/>
        <v>0</v>
      </c>
      <c r="U158" s="31">
        <f t="shared" si="26"/>
        <v>0</v>
      </c>
      <c r="V158" s="31">
        <f t="shared" si="26"/>
        <v>0</v>
      </c>
      <c r="W158" s="31">
        <f t="shared" si="26"/>
        <v>0</v>
      </c>
      <c r="X158" s="31">
        <f t="shared" si="26"/>
        <v>0</v>
      </c>
      <c r="Y158" s="37">
        <f t="shared" si="27"/>
        <v>0</v>
      </c>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c r="C159" s="1" t="s">
        <v>111</v>
      </c>
      <c r="E159" s="31">
        <f t="shared" si="26"/>
        <v>0</v>
      </c>
      <c r="F159" s="31">
        <f t="shared" si="26"/>
        <v>0</v>
      </c>
      <c r="G159" s="31">
        <f t="shared" si="26"/>
        <v>0</v>
      </c>
      <c r="H159" s="31">
        <f t="shared" si="26"/>
        <v>0</v>
      </c>
      <c r="I159" s="31">
        <f t="shared" si="26"/>
        <v>0</v>
      </c>
      <c r="J159" s="31">
        <f t="shared" si="26"/>
        <v>0</v>
      </c>
      <c r="K159" s="31">
        <f t="shared" si="26"/>
        <v>0</v>
      </c>
      <c r="L159" s="31">
        <f t="shared" si="26"/>
        <v>0</v>
      </c>
      <c r="M159" s="31">
        <f t="shared" si="26"/>
        <v>0</v>
      </c>
      <c r="N159" s="31">
        <f t="shared" si="26"/>
        <v>0</v>
      </c>
      <c r="O159" s="31">
        <f t="shared" si="26"/>
        <v>0</v>
      </c>
      <c r="P159" s="31">
        <f t="shared" si="26"/>
        <v>0</v>
      </c>
      <c r="Q159" s="31">
        <f t="shared" si="26"/>
        <v>0</v>
      </c>
      <c r="R159" s="31">
        <f t="shared" si="26"/>
        <v>0</v>
      </c>
      <c r="S159" s="31">
        <f t="shared" si="26"/>
        <v>0</v>
      </c>
      <c r="T159" s="31">
        <f t="shared" si="26"/>
        <v>0</v>
      </c>
      <c r="U159" s="31">
        <f t="shared" si="26"/>
        <v>0</v>
      </c>
      <c r="V159" s="31">
        <f t="shared" si="26"/>
        <v>0</v>
      </c>
      <c r="W159" s="31">
        <f t="shared" si="26"/>
        <v>0</v>
      </c>
      <c r="X159" s="31">
        <f t="shared" si="26"/>
        <v>0</v>
      </c>
      <c r="Y159" s="37">
        <f t="shared" si="27"/>
        <v>0</v>
      </c>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c r="C160" s="1" t="s">
        <v>114</v>
      </c>
      <c r="E160" s="31">
        <f t="shared" si="26"/>
        <v>0</v>
      </c>
      <c r="F160" s="31">
        <f t="shared" si="26"/>
        <v>0</v>
      </c>
      <c r="G160" s="31">
        <f t="shared" si="26"/>
        <v>0</v>
      </c>
      <c r="H160" s="31">
        <f t="shared" si="26"/>
        <v>0</v>
      </c>
      <c r="I160" s="31">
        <f t="shared" si="26"/>
        <v>0</v>
      </c>
      <c r="J160" s="31">
        <f t="shared" si="26"/>
        <v>0</v>
      </c>
      <c r="K160" s="31">
        <f t="shared" si="26"/>
        <v>0</v>
      </c>
      <c r="L160" s="31">
        <f t="shared" si="26"/>
        <v>0</v>
      </c>
      <c r="M160" s="31">
        <f t="shared" si="26"/>
        <v>0</v>
      </c>
      <c r="N160" s="31">
        <f t="shared" si="26"/>
        <v>0</v>
      </c>
      <c r="O160" s="31">
        <f t="shared" si="26"/>
        <v>0</v>
      </c>
      <c r="P160" s="31">
        <f t="shared" si="26"/>
        <v>0</v>
      </c>
      <c r="Q160" s="31">
        <f t="shared" si="26"/>
        <v>0</v>
      </c>
      <c r="R160" s="31">
        <f t="shared" si="26"/>
        <v>0</v>
      </c>
      <c r="S160" s="31">
        <f t="shared" si="26"/>
        <v>0</v>
      </c>
      <c r="T160" s="31">
        <f t="shared" si="26"/>
        <v>0</v>
      </c>
      <c r="U160" s="31">
        <f t="shared" si="26"/>
        <v>0</v>
      </c>
      <c r="V160" s="31">
        <f t="shared" si="26"/>
        <v>0</v>
      </c>
      <c r="W160" s="31">
        <f t="shared" si="26"/>
        <v>0</v>
      </c>
      <c r="X160" s="31">
        <f t="shared" si="26"/>
        <v>0</v>
      </c>
      <c r="Y160" s="37">
        <f t="shared" si="27"/>
        <v>0</v>
      </c>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3:80">
      <c r="C161" s="1" t="s">
        <v>117</v>
      </c>
      <c r="E161" s="31">
        <f t="shared" si="26"/>
        <v>0</v>
      </c>
      <c r="F161" s="31">
        <f t="shared" si="26"/>
        <v>0</v>
      </c>
      <c r="G161" s="31">
        <f t="shared" si="26"/>
        <v>0</v>
      </c>
      <c r="H161" s="31">
        <f t="shared" si="26"/>
        <v>0</v>
      </c>
      <c r="I161" s="31">
        <f t="shared" si="26"/>
        <v>0</v>
      </c>
      <c r="J161" s="31">
        <f t="shared" si="26"/>
        <v>0</v>
      </c>
      <c r="K161" s="31">
        <f t="shared" si="26"/>
        <v>0</v>
      </c>
      <c r="L161" s="31">
        <f t="shared" si="26"/>
        <v>0</v>
      </c>
      <c r="M161" s="31">
        <f t="shared" si="26"/>
        <v>0</v>
      </c>
      <c r="N161" s="31">
        <f t="shared" si="26"/>
        <v>0</v>
      </c>
      <c r="O161" s="31">
        <f t="shared" si="26"/>
        <v>0</v>
      </c>
      <c r="P161" s="31">
        <f t="shared" si="26"/>
        <v>0</v>
      </c>
      <c r="Q161" s="31">
        <f t="shared" si="26"/>
        <v>0</v>
      </c>
      <c r="R161" s="31">
        <f t="shared" si="26"/>
        <v>0</v>
      </c>
      <c r="S161" s="31">
        <f t="shared" si="26"/>
        <v>0</v>
      </c>
      <c r="T161" s="31">
        <f t="shared" ref="T161:X161" si="28">T124-T123</f>
        <v>0</v>
      </c>
      <c r="U161" s="31">
        <f t="shared" si="28"/>
        <v>0</v>
      </c>
      <c r="V161" s="31">
        <f t="shared" si="28"/>
        <v>0</v>
      </c>
      <c r="W161" s="31">
        <f t="shared" si="28"/>
        <v>0</v>
      </c>
      <c r="X161" s="31">
        <f t="shared" si="28"/>
        <v>0</v>
      </c>
      <c r="Y161" s="37">
        <f t="shared" si="27"/>
        <v>0</v>
      </c>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3:80">
      <c r="C162" s="1" t="s">
        <v>120</v>
      </c>
      <c r="E162" s="31">
        <f t="shared" ref="E162:X174" si="29">E125-E124</f>
        <v>0</v>
      </c>
      <c r="F162" s="31">
        <f t="shared" si="29"/>
        <v>0</v>
      </c>
      <c r="G162" s="31">
        <f t="shared" si="29"/>
        <v>0</v>
      </c>
      <c r="H162" s="31">
        <f t="shared" si="29"/>
        <v>0</v>
      </c>
      <c r="I162" s="31">
        <f t="shared" si="29"/>
        <v>0</v>
      </c>
      <c r="J162" s="31">
        <f t="shared" si="29"/>
        <v>0</v>
      </c>
      <c r="K162" s="31">
        <f t="shared" si="29"/>
        <v>0</v>
      </c>
      <c r="L162" s="31">
        <f t="shared" si="29"/>
        <v>0</v>
      </c>
      <c r="M162" s="31">
        <f t="shared" si="29"/>
        <v>0</v>
      </c>
      <c r="N162" s="31">
        <f t="shared" si="29"/>
        <v>0</v>
      </c>
      <c r="O162" s="31">
        <f t="shared" si="29"/>
        <v>0</v>
      </c>
      <c r="P162" s="31">
        <f t="shared" si="29"/>
        <v>0</v>
      </c>
      <c r="Q162" s="31">
        <f t="shared" si="29"/>
        <v>0</v>
      </c>
      <c r="R162" s="31">
        <f t="shared" si="29"/>
        <v>0</v>
      </c>
      <c r="S162" s="31">
        <f t="shared" si="29"/>
        <v>0</v>
      </c>
      <c r="T162" s="31">
        <f t="shared" si="29"/>
        <v>0</v>
      </c>
      <c r="U162" s="31">
        <f t="shared" si="29"/>
        <v>0</v>
      </c>
      <c r="V162" s="31">
        <f t="shared" si="29"/>
        <v>0</v>
      </c>
      <c r="W162" s="31">
        <f t="shared" si="29"/>
        <v>0</v>
      </c>
      <c r="X162" s="31">
        <f t="shared" si="29"/>
        <v>0</v>
      </c>
      <c r="Y162" s="37">
        <f t="shared" si="27"/>
        <v>0</v>
      </c>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3:80">
      <c r="C163" s="1" t="s">
        <v>123</v>
      </c>
      <c r="E163" s="31">
        <f t="shared" si="29"/>
        <v>0</v>
      </c>
      <c r="F163" s="31">
        <f t="shared" si="29"/>
        <v>0</v>
      </c>
      <c r="G163" s="31">
        <f t="shared" si="29"/>
        <v>0</v>
      </c>
      <c r="H163" s="31">
        <f t="shared" si="29"/>
        <v>0</v>
      </c>
      <c r="I163" s="31">
        <f t="shared" si="29"/>
        <v>0</v>
      </c>
      <c r="J163" s="31">
        <f t="shared" si="29"/>
        <v>0</v>
      </c>
      <c r="K163" s="31">
        <f t="shared" si="29"/>
        <v>0</v>
      </c>
      <c r="L163" s="31">
        <f t="shared" si="29"/>
        <v>0</v>
      </c>
      <c r="M163" s="31">
        <f t="shared" si="29"/>
        <v>0</v>
      </c>
      <c r="N163" s="31">
        <f t="shared" si="29"/>
        <v>0</v>
      </c>
      <c r="O163" s="31">
        <f t="shared" si="29"/>
        <v>0</v>
      </c>
      <c r="P163" s="31">
        <f t="shared" si="29"/>
        <v>0</v>
      </c>
      <c r="Q163" s="31">
        <f t="shared" si="29"/>
        <v>0</v>
      </c>
      <c r="R163" s="31">
        <f t="shared" si="29"/>
        <v>0</v>
      </c>
      <c r="S163" s="31">
        <f t="shared" si="29"/>
        <v>0</v>
      </c>
      <c r="T163" s="31">
        <f t="shared" si="29"/>
        <v>0</v>
      </c>
      <c r="U163" s="31">
        <f t="shared" si="29"/>
        <v>0</v>
      </c>
      <c r="V163" s="31">
        <f t="shared" si="29"/>
        <v>0</v>
      </c>
      <c r="W163" s="31">
        <f t="shared" si="29"/>
        <v>0</v>
      </c>
      <c r="X163" s="31">
        <f t="shared" si="29"/>
        <v>0</v>
      </c>
      <c r="Y163" s="37">
        <f t="shared" si="27"/>
        <v>0</v>
      </c>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3:80">
      <c r="C164" s="1" t="s">
        <v>126</v>
      </c>
      <c r="E164" s="31">
        <f t="shared" si="29"/>
        <v>0</v>
      </c>
      <c r="F164" s="31">
        <f t="shared" si="29"/>
        <v>0</v>
      </c>
      <c r="G164" s="31">
        <f t="shared" si="29"/>
        <v>0</v>
      </c>
      <c r="H164" s="31">
        <f t="shared" si="29"/>
        <v>0</v>
      </c>
      <c r="I164" s="31">
        <f t="shared" si="29"/>
        <v>0</v>
      </c>
      <c r="J164" s="31">
        <f t="shared" si="29"/>
        <v>0</v>
      </c>
      <c r="K164" s="31">
        <f t="shared" si="29"/>
        <v>0</v>
      </c>
      <c r="L164" s="31">
        <f t="shared" si="29"/>
        <v>0</v>
      </c>
      <c r="M164" s="31">
        <f t="shared" si="29"/>
        <v>0</v>
      </c>
      <c r="N164" s="31">
        <f t="shared" si="29"/>
        <v>0</v>
      </c>
      <c r="O164" s="31">
        <f t="shared" si="29"/>
        <v>0</v>
      </c>
      <c r="P164" s="31">
        <f t="shared" si="29"/>
        <v>0</v>
      </c>
      <c r="Q164" s="31">
        <f t="shared" si="29"/>
        <v>0</v>
      </c>
      <c r="R164" s="31">
        <f t="shared" si="29"/>
        <v>0</v>
      </c>
      <c r="S164" s="31">
        <f t="shared" si="29"/>
        <v>0</v>
      </c>
      <c r="T164" s="31">
        <f t="shared" si="29"/>
        <v>0</v>
      </c>
      <c r="U164" s="31">
        <f t="shared" si="29"/>
        <v>0</v>
      </c>
      <c r="V164" s="31">
        <f t="shared" si="29"/>
        <v>0</v>
      </c>
      <c r="W164" s="31">
        <f t="shared" si="29"/>
        <v>0</v>
      </c>
      <c r="X164" s="31">
        <f t="shared" si="29"/>
        <v>0</v>
      </c>
      <c r="Y164" s="37">
        <f t="shared" si="27"/>
        <v>0</v>
      </c>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3:80">
      <c r="C165" s="1" t="s">
        <v>129</v>
      </c>
      <c r="E165" s="31">
        <f t="shared" si="29"/>
        <v>0</v>
      </c>
      <c r="F165" s="31">
        <f t="shared" si="29"/>
        <v>0</v>
      </c>
      <c r="G165" s="31">
        <f t="shared" si="29"/>
        <v>0</v>
      </c>
      <c r="H165" s="31">
        <f t="shared" si="29"/>
        <v>0</v>
      </c>
      <c r="I165" s="31">
        <f t="shared" si="29"/>
        <v>0</v>
      </c>
      <c r="J165" s="31">
        <f t="shared" si="29"/>
        <v>0</v>
      </c>
      <c r="K165" s="31">
        <f t="shared" si="29"/>
        <v>0</v>
      </c>
      <c r="L165" s="31">
        <f t="shared" si="29"/>
        <v>0</v>
      </c>
      <c r="M165" s="31">
        <f t="shared" si="29"/>
        <v>0</v>
      </c>
      <c r="N165" s="31">
        <f t="shared" si="29"/>
        <v>0</v>
      </c>
      <c r="O165" s="31">
        <f t="shared" si="29"/>
        <v>0</v>
      </c>
      <c r="P165" s="31">
        <f t="shared" si="29"/>
        <v>0</v>
      </c>
      <c r="Q165" s="31">
        <f t="shared" si="29"/>
        <v>0</v>
      </c>
      <c r="R165" s="31">
        <f t="shared" si="29"/>
        <v>0</v>
      </c>
      <c r="S165" s="31">
        <f t="shared" si="29"/>
        <v>0</v>
      </c>
      <c r="T165" s="31">
        <f t="shared" si="29"/>
        <v>0</v>
      </c>
      <c r="U165" s="31">
        <f t="shared" si="29"/>
        <v>0</v>
      </c>
      <c r="V165" s="31">
        <f t="shared" si="29"/>
        <v>0</v>
      </c>
      <c r="W165" s="31">
        <f t="shared" si="29"/>
        <v>0</v>
      </c>
      <c r="X165" s="31">
        <f t="shared" si="29"/>
        <v>0</v>
      </c>
      <c r="Y165" s="37">
        <f t="shared" si="27"/>
        <v>0</v>
      </c>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3:80">
      <c r="C166" s="1" t="s">
        <v>132</v>
      </c>
      <c r="E166" s="31">
        <f t="shared" si="29"/>
        <v>0</v>
      </c>
      <c r="F166" s="31">
        <f t="shared" si="29"/>
        <v>0</v>
      </c>
      <c r="G166" s="31">
        <f t="shared" si="29"/>
        <v>0</v>
      </c>
      <c r="H166" s="31">
        <f t="shared" si="29"/>
        <v>0</v>
      </c>
      <c r="I166" s="31">
        <f t="shared" si="29"/>
        <v>0</v>
      </c>
      <c r="J166" s="31">
        <f t="shared" si="29"/>
        <v>0</v>
      </c>
      <c r="K166" s="31">
        <f t="shared" si="29"/>
        <v>0</v>
      </c>
      <c r="L166" s="31">
        <f t="shared" si="29"/>
        <v>0</v>
      </c>
      <c r="M166" s="31">
        <f t="shared" si="29"/>
        <v>0</v>
      </c>
      <c r="N166" s="31">
        <f t="shared" si="29"/>
        <v>0</v>
      </c>
      <c r="O166" s="31">
        <f t="shared" si="29"/>
        <v>0</v>
      </c>
      <c r="P166" s="31">
        <f t="shared" si="29"/>
        <v>0</v>
      </c>
      <c r="Q166" s="31">
        <f t="shared" si="29"/>
        <v>0</v>
      </c>
      <c r="R166" s="31">
        <f t="shared" si="29"/>
        <v>0</v>
      </c>
      <c r="S166" s="31">
        <f t="shared" si="29"/>
        <v>0</v>
      </c>
      <c r="T166" s="31">
        <f t="shared" si="29"/>
        <v>0</v>
      </c>
      <c r="U166" s="31">
        <f t="shared" si="29"/>
        <v>0</v>
      </c>
      <c r="V166" s="31">
        <f t="shared" si="29"/>
        <v>0</v>
      </c>
      <c r="W166" s="31">
        <f t="shared" si="29"/>
        <v>0</v>
      </c>
      <c r="X166" s="31">
        <f t="shared" si="29"/>
        <v>0</v>
      </c>
      <c r="Y166" s="37">
        <f t="shared" si="27"/>
        <v>0</v>
      </c>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3:80">
      <c r="C167" s="1" t="s">
        <v>135</v>
      </c>
      <c r="E167" s="31">
        <f t="shared" si="29"/>
        <v>0</v>
      </c>
      <c r="F167" s="31">
        <f t="shared" si="29"/>
        <v>0</v>
      </c>
      <c r="G167" s="31">
        <f t="shared" si="29"/>
        <v>0</v>
      </c>
      <c r="H167" s="31">
        <f t="shared" si="29"/>
        <v>0</v>
      </c>
      <c r="I167" s="31">
        <f t="shared" si="29"/>
        <v>0</v>
      </c>
      <c r="J167" s="31">
        <f t="shared" si="29"/>
        <v>0</v>
      </c>
      <c r="K167" s="31">
        <f t="shared" si="29"/>
        <v>0</v>
      </c>
      <c r="L167" s="31">
        <f t="shared" si="29"/>
        <v>0</v>
      </c>
      <c r="M167" s="31">
        <f t="shared" si="29"/>
        <v>0</v>
      </c>
      <c r="N167" s="31">
        <f t="shared" si="29"/>
        <v>0</v>
      </c>
      <c r="O167" s="31">
        <f t="shared" si="29"/>
        <v>0</v>
      </c>
      <c r="P167" s="31">
        <f t="shared" si="29"/>
        <v>0</v>
      </c>
      <c r="Q167" s="31">
        <f t="shared" si="29"/>
        <v>0</v>
      </c>
      <c r="R167" s="31">
        <f t="shared" si="29"/>
        <v>0</v>
      </c>
      <c r="S167" s="31">
        <f t="shared" si="29"/>
        <v>0</v>
      </c>
      <c r="T167" s="31">
        <f t="shared" si="29"/>
        <v>0</v>
      </c>
      <c r="U167" s="31">
        <f t="shared" si="29"/>
        <v>0</v>
      </c>
      <c r="V167" s="31">
        <f t="shared" si="29"/>
        <v>0</v>
      </c>
      <c r="W167" s="31">
        <f t="shared" si="29"/>
        <v>0</v>
      </c>
      <c r="X167" s="31">
        <f t="shared" si="29"/>
        <v>0</v>
      </c>
      <c r="Y167" s="37">
        <f t="shared" si="27"/>
        <v>0</v>
      </c>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3:80">
      <c r="C168" s="1" t="s">
        <v>138</v>
      </c>
      <c r="E168" s="31">
        <f t="shared" si="29"/>
        <v>0</v>
      </c>
      <c r="F168" s="31">
        <f t="shared" si="29"/>
        <v>0</v>
      </c>
      <c r="G168" s="31">
        <f t="shared" si="29"/>
        <v>0</v>
      </c>
      <c r="H168" s="31">
        <f t="shared" si="29"/>
        <v>0</v>
      </c>
      <c r="I168" s="31">
        <f t="shared" si="29"/>
        <v>0</v>
      </c>
      <c r="J168" s="31">
        <f t="shared" si="29"/>
        <v>0</v>
      </c>
      <c r="K168" s="31">
        <f t="shared" si="29"/>
        <v>0</v>
      </c>
      <c r="L168" s="31">
        <f t="shared" si="29"/>
        <v>0</v>
      </c>
      <c r="M168" s="31">
        <f t="shared" si="29"/>
        <v>0</v>
      </c>
      <c r="N168" s="31">
        <f t="shared" si="29"/>
        <v>0</v>
      </c>
      <c r="O168" s="31">
        <f t="shared" si="29"/>
        <v>0</v>
      </c>
      <c r="P168" s="31">
        <f t="shared" si="29"/>
        <v>0</v>
      </c>
      <c r="Q168" s="31">
        <f t="shared" si="29"/>
        <v>0</v>
      </c>
      <c r="R168" s="31">
        <f t="shared" si="29"/>
        <v>0</v>
      </c>
      <c r="S168" s="31">
        <f t="shared" si="29"/>
        <v>0</v>
      </c>
      <c r="T168" s="31">
        <f t="shared" si="29"/>
        <v>0</v>
      </c>
      <c r="U168" s="31">
        <f t="shared" si="29"/>
        <v>0</v>
      </c>
      <c r="V168" s="31">
        <f t="shared" si="29"/>
        <v>0</v>
      </c>
      <c r="W168" s="31">
        <f t="shared" si="29"/>
        <v>0</v>
      </c>
      <c r="X168" s="31">
        <f t="shared" si="29"/>
        <v>0</v>
      </c>
      <c r="Y168" s="37">
        <f t="shared" si="27"/>
        <v>0</v>
      </c>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3:80">
      <c r="C169" s="1" t="s">
        <v>365</v>
      </c>
      <c r="E169" s="31">
        <f t="shared" si="29"/>
        <v>0</v>
      </c>
      <c r="F169" s="31">
        <f t="shared" si="29"/>
        <v>0</v>
      </c>
      <c r="G169" s="31">
        <f t="shared" si="29"/>
        <v>0</v>
      </c>
      <c r="H169" s="31">
        <f t="shared" si="29"/>
        <v>0</v>
      </c>
      <c r="I169" s="31">
        <f t="shared" si="29"/>
        <v>0</v>
      </c>
      <c r="J169" s="31">
        <f t="shared" si="29"/>
        <v>0</v>
      </c>
      <c r="K169" s="31">
        <f t="shared" si="29"/>
        <v>0</v>
      </c>
      <c r="L169" s="31">
        <f t="shared" si="29"/>
        <v>0</v>
      </c>
      <c r="M169" s="31">
        <f t="shared" si="29"/>
        <v>0</v>
      </c>
      <c r="N169" s="31">
        <f t="shared" si="29"/>
        <v>0</v>
      </c>
      <c r="O169" s="31">
        <f t="shared" si="29"/>
        <v>0</v>
      </c>
      <c r="P169" s="31">
        <f t="shared" si="29"/>
        <v>0</v>
      </c>
      <c r="Q169" s="31">
        <f t="shared" si="29"/>
        <v>0</v>
      </c>
      <c r="R169" s="31">
        <f t="shared" si="29"/>
        <v>0</v>
      </c>
      <c r="S169" s="31">
        <f t="shared" si="29"/>
        <v>0</v>
      </c>
      <c r="T169" s="31">
        <f t="shared" si="29"/>
        <v>0</v>
      </c>
      <c r="U169" s="31">
        <f t="shared" si="29"/>
        <v>0</v>
      </c>
      <c r="V169" s="31">
        <f t="shared" si="29"/>
        <v>0</v>
      </c>
      <c r="W169" s="31">
        <f t="shared" si="29"/>
        <v>0</v>
      </c>
      <c r="X169" s="31">
        <f t="shared" si="29"/>
        <v>0</v>
      </c>
      <c r="Y169" s="37">
        <f t="shared" si="27"/>
        <v>0</v>
      </c>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3:80">
      <c r="C170" s="1" t="s">
        <v>367</v>
      </c>
      <c r="E170" s="31">
        <f t="shared" si="29"/>
        <v>0</v>
      </c>
      <c r="F170" s="31">
        <f t="shared" si="29"/>
        <v>0</v>
      </c>
      <c r="G170" s="31">
        <f t="shared" si="29"/>
        <v>0</v>
      </c>
      <c r="H170" s="31">
        <f t="shared" si="29"/>
        <v>0</v>
      </c>
      <c r="I170" s="31">
        <f t="shared" si="29"/>
        <v>0</v>
      </c>
      <c r="J170" s="31">
        <f t="shared" si="29"/>
        <v>0</v>
      </c>
      <c r="K170" s="31">
        <f t="shared" si="29"/>
        <v>0</v>
      </c>
      <c r="L170" s="31">
        <f t="shared" si="29"/>
        <v>0</v>
      </c>
      <c r="M170" s="31">
        <f t="shared" si="29"/>
        <v>0</v>
      </c>
      <c r="N170" s="31">
        <f t="shared" si="29"/>
        <v>0</v>
      </c>
      <c r="O170" s="31">
        <f t="shared" si="29"/>
        <v>0</v>
      </c>
      <c r="P170" s="31">
        <f t="shared" si="29"/>
        <v>0</v>
      </c>
      <c r="Q170" s="31">
        <f t="shared" si="29"/>
        <v>0</v>
      </c>
      <c r="R170" s="31">
        <f t="shared" si="29"/>
        <v>0</v>
      </c>
      <c r="S170" s="31">
        <f t="shared" si="29"/>
        <v>0</v>
      </c>
      <c r="T170" s="31">
        <f t="shared" si="29"/>
        <v>0</v>
      </c>
      <c r="U170" s="31">
        <f t="shared" si="29"/>
        <v>0</v>
      </c>
      <c r="V170" s="31">
        <f t="shared" si="29"/>
        <v>0</v>
      </c>
      <c r="W170" s="31">
        <f t="shared" si="29"/>
        <v>0</v>
      </c>
      <c r="X170" s="31">
        <f t="shared" si="29"/>
        <v>0</v>
      </c>
      <c r="Y170" s="37">
        <f t="shared" si="27"/>
        <v>0</v>
      </c>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3:80">
      <c r="C171" s="1" t="s">
        <v>370</v>
      </c>
      <c r="E171" s="31">
        <f t="shared" si="29"/>
        <v>0</v>
      </c>
      <c r="F171" s="31">
        <f t="shared" si="29"/>
        <v>0</v>
      </c>
      <c r="G171" s="31">
        <f t="shared" si="29"/>
        <v>0</v>
      </c>
      <c r="H171" s="31">
        <f t="shared" si="29"/>
        <v>0</v>
      </c>
      <c r="I171" s="31">
        <f t="shared" si="29"/>
        <v>0</v>
      </c>
      <c r="J171" s="31">
        <f t="shared" si="29"/>
        <v>0</v>
      </c>
      <c r="K171" s="31">
        <f t="shared" si="29"/>
        <v>0</v>
      </c>
      <c r="L171" s="31">
        <f t="shared" si="29"/>
        <v>0</v>
      </c>
      <c r="M171" s="31">
        <f t="shared" si="29"/>
        <v>0</v>
      </c>
      <c r="N171" s="31">
        <f t="shared" si="29"/>
        <v>0</v>
      </c>
      <c r="O171" s="31">
        <f t="shared" si="29"/>
        <v>0</v>
      </c>
      <c r="P171" s="31">
        <f t="shared" si="29"/>
        <v>0</v>
      </c>
      <c r="Q171" s="31">
        <f t="shared" si="29"/>
        <v>0</v>
      </c>
      <c r="R171" s="31">
        <f t="shared" si="29"/>
        <v>0</v>
      </c>
      <c r="S171" s="31">
        <f t="shared" si="29"/>
        <v>0</v>
      </c>
      <c r="T171" s="31">
        <f t="shared" si="29"/>
        <v>0</v>
      </c>
      <c r="U171" s="31">
        <f t="shared" si="29"/>
        <v>0</v>
      </c>
      <c r="V171" s="31">
        <f t="shared" si="29"/>
        <v>0</v>
      </c>
      <c r="W171" s="31">
        <f t="shared" si="29"/>
        <v>0</v>
      </c>
      <c r="X171" s="31">
        <f t="shared" si="29"/>
        <v>0</v>
      </c>
      <c r="Y171" s="37">
        <f t="shared" si="27"/>
        <v>0</v>
      </c>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3:80">
      <c r="C172" s="1" t="s">
        <v>373</v>
      </c>
      <c r="E172" s="31">
        <f t="shared" si="29"/>
        <v>0</v>
      </c>
      <c r="F172" s="31">
        <f t="shared" si="29"/>
        <v>0</v>
      </c>
      <c r="G172" s="31">
        <f t="shared" si="29"/>
        <v>0</v>
      </c>
      <c r="H172" s="31">
        <f t="shared" si="29"/>
        <v>0</v>
      </c>
      <c r="I172" s="31">
        <f t="shared" si="29"/>
        <v>0</v>
      </c>
      <c r="J172" s="31">
        <f t="shared" si="29"/>
        <v>0</v>
      </c>
      <c r="K172" s="31">
        <f t="shared" si="29"/>
        <v>0</v>
      </c>
      <c r="L172" s="31">
        <f t="shared" si="29"/>
        <v>0</v>
      </c>
      <c r="M172" s="31">
        <f t="shared" si="29"/>
        <v>0</v>
      </c>
      <c r="N172" s="31">
        <f t="shared" si="29"/>
        <v>0</v>
      </c>
      <c r="O172" s="31">
        <f t="shared" si="29"/>
        <v>0</v>
      </c>
      <c r="P172" s="31">
        <f t="shared" si="29"/>
        <v>0</v>
      </c>
      <c r="Q172" s="31">
        <f t="shared" si="29"/>
        <v>0</v>
      </c>
      <c r="R172" s="31">
        <f t="shared" si="29"/>
        <v>0</v>
      </c>
      <c r="S172" s="31">
        <f t="shared" si="29"/>
        <v>0</v>
      </c>
      <c r="T172" s="31">
        <f t="shared" si="29"/>
        <v>0</v>
      </c>
      <c r="U172" s="31">
        <f t="shared" si="29"/>
        <v>0</v>
      </c>
      <c r="V172" s="31">
        <f t="shared" si="29"/>
        <v>0</v>
      </c>
      <c r="W172" s="31">
        <f t="shared" si="29"/>
        <v>0</v>
      </c>
      <c r="X172" s="31">
        <f t="shared" si="29"/>
        <v>0</v>
      </c>
      <c r="Y172" s="37">
        <f t="shared" si="27"/>
        <v>0</v>
      </c>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3:80">
      <c r="C173" s="1" t="s">
        <v>376</v>
      </c>
      <c r="E173" s="31">
        <f t="shared" si="29"/>
        <v>0</v>
      </c>
      <c r="F173" s="31">
        <f t="shared" si="29"/>
        <v>0</v>
      </c>
      <c r="G173" s="31">
        <f t="shared" si="29"/>
        <v>0</v>
      </c>
      <c r="H173" s="31">
        <f t="shared" si="29"/>
        <v>0</v>
      </c>
      <c r="I173" s="31">
        <f t="shared" si="29"/>
        <v>0</v>
      </c>
      <c r="J173" s="31">
        <f t="shared" si="29"/>
        <v>0</v>
      </c>
      <c r="K173" s="31">
        <f t="shared" si="29"/>
        <v>0</v>
      </c>
      <c r="L173" s="31">
        <f t="shared" si="29"/>
        <v>0</v>
      </c>
      <c r="M173" s="31">
        <f t="shared" si="29"/>
        <v>0</v>
      </c>
      <c r="N173" s="31">
        <f t="shared" si="29"/>
        <v>0</v>
      </c>
      <c r="O173" s="31">
        <f t="shared" si="29"/>
        <v>0</v>
      </c>
      <c r="P173" s="31">
        <f t="shared" si="29"/>
        <v>0</v>
      </c>
      <c r="Q173" s="31">
        <f t="shared" si="29"/>
        <v>0</v>
      </c>
      <c r="R173" s="31">
        <f t="shared" si="29"/>
        <v>0</v>
      </c>
      <c r="S173" s="31">
        <f t="shared" si="29"/>
        <v>0</v>
      </c>
      <c r="T173" s="31">
        <f t="shared" si="29"/>
        <v>0</v>
      </c>
      <c r="U173" s="31">
        <f t="shared" si="29"/>
        <v>0</v>
      </c>
      <c r="V173" s="31">
        <f t="shared" si="29"/>
        <v>0</v>
      </c>
      <c r="W173" s="31">
        <f t="shared" si="29"/>
        <v>0</v>
      </c>
      <c r="X173" s="31">
        <f t="shared" si="29"/>
        <v>0</v>
      </c>
      <c r="Y173" s="37">
        <f t="shared" si="27"/>
        <v>0</v>
      </c>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3:80">
      <c r="C174" s="1" t="s">
        <v>379</v>
      </c>
      <c r="E174" s="31">
        <f t="shared" si="29"/>
        <v>0</v>
      </c>
      <c r="F174" s="31">
        <f t="shared" si="29"/>
        <v>6.3875042918359881E-4</v>
      </c>
      <c r="G174" s="31">
        <f t="shared" si="29"/>
        <v>7.8362501635176329E-4</v>
      </c>
      <c r="H174" s="31">
        <f t="shared" si="29"/>
        <v>8.8962213281629232E-4</v>
      </c>
      <c r="I174" s="31">
        <f t="shared" si="29"/>
        <v>9.731460939303993E-4</v>
      </c>
      <c r="J174" s="31">
        <f t="shared" si="29"/>
        <v>1.0212721153006754E-3</v>
      </c>
      <c r="K174" s="31">
        <f t="shared" si="29"/>
        <v>1.0725435720284615E-3</v>
      </c>
      <c r="L174" s="31">
        <f t="shared" si="29"/>
        <v>1.1362280416538084E-3</v>
      </c>
      <c r="M174" s="31">
        <f t="shared" si="29"/>
        <v>1.1843268913063199E-3</v>
      </c>
      <c r="N174" s="31">
        <f t="shared" si="29"/>
        <v>1.2532472921060744E-3</v>
      </c>
      <c r="O174" s="31">
        <f t="shared" si="29"/>
        <v>1.3001333824718131E-3</v>
      </c>
      <c r="P174" s="31">
        <f t="shared" si="29"/>
        <v>1.31608307615938E-3</v>
      </c>
      <c r="Q174" s="31">
        <f t="shared" si="29"/>
        <v>1.3094622534550737E-3</v>
      </c>
      <c r="R174" s="31">
        <f t="shared" si="29"/>
        <v>1.32682045048238E-3</v>
      </c>
      <c r="S174" s="31">
        <f t="shared" si="29"/>
        <v>1.3519850209799955E-3</v>
      </c>
      <c r="T174" s="31">
        <f t="shared" ref="T174:X174" si="30">T137-T136</f>
        <v>1.3542191684488003E-3</v>
      </c>
      <c r="U174" s="31">
        <f t="shared" si="30"/>
        <v>1.3212125820700749E-3</v>
      </c>
      <c r="V174" s="31">
        <f t="shared" si="30"/>
        <v>1.3230904483263473E-3</v>
      </c>
      <c r="W174" s="31">
        <f t="shared" si="30"/>
        <v>1.3280438087228674E-3</v>
      </c>
      <c r="X174" s="31">
        <f t="shared" si="30"/>
        <v>1.3389541594612808E-3</v>
      </c>
      <c r="Y174" s="37">
        <f t="shared" si="27"/>
        <v>2.2222765935255406E-2</v>
      </c>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3:80">
      <c r="C175" s="1" t="s">
        <v>382</v>
      </c>
      <c r="E175" s="31">
        <f t="shared" ref="E175:X178" si="31">E138-E137</f>
        <v>0</v>
      </c>
      <c r="F175" s="31">
        <f t="shared" si="31"/>
        <v>0</v>
      </c>
      <c r="G175" s="31">
        <f t="shared" si="31"/>
        <v>0</v>
      </c>
      <c r="H175" s="31">
        <f t="shared" si="31"/>
        <v>0</v>
      </c>
      <c r="I175" s="31">
        <f t="shared" si="31"/>
        <v>0</v>
      </c>
      <c r="J175" s="31">
        <f t="shared" si="31"/>
        <v>0</v>
      </c>
      <c r="K175" s="31">
        <f t="shared" si="31"/>
        <v>0</v>
      </c>
      <c r="L175" s="31">
        <f t="shared" si="31"/>
        <v>0</v>
      </c>
      <c r="M175" s="31">
        <f t="shared" si="31"/>
        <v>0</v>
      </c>
      <c r="N175" s="31">
        <f t="shared" si="31"/>
        <v>0</v>
      </c>
      <c r="O175" s="31">
        <f t="shared" si="31"/>
        <v>0</v>
      </c>
      <c r="P175" s="31">
        <f t="shared" si="31"/>
        <v>0</v>
      </c>
      <c r="Q175" s="31">
        <f t="shared" si="31"/>
        <v>0</v>
      </c>
      <c r="R175" s="31">
        <f t="shared" si="31"/>
        <v>0</v>
      </c>
      <c r="S175" s="31">
        <f t="shared" si="31"/>
        <v>0</v>
      </c>
      <c r="T175" s="31">
        <f t="shared" si="31"/>
        <v>0</v>
      </c>
      <c r="U175" s="31">
        <f t="shared" si="31"/>
        <v>0</v>
      </c>
      <c r="V175" s="31">
        <f t="shared" si="31"/>
        <v>0</v>
      </c>
      <c r="W175" s="31">
        <f t="shared" si="31"/>
        <v>0</v>
      </c>
      <c r="X175" s="31">
        <f t="shared" si="31"/>
        <v>0</v>
      </c>
      <c r="Y175" s="37">
        <f t="shared" si="27"/>
        <v>0</v>
      </c>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3:80">
      <c r="C176" s="1" t="s">
        <v>385</v>
      </c>
      <c r="E176" s="31">
        <f t="shared" si="31"/>
        <v>0</v>
      </c>
      <c r="F176" s="31">
        <f t="shared" si="31"/>
        <v>0</v>
      </c>
      <c r="G176" s="31">
        <f t="shared" si="31"/>
        <v>0</v>
      </c>
      <c r="H176" s="31">
        <f t="shared" si="31"/>
        <v>0</v>
      </c>
      <c r="I176" s="31">
        <f t="shared" si="31"/>
        <v>0</v>
      </c>
      <c r="J176" s="31">
        <f t="shared" si="31"/>
        <v>0</v>
      </c>
      <c r="K176" s="31">
        <f t="shared" si="31"/>
        <v>0</v>
      </c>
      <c r="L176" s="31">
        <f t="shared" si="31"/>
        <v>0</v>
      </c>
      <c r="M176" s="31">
        <f t="shared" si="31"/>
        <v>0</v>
      </c>
      <c r="N176" s="31">
        <f t="shared" si="31"/>
        <v>0</v>
      </c>
      <c r="O176" s="31">
        <f t="shared" si="31"/>
        <v>0</v>
      </c>
      <c r="P176" s="31">
        <f t="shared" si="31"/>
        <v>0</v>
      </c>
      <c r="Q176" s="31">
        <f t="shared" si="31"/>
        <v>0</v>
      </c>
      <c r="R176" s="31">
        <f t="shared" si="31"/>
        <v>0</v>
      </c>
      <c r="S176" s="31">
        <f t="shared" si="31"/>
        <v>0</v>
      </c>
      <c r="T176" s="31">
        <f t="shared" si="31"/>
        <v>0</v>
      </c>
      <c r="U176" s="31">
        <f t="shared" si="31"/>
        <v>0</v>
      </c>
      <c r="V176" s="31">
        <f t="shared" si="31"/>
        <v>0</v>
      </c>
      <c r="W176" s="31">
        <f t="shared" si="31"/>
        <v>0</v>
      </c>
      <c r="X176" s="31">
        <f t="shared" si="31"/>
        <v>0</v>
      </c>
      <c r="Y176" s="37">
        <f t="shared" si="27"/>
        <v>0</v>
      </c>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c r="C177" s="1" t="s">
        <v>388</v>
      </c>
      <c r="E177" s="31">
        <f t="shared" si="31"/>
        <v>0</v>
      </c>
      <c r="F177" s="31">
        <f t="shared" si="31"/>
        <v>0</v>
      </c>
      <c r="G177" s="31">
        <f t="shared" si="31"/>
        <v>0</v>
      </c>
      <c r="H177" s="31">
        <f t="shared" si="31"/>
        <v>0</v>
      </c>
      <c r="I177" s="31">
        <f t="shared" si="31"/>
        <v>0</v>
      </c>
      <c r="J177" s="31">
        <f t="shared" si="31"/>
        <v>0</v>
      </c>
      <c r="K177" s="31">
        <f t="shared" si="31"/>
        <v>0</v>
      </c>
      <c r="L177" s="31">
        <f t="shared" si="31"/>
        <v>0</v>
      </c>
      <c r="M177" s="31">
        <f t="shared" si="31"/>
        <v>0</v>
      </c>
      <c r="N177" s="31">
        <f t="shared" si="31"/>
        <v>0</v>
      </c>
      <c r="O177" s="31">
        <f t="shared" si="31"/>
        <v>0</v>
      </c>
      <c r="P177" s="31">
        <f t="shared" si="31"/>
        <v>0</v>
      </c>
      <c r="Q177" s="31">
        <f t="shared" si="31"/>
        <v>0</v>
      </c>
      <c r="R177" s="31">
        <f t="shared" si="31"/>
        <v>0</v>
      </c>
      <c r="S177" s="31">
        <f t="shared" si="31"/>
        <v>0</v>
      </c>
      <c r="T177" s="31">
        <f t="shared" si="31"/>
        <v>0</v>
      </c>
      <c r="U177" s="31">
        <f t="shared" si="31"/>
        <v>0</v>
      </c>
      <c r="V177" s="31">
        <f t="shared" si="31"/>
        <v>0</v>
      </c>
      <c r="W177" s="31">
        <f t="shared" si="31"/>
        <v>0</v>
      </c>
      <c r="X177" s="31">
        <f t="shared" si="31"/>
        <v>0</v>
      </c>
      <c r="Y177" s="37">
        <f t="shared" si="27"/>
        <v>0</v>
      </c>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c r="C178" s="1" t="s">
        <v>391</v>
      </c>
      <c r="E178" s="31">
        <f t="shared" si="31"/>
        <v>0</v>
      </c>
      <c r="F178" s="31">
        <f t="shared" si="31"/>
        <v>0</v>
      </c>
      <c r="G178" s="31">
        <f t="shared" si="31"/>
        <v>0</v>
      </c>
      <c r="H178" s="31">
        <f t="shared" si="31"/>
        <v>0</v>
      </c>
      <c r="I178" s="31">
        <f t="shared" si="31"/>
        <v>0</v>
      </c>
      <c r="J178" s="31">
        <f t="shared" si="31"/>
        <v>0</v>
      </c>
      <c r="K178" s="31">
        <f t="shared" si="31"/>
        <v>0</v>
      </c>
      <c r="L178" s="31">
        <f t="shared" si="31"/>
        <v>0</v>
      </c>
      <c r="M178" s="31">
        <f t="shared" si="31"/>
        <v>0</v>
      </c>
      <c r="N178" s="31">
        <f t="shared" si="31"/>
        <v>0</v>
      </c>
      <c r="O178" s="31">
        <f t="shared" si="31"/>
        <v>0</v>
      </c>
      <c r="P178" s="31">
        <f t="shared" si="31"/>
        <v>0</v>
      </c>
      <c r="Q178" s="31">
        <f t="shared" si="31"/>
        <v>0</v>
      </c>
      <c r="R178" s="31">
        <f t="shared" si="31"/>
        <v>0</v>
      </c>
      <c r="S178" s="31">
        <f t="shared" si="31"/>
        <v>0</v>
      </c>
      <c r="T178" s="31">
        <f t="shared" si="31"/>
        <v>0</v>
      </c>
      <c r="U178" s="31">
        <f t="shared" si="31"/>
        <v>0</v>
      </c>
      <c r="V178" s="31">
        <f t="shared" si="31"/>
        <v>0</v>
      </c>
      <c r="W178" s="31">
        <f t="shared" si="31"/>
        <v>0</v>
      </c>
      <c r="X178" s="31">
        <f t="shared" si="31"/>
        <v>0</v>
      </c>
      <c r="Y178" s="37">
        <f t="shared" si="27"/>
        <v>0</v>
      </c>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c r="C179" s="1" t="s">
        <v>394</v>
      </c>
      <c r="E179" s="31">
        <f t="shared" ref="E179:X179" si="32">E142-E131</f>
        <v>0</v>
      </c>
      <c r="F179" s="31">
        <f t="shared" si="32"/>
        <v>6.3875042918359881E-4</v>
      </c>
      <c r="G179" s="31">
        <f t="shared" si="32"/>
        <v>7.8362501635176329E-4</v>
      </c>
      <c r="H179" s="31">
        <f t="shared" si="32"/>
        <v>8.8962213281629232E-4</v>
      </c>
      <c r="I179" s="31">
        <f t="shared" si="32"/>
        <v>9.731460939303993E-4</v>
      </c>
      <c r="J179" s="31">
        <f t="shared" si="32"/>
        <v>1.0212721153006754E-3</v>
      </c>
      <c r="K179" s="31">
        <f t="shared" si="32"/>
        <v>1.0725435720284615E-3</v>
      </c>
      <c r="L179" s="31">
        <f t="shared" si="32"/>
        <v>1.1362280416538084E-3</v>
      </c>
      <c r="M179" s="31">
        <f t="shared" si="32"/>
        <v>1.1843268913063199E-3</v>
      </c>
      <c r="N179" s="31">
        <f t="shared" si="32"/>
        <v>1.2532472921060744E-3</v>
      </c>
      <c r="O179" s="31">
        <f t="shared" si="32"/>
        <v>1.3001333824718131E-3</v>
      </c>
      <c r="P179" s="31">
        <f t="shared" si="32"/>
        <v>1.31608307615938E-3</v>
      </c>
      <c r="Q179" s="31">
        <f t="shared" si="32"/>
        <v>1.3094622534550737E-3</v>
      </c>
      <c r="R179" s="31">
        <f t="shared" si="32"/>
        <v>1.32682045048238E-3</v>
      </c>
      <c r="S179" s="31">
        <f t="shared" si="32"/>
        <v>1.3519850209799955E-3</v>
      </c>
      <c r="T179" s="31">
        <f t="shared" si="32"/>
        <v>1.3542191684488003E-3</v>
      </c>
      <c r="U179" s="31">
        <f t="shared" si="32"/>
        <v>1.3212125820700749E-3</v>
      </c>
      <c r="V179" s="31">
        <f t="shared" si="32"/>
        <v>1.3230904483263473E-3</v>
      </c>
      <c r="W179" s="31">
        <f t="shared" si="32"/>
        <v>1.3280438087228674E-3</v>
      </c>
      <c r="X179" s="31">
        <f t="shared" si="32"/>
        <v>1.3389541594612808E-3</v>
      </c>
      <c r="Y179" s="37">
        <f t="shared" si="27"/>
        <v>2.2222765935255406E-2</v>
      </c>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ht="15">
      <c r="C181" s="76" t="s">
        <v>146</v>
      </c>
      <c r="D181" s="76"/>
      <c r="E181" s="77">
        <f t="shared" ref="E181:X181" si="33">SUM(E148:E179)</f>
        <v>0</v>
      </c>
      <c r="F181" s="77">
        <f t="shared" si="33"/>
        <v>2.3177718945007961</v>
      </c>
      <c r="G181" s="77">
        <f t="shared" si="33"/>
        <v>2.8431989776705331</v>
      </c>
      <c r="H181" s="77">
        <f t="shared" si="33"/>
        <v>3.2277182006736638</v>
      </c>
      <c r="I181" s="77">
        <f t="shared" si="33"/>
        <v>3.5309785198657444</v>
      </c>
      <c r="J181" s="77">
        <f t="shared" si="33"/>
        <v>3.705544606323341</v>
      </c>
      <c r="K181" s="77">
        <f t="shared" si="33"/>
        <v>3.891405255009996</v>
      </c>
      <c r="L181" s="77">
        <f t="shared" si="33"/>
        <v>4.1222715994454848</v>
      </c>
      <c r="M181" s="77">
        <f t="shared" si="33"/>
        <v>4.2963678079860008</v>
      </c>
      <c r="N181" s="77">
        <f t="shared" si="33"/>
        <v>4.5462753817552741</v>
      </c>
      <c r="O181" s="77">
        <f t="shared" si="33"/>
        <v>4.7163364417389904</v>
      </c>
      <c r="P181" s="77">
        <f t="shared" si="33"/>
        <v>4.7740213406920287</v>
      </c>
      <c r="Q181" s="77">
        <f t="shared" si="33"/>
        <v>4.7496054455085011</v>
      </c>
      <c r="R181" s="77">
        <f t="shared" si="33"/>
        <v>4.8127598594143963</v>
      </c>
      <c r="S181" s="77">
        <f t="shared" si="33"/>
        <v>4.9043709404575777</v>
      </c>
      <c r="T181" s="77">
        <f t="shared" si="33"/>
        <v>4.9126855907945304</v>
      </c>
      <c r="U181" s="77">
        <f t="shared" si="33"/>
        <v>4.7927529484754645</v>
      </c>
      <c r="V181" s="77">
        <f t="shared" si="33"/>
        <v>4.7996576384181662</v>
      </c>
      <c r="W181" s="77">
        <f t="shared" si="33"/>
        <v>4.8179734001977019</v>
      </c>
      <c r="X181" s="77">
        <f t="shared" si="33"/>
        <v>4.8576818193121305</v>
      </c>
      <c r="Y181" s="77"/>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ht="15">
      <c r="C182" s="76" t="s">
        <v>147</v>
      </c>
      <c r="D182" s="76"/>
      <c r="E182" s="77">
        <f>E181</f>
        <v>0</v>
      </c>
      <c r="F182" s="77">
        <f t="shared" ref="F182:X182" si="34">E182+F181</f>
        <v>2.3177718945007961</v>
      </c>
      <c r="G182" s="77">
        <f t="shared" si="34"/>
        <v>5.1609708721713297</v>
      </c>
      <c r="H182" s="77">
        <f t="shared" si="34"/>
        <v>8.3886890728449934</v>
      </c>
      <c r="I182" s="77">
        <f t="shared" si="34"/>
        <v>11.919667592710738</v>
      </c>
      <c r="J182" s="77">
        <f t="shared" si="34"/>
        <v>15.625212199034079</v>
      </c>
      <c r="K182" s="77">
        <f t="shared" si="34"/>
        <v>19.516617454044074</v>
      </c>
      <c r="L182" s="77">
        <f t="shared" si="34"/>
        <v>23.638889053489557</v>
      </c>
      <c r="M182" s="77">
        <f t="shared" si="34"/>
        <v>27.935256861475558</v>
      </c>
      <c r="N182" s="77">
        <f t="shared" si="34"/>
        <v>32.481532243230831</v>
      </c>
      <c r="O182" s="77">
        <f t="shared" si="34"/>
        <v>37.197868684969819</v>
      </c>
      <c r="P182" s="77">
        <f t="shared" si="34"/>
        <v>41.97189002566185</v>
      </c>
      <c r="Q182" s="77">
        <f t="shared" si="34"/>
        <v>46.72149547117035</v>
      </c>
      <c r="R182" s="77">
        <f t="shared" si="34"/>
        <v>51.534255330584749</v>
      </c>
      <c r="S182" s="77">
        <f t="shared" si="34"/>
        <v>56.438626271042324</v>
      </c>
      <c r="T182" s="77">
        <f t="shared" si="34"/>
        <v>61.351311861836855</v>
      </c>
      <c r="U182" s="77">
        <f t="shared" si="34"/>
        <v>66.144064810312315</v>
      </c>
      <c r="V182" s="77">
        <f t="shared" si="34"/>
        <v>70.943722448730483</v>
      </c>
      <c r="W182" s="77">
        <f t="shared" si="34"/>
        <v>75.761695848928184</v>
      </c>
      <c r="X182" s="77">
        <f t="shared" si="34"/>
        <v>80.619377668240318</v>
      </c>
      <c r="Y182" s="77">
        <f>SUM(Y148:Y179)</f>
        <v>80.619377668240318</v>
      </c>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4" spans="1:80">
      <c r="E184" s="31"/>
      <c r="F184" s="31"/>
      <c r="G184" s="31"/>
      <c r="H184" s="31"/>
      <c r="I184" s="31"/>
      <c r="J184" s="31"/>
      <c r="K184" s="31"/>
      <c r="L184" s="31"/>
      <c r="M184" s="31"/>
      <c r="N184" s="31"/>
      <c r="O184" s="31"/>
      <c r="P184" s="31"/>
      <c r="Q184" s="31"/>
      <c r="R184" s="31"/>
      <c r="S184" s="31"/>
      <c r="T184" s="31"/>
      <c r="U184" s="31"/>
      <c r="V184" s="31"/>
      <c r="W184" s="31"/>
      <c r="X184" s="31"/>
      <c r="Y184" s="31"/>
    </row>
    <row r="185" spans="1:80">
      <c r="A185" s="1" t="s">
        <v>148</v>
      </c>
      <c r="E185" s="31"/>
      <c r="F185" s="31"/>
      <c r="G185" s="31"/>
      <c r="H185" s="31"/>
      <c r="I185" s="31"/>
      <c r="J185" s="31"/>
      <c r="K185" s="31"/>
      <c r="L185" s="31"/>
      <c r="M185" s="31"/>
      <c r="N185" s="31"/>
      <c r="O185" s="31"/>
      <c r="P185" s="31"/>
      <c r="Q185" s="31"/>
      <c r="R185" s="31"/>
      <c r="S185" s="31"/>
      <c r="T185" s="31"/>
      <c r="U185" s="31"/>
      <c r="V185" s="31"/>
      <c r="W185" s="31"/>
      <c r="X185" s="31"/>
      <c r="Y185" s="31"/>
    </row>
    <row r="186" spans="1:80" customFormat="1"/>
    <row r="187" spans="1:80" customFormat="1"/>
    <row r="188" spans="1:80" customFormat="1"/>
    <row r="189" spans="1:80" ht="15">
      <c r="A189" s="63" t="s">
        <v>149</v>
      </c>
      <c r="B189" s="63"/>
      <c r="E189" s="31"/>
      <c r="F189" s="31"/>
      <c r="G189" s="31"/>
      <c r="H189" s="31"/>
      <c r="I189" s="31"/>
      <c r="J189" s="31"/>
      <c r="K189" s="31"/>
      <c r="L189" s="31"/>
      <c r="M189" s="31"/>
      <c r="N189" s="31"/>
      <c r="O189" s="31"/>
      <c r="P189" s="31"/>
      <c r="Q189" s="31"/>
      <c r="R189" s="31"/>
      <c r="S189" s="31"/>
      <c r="T189" s="31"/>
      <c r="U189" s="31"/>
      <c r="V189" s="31"/>
      <c r="W189" s="31"/>
      <c r="X189" s="31"/>
      <c r="Y189" s="31"/>
      <c r="AA189" s="31"/>
    </row>
    <row r="190" spans="1:80">
      <c r="A190" s="1" t="s">
        <v>150</v>
      </c>
      <c r="C190"/>
      <c r="E190" s="31" t="s">
        <v>151</v>
      </c>
      <c r="F190" s="31"/>
      <c r="G190" s="31"/>
      <c r="H190" s="31"/>
      <c r="I190" s="31"/>
      <c r="J190" s="31"/>
      <c r="K190" s="31"/>
      <c r="L190" s="31"/>
      <c r="M190" s="31"/>
      <c r="N190" s="31"/>
      <c r="O190" s="31"/>
      <c r="P190" s="31"/>
      <c r="Q190" s="31"/>
      <c r="R190" s="31"/>
      <c r="S190" s="31"/>
      <c r="T190" s="31"/>
      <c r="U190" s="31"/>
      <c r="V190" s="31"/>
      <c r="W190" s="31"/>
      <c r="X190" s="31"/>
      <c r="Y190" s="31"/>
      <c r="AA190" s="31"/>
    </row>
    <row r="191" spans="1:80" ht="15">
      <c r="E191" s="78">
        <v>2016</v>
      </c>
      <c r="F191" s="79">
        <v>2017</v>
      </c>
      <c r="G191" s="79">
        <v>2018</v>
      </c>
      <c r="H191" s="79">
        <v>2019</v>
      </c>
      <c r="I191" s="79">
        <v>2020</v>
      </c>
      <c r="J191" s="79">
        <v>2021</v>
      </c>
      <c r="K191" s="79">
        <v>2022</v>
      </c>
      <c r="L191" s="79">
        <v>2023</v>
      </c>
      <c r="M191" s="79">
        <v>2024</v>
      </c>
      <c r="N191" s="79">
        <v>2025</v>
      </c>
      <c r="O191" s="79">
        <v>2026</v>
      </c>
      <c r="P191" s="79">
        <v>2027</v>
      </c>
      <c r="Q191" s="79">
        <v>2028</v>
      </c>
      <c r="R191" s="79">
        <v>2029</v>
      </c>
      <c r="S191" s="79">
        <v>2030</v>
      </c>
      <c r="T191" s="79">
        <v>2031</v>
      </c>
      <c r="U191" s="79">
        <v>2032</v>
      </c>
      <c r="V191" s="79">
        <v>2033</v>
      </c>
      <c r="W191" s="79">
        <v>2034</v>
      </c>
      <c r="X191" s="79">
        <v>2035</v>
      </c>
      <c r="Y191" s="80"/>
      <c r="AA191" s="31"/>
    </row>
    <row r="192" spans="1:80">
      <c r="C192" s="1" t="str">
        <f>C13</f>
        <v>Single Family</v>
      </c>
      <c r="E192" s="31">
        <f>E13-E33/$B23</f>
        <v>0</v>
      </c>
      <c r="F192" s="31">
        <f>F13-F33/$B23</f>
        <v>40785.644939176222</v>
      </c>
      <c r="G192" s="31">
        <f t="shared" ref="F192:X195" si="35">G13-G33/$B23</f>
        <v>33473.097728948444</v>
      </c>
      <c r="H192" s="31">
        <f t="shared" si="35"/>
        <v>28477.446883798006</v>
      </c>
      <c r="I192" s="31">
        <f t="shared" si="35"/>
        <v>24381.193650602392</v>
      </c>
      <c r="J192" s="31">
        <f t="shared" si="35"/>
        <v>20484.136423919997</v>
      </c>
      <c r="K192" s="31">
        <f t="shared" si="35"/>
        <v>17626.264906381901</v>
      </c>
      <c r="L192" s="31">
        <f t="shared" si="35"/>
        <v>15608.036037548161</v>
      </c>
      <c r="M192" s="31">
        <f t="shared" si="35"/>
        <v>13832.256342965207</v>
      </c>
      <c r="N192" s="31">
        <f t="shared" si="35"/>
        <v>12699.654230121574</v>
      </c>
      <c r="O192" s="31">
        <f t="shared" si="35"/>
        <v>11630.107137690648</v>
      </c>
      <c r="P192" s="31">
        <f t="shared" si="35"/>
        <v>10590.342364706681</v>
      </c>
      <c r="Q192" s="31">
        <f t="shared" si="35"/>
        <v>9634.6740196546743</v>
      </c>
      <c r="R192" s="31">
        <f t="shared" si="35"/>
        <v>9118.3215755427518</v>
      </c>
      <c r="S192" s="31">
        <f t="shared" si="35"/>
        <v>8810.0292680045095</v>
      </c>
      <c r="T192" s="31">
        <f t="shared" si="35"/>
        <v>8450.8756738174561</v>
      </c>
      <c r="U192" s="31">
        <f t="shared" si="35"/>
        <v>7929.156597730529</v>
      </c>
      <c r="V192" s="31">
        <f t="shared" si="35"/>
        <v>7727.3195091106099</v>
      </c>
      <c r="W192" s="31">
        <f t="shared" si="35"/>
        <v>7599.9479124351928</v>
      </c>
      <c r="X192" s="31">
        <f t="shared" si="35"/>
        <v>7536.2854624422471</v>
      </c>
      <c r="Y192" s="31"/>
      <c r="AA192" s="31">
        <f t="shared" ref="AA192:AA195" si="36">SUM(E192:Y192)</f>
        <v>296394.79066459724</v>
      </c>
    </row>
    <row r="193" spans="3:27">
      <c r="C193" s="1" t="str">
        <f>C14</f>
        <v>Multifamily - Low Rise</v>
      </c>
      <c r="E193" s="31">
        <f t="shared" ref="E193:T195" si="37">E14-E34/$B24</f>
        <v>0</v>
      </c>
      <c r="F193" s="31">
        <f t="shared" si="37"/>
        <v>15656.310180137214</v>
      </c>
      <c r="G193" s="31">
        <f t="shared" si="37"/>
        <v>13435.180356461946</v>
      </c>
      <c r="H193" s="31">
        <f t="shared" si="37"/>
        <v>11438.543291832562</v>
      </c>
      <c r="I193" s="31">
        <f t="shared" si="37"/>
        <v>9485.8547709480154</v>
      </c>
      <c r="J193" s="31">
        <f t="shared" si="37"/>
        <v>8064.0605833059617</v>
      </c>
      <c r="K193" s="31">
        <f t="shared" si="37"/>
        <v>7072.9696901663829</v>
      </c>
      <c r="L193" s="31">
        <f t="shared" si="37"/>
        <v>6410.2215610574258</v>
      </c>
      <c r="M193" s="31">
        <f t="shared" si="37"/>
        <v>5879.7476675022317</v>
      </c>
      <c r="N193" s="31">
        <f t="shared" si="37"/>
        <v>5448.2076877330637</v>
      </c>
      <c r="O193" s="31">
        <f t="shared" si="37"/>
        <v>4975.4513378054507</v>
      </c>
      <c r="P193" s="31">
        <f t="shared" si="37"/>
        <v>4590.8152599060122</v>
      </c>
      <c r="Q193" s="31">
        <f t="shared" si="37"/>
        <v>4297.0585962796213</v>
      </c>
      <c r="R193" s="31">
        <f t="shared" si="37"/>
        <v>4018.3292904878836</v>
      </c>
      <c r="S193" s="31">
        <f t="shared" si="37"/>
        <v>3791.4307659000879</v>
      </c>
      <c r="T193" s="31">
        <f t="shared" si="37"/>
        <v>3577.7165216814683</v>
      </c>
      <c r="U193" s="31">
        <f t="shared" si="35"/>
        <v>3412.5032511122663</v>
      </c>
      <c r="V193" s="31">
        <f t="shared" si="35"/>
        <v>3289.1045001420571</v>
      </c>
      <c r="W193" s="31">
        <f t="shared" si="35"/>
        <v>3164.5687730965201</v>
      </c>
      <c r="X193" s="31">
        <f t="shared" si="35"/>
        <v>3105.108420074228</v>
      </c>
      <c r="Y193" s="31"/>
      <c r="AA193" s="1">
        <f t="shared" si="36"/>
        <v>121113.18250563039</v>
      </c>
    </row>
    <row r="194" spans="3:27">
      <c r="C194" s="1" t="str">
        <f>C15</f>
        <v>Multifamily - High Rise</v>
      </c>
      <c r="E194" s="31">
        <f t="shared" si="37"/>
        <v>0</v>
      </c>
      <c r="F194" s="31">
        <f t="shared" si="35"/>
        <v>3564.1847889739611</v>
      </c>
      <c r="G194" s="31">
        <f t="shared" si="35"/>
        <v>3104.5748424320614</v>
      </c>
      <c r="H194" s="31">
        <f t="shared" si="35"/>
        <v>2582.2448972502925</v>
      </c>
      <c r="I194" s="31">
        <f t="shared" si="35"/>
        <v>2099.9487770800811</v>
      </c>
      <c r="J194" s="31">
        <f t="shared" si="35"/>
        <v>1811.9324691659872</v>
      </c>
      <c r="K194" s="31">
        <f t="shared" si="35"/>
        <v>1593.907081606566</v>
      </c>
      <c r="L194" s="31">
        <f t="shared" si="35"/>
        <v>1462.5121968472263</v>
      </c>
      <c r="M194" s="31">
        <f t="shared" si="35"/>
        <v>1332.0518518640729</v>
      </c>
      <c r="N194" s="31">
        <f t="shared" si="35"/>
        <v>1234.1576978963062</v>
      </c>
      <c r="O194" s="31">
        <f t="shared" si="35"/>
        <v>1113.4989085032817</v>
      </c>
      <c r="P194" s="31">
        <f t="shared" si="35"/>
        <v>1025.4302370501041</v>
      </c>
      <c r="Q194" s="31">
        <f t="shared" si="35"/>
        <v>951.53536010125754</v>
      </c>
      <c r="R194" s="31">
        <f t="shared" si="35"/>
        <v>896.78507074367053</v>
      </c>
      <c r="S194" s="31">
        <f t="shared" si="35"/>
        <v>850.17818648940238</v>
      </c>
      <c r="T194" s="31">
        <f t="shared" si="35"/>
        <v>801.68742195586719</v>
      </c>
      <c r="U194" s="31">
        <f t="shared" si="35"/>
        <v>765.58423553320699</v>
      </c>
      <c r="V194" s="31">
        <f t="shared" si="35"/>
        <v>730.16160503952187</v>
      </c>
      <c r="W194" s="31">
        <f t="shared" si="35"/>
        <v>713.57309900781456</v>
      </c>
      <c r="X194" s="31">
        <f t="shared" si="35"/>
        <v>699.62247380700683</v>
      </c>
      <c r="Y194" s="31"/>
      <c r="AA194" s="31">
        <f t="shared" si="36"/>
        <v>27333.571201347688</v>
      </c>
    </row>
    <row r="195" spans="3:27">
      <c r="C195" s="1" t="str">
        <f>C16</f>
        <v>Manufactured</v>
      </c>
      <c r="E195" s="31">
        <f t="shared" si="37"/>
        <v>0</v>
      </c>
      <c r="F195" s="31">
        <f t="shared" si="35"/>
        <v>1279.9865964951518</v>
      </c>
      <c r="G195" s="31">
        <f t="shared" si="35"/>
        <v>1147.9667080114414</v>
      </c>
      <c r="H195" s="31">
        <f t="shared" si="35"/>
        <v>1046.8002178013305</v>
      </c>
      <c r="I195" s="31">
        <f t="shared" si="35"/>
        <v>892.86777796526667</v>
      </c>
      <c r="J195" s="31">
        <f t="shared" si="35"/>
        <v>774.88494109640556</v>
      </c>
      <c r="K195" s="31">
        <f t="shared" si="35"/>
        <v>688.15660971703801</v>
      </c>
      <c r="L195" s="31">
        <f t="shared" si="35"/>
        <v>615.74018622003541</v>
      </c>
      <c r="M195" s="31">
        <f t="shared" si="35"/>
        <v>554.39791920631797</v>
      </c>
      <c r="N195" s="31">
        <f t="shared" si="35"/>
        <v>500.43132087170306</v>
      </c>
      <c r="O195" s="31">
        <f t="shared" si="35"/>
        <v>452.65095518172825</v>
      </c>
      <c r="P195" s="31">
        <f t="shared" si="35"/>
        <v>417.10415244931073</v>
      </c>
      <c r="Q195" s="31">
        <f t="shared" si="35"/>
        <v>390.34512809588159</v>
      </c>
      <c r="R195" s="31">
        <f t="shared" si="35"/>
        <v>369.45276182023144</v>
      </c>
      <c r="S195" s="31">
        <f t="shared" si="35"/>
        <v>352.9719161901769</v>
      </c>
      <c r="T195" s="31">
        <f t="shared" si="35"/>
        <v>339.8656084631366</v>
      </c>
      <c r="U195" s="31">
        <f t="shared" si="35"/>
        <v>329.56942528898662</v>
      </c>
      <c r="V195" s="31">
        <f t="shared" si="35"/>
        <v>321.76619475496318</v>
      </c>
      <c r="W195" s="31">
        <f t="shared" si="35"/>
        <v>315.75666497079487</v>
      </c>
      <c r="X195" s="31">
        <f t="shared" si="35"/>
        <v>311.03703093321724</v>
      </c>
      <c r="Y195" s="31"/>
      <c r="AA195" s="31">
        <f t="shared" si="36"/>
        <v>11101.75211553312</v>
      </c>
    </row>
    <row r="196" spans="3:27">
      <c r="E196" s="31"/>
      <c r="F196" s="31"/>
      <c r="G196" s="31"/>
      <c r="H196" s="31"/>
      <c r="I196" s="31"/>
      <c r="J196" s="31"/>
      <c r="K196" s="31"/>
      <c r="L196" s="31"/>
      <c r="M196" s="31"/>
      <c r="N196" s="31"/>
      <c r="O196" s="31"/>
      <c r="P196" s="31"/>
      <c r="Q196" s="31"/>
      <c r="R196" s="31"/>
      <c r="S196" s="31"/>
      <c r="T196" s="31"/>
      <c r="U196" s="31"/>
      <c r="V196" s="31"/>
      <c r="W196" s="31"/>
      <c r="X196" s="31"/>
      <c r="Y196" s="31"/>
    </row>
    <row r="197" spans="3:27">
      <c r="C197" s="1" t="s">
        <v>152</v>
      </c>
      <c r="E197" s="31">
        <f t="shared" ref="E197:X197" si="38">SUM(E192:E195)</f>
        <v>0</v>
      </c>
      <c r="F197" s="31">
        <f t="shared" si="38"/>
        <v>61286.126504782551</v>
      </c>
      <c r="G197" s="31">
        <f t="shared" si="38"/>
        <v>51160.819635853899</v>
      </c>
      <c r="H197" s="31">
        <f t="shared" si="38"/>
        <v>43545.035290682194</v>
      </c>
      <c r="I197" s="31">
        <f t="shared" si="38"/>
        <v>36859.86497659576</v>
      </c>
      <c r="J197" s="31">
        <f t="shared" si="38"/>
        <v>31135.01441748835</v>
      </c>
      <c r="K197" s="31">
        <f t="shared" si="38"/>
        <v>26981.298287871883</v>
      </c>
      <c r="L197" s="31">
        <f t="shared" si="38"/>
        <v>24096.509981672851</v>
      </c>
      <c r="M197" s="31">
        <f t="shared" si="38"/>
        <v>21598.453781537835</v>
      </c>
      <c r="N197" s="31">
        <f t="shared" si="38"/>
        <v>19882.450936622645</v>
      </c>
      <c r="O197" s="31">
        <f t="shared" si="38"/>
        <v>18171.70833918111</v>
      </c>
      <c r="P197" s="31">
        <f t="shared" si="38"/>
        <v>16623.692014112108</v>
      </c>
      <c r="Q197" s="31">
        <f t="shared" si="38"/>
        <v>15273.613104131435</v>
      </c>
      <c r="R197" s="31">
        <f t="shared" si="38"/>
        <v>14402.888698594537</v>
      </c>
      <c r="S197" s="31">
        <f t="shared" si="38"/>
        <v>13804.610136584177</v>
      </c>
      <c r="T197" s="31">
        <f t="shared" si="38"/>
        <v>13170.145225917928</v>
      </c>
      <c r="U197" s="31">
        <f t="shared" si="38"/>
        <v>12436.813509664988</v>
      </c>
      <c r="V197" s="31">
        <f t="shared" si="38"/>
        <v>12068.351809047152</v>
      </c>
      <c r="W197" s="31">
        <f t="shared" si="38"/>
        <v>11793.846449510322</v>
      </c>
      <c r="X197" s="31">
        <f t="shared" si="38"/>
        <v>11652.053387256699</v>
      </c>
      <c r="Y197" s="31"/>
      <c r="AA197" s="31">
        <f>SUM(E197:Y197)</f>
        <v>455943.2964871084</v>
      </c>
    </row>
  </sheetData>
  <mergeCells count="1">
    <mergeCell ref="B1:T6"/>
  </mergeCell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sheetPr codeName="Sheet2"/>
  <dimension ref="A1:CA279"/>
  <sheetViews>
    <sheetView topLeftCell="B7" zoomScaleNormal="100" workbookViewId="0">
      <selection activeCell="E13" sqref="E13:E16"/>
    </sheetView>
  </sheetViews>
  <sheetFormatPr defaultRowHeight="12.75"/>
  <cols>
    <col min="1" max="1" width="35" style="1" customWidth="1"/>
    <col min="2" max="3" width="20.7109375" style="1" customWidth="1"/>
    <col min="4" max="4" width="33.140625" style="1" customWidth="1"/>
    <col min="5" max="5" width="19.85546875" style="1" customWidth="1"/>
    <col min="6" max="6" width="9.28515625" style="1" bestFit="1" customWidth="1"/>
    <col min="7" max="24" width="9.140625" style="1"/>
    <col min="25" max="25" width="9.5703125" style="1" bestFit="1" customWidth="1"/>
    <col min="26" max="26" width="10" style="1" bestFit="1" customWidth="1"/>
    <col min="27" max="29" width="9.140625" style="1"/>
    <col min="30" max="30" width="21.7109375" style="1" customWidth="1"/>
    <col min="31" max="31" width="35.85546875" style="1" customWidth="1"/>
    <col min="32" max="32" width="35.28515625" style="1" customWidth="1"/>
    <col min="33" max="33" width="15" style="1" customWidth="1"/>
    <col min="34" max="34" width="17.7109375" style="1" customWidth="1"/>
    <col min="35" max="35" width="15.140625" style="1" customWidth="1"/>
    <col min="36" max="36" width="15.7109375" style="1" customWidth="1"/>
    <col min="37" max="37" width="21.28515625" style="1" customWidth="1"/>
    <col min="38" max="38" width="17.7109375" style="1" bestFit="1" customWidth="1"/>
    <col min="39" max="39" width="15.42578125" style="1" bestFit="1" customWidth="1"/>
    <col min="40" max="40" width="14.28515625" style="1" bestFit="1" customWidth="1"/>
    <col min="41" max="41" width="14.28515625" style="1" customWidth="1"/>
    <col min="42" max="42" width="12.5703125" style="1" customWidth="1"/>
    <col min="43" max="43" width="14" style="1" bestFit="1" customWidth="1"/>
    <col min="44" max="45" width="10.85546875" style="1" bestFit="1" customWidth="1"/>
    <col min="46" max="46" width="13.42578125" style="1" customWidth="1"/>
    <col min="47" max="47" width="11.85546875" style="1" bestFit="1" customWidth="1"/>
    <col min="48" max="48" width="11" style="1" bestFit="1" customWidth="1"/>
    <col min="49" max="49" width="14.28515625" style="1" bestFit="1" customWidth="1"/>
    <col min="50" max="50" width="10.7109375" style="1" customWidth="1"/>
    <col min="51" max="51" width="13.85546875" style="1" bestFit="1" customWidth="1"/>
    <col min="52" max="52" width="11.7109375" style="1" bestFit="1" customWidth="1"/>
    <col min="53" max="53" width="15.28515625" style="1" bestFit="1" customWidth="1"/>
    <col min="54" max="56" width="12.28515625" style="1" bestFit="1" customWidth="1"/>
    <col min="57" max="57" width="12.5703125" style="1" bestFit="1" customWidth="1"/>
    <col min="58" max="60" width="14.28515625" style="1" bestFit="1" customWidth="1"/>
    <col min="61" max="61" width="13.7109375" style="1" bestFit="1" customWidth="1"/>
    <col min="62" max="62" width="14" style="1" bestFit="1" customWidth="1"/>
    <col min="63" max="63" width="12.85546875" style="1" bestFit="1" customWidth="1"/>
    <col min="64" max="64" width="15.28515625" style="1" bestFit="1" customWidth="1"/>
    <col min="65" max="65" width="12.28515625" style="1" bestFit="1" customWidth="1"/>
    <col min="66" max="66" width="10.85546875" style="1" bestFit="1" customWidth="1"/>
    <col min="67" max="67" width="12.28515625" style="1" bestFit="1" customWidth="1"/>
    <col min="68" max="68" width="12.5703125" style="1" bestFit="1" customWidth="1"/>
    <col min="69" max="16384" width="9.140625" style="1"/>
  </cols>
  <sheetData>
    <row r="1" spans="1:68" ht="12.75" customHeight="1">
      <c r="A1" s="54" t="s">
        <v>59</v>
      </c>
      <c r="B1" s="518" t="s">
        <v>186</v>
      </c>
      <c r="C1" s="518"/>
      <c r="D1" s="518"/>
      <c r="E1" s="518"/>
      <c r="F1" s="518"/>
      <c r="G1" s="518"/>
      <c r="H1" s="518"/>
      <c r="I1" s="518"/>
      <c r="J1" s="518"/>
      <c r="K1" s="518"/>
      <c r="L1" s="518"/>
      <c r="M1" s="518"/>
      <c r="N1" s="518"/>
      <c r="O1" s="518"/>
      <c r="P1" s="518"/>
      <c r="Q1" s="518"/>
      <c r="R1" s="518"/>
      <c r="S1" s="518"/>
      <c r="T1" s="518"/>
      <c r="U1" s="518"/>
      <c r="V1" s="58"/>
      <c r="W1" s="58"/>
      <c r="X1" s="58"/>
      <c r="Y1" s="58"/>
      <c r="Z1" s="58"/>
    </row>
    <row r="2" spans="1:68" ht="12.75" customHeight="1">
      <c r="A2" s="55" t="s">
        <v>61</v>
      </c>
      <c r="B2" s="518"/>
      <c r="C2" s="518"/>
      <c r="D2" s="518"/>
      <c r="E2" s="518"/>
      <c r="F2" s="518"/>
      <c r="G2" s="518"/>
      <c r="H2" s="518"/>
      <c r="I2" s="518"/>
      <c r="J2" s="518"/>
      <c r="K2" s="518"/>
      <c r="L2" s="518"/>
      <c r="M2" s="518"/>
      <c r="N2" s="518"/>
      <c r="O2" s="518"/>
      <c r="P2" s="518"/>
      <c r="Q2" s="518"/>
      <c r="R2" s="518"/>
      <c r="S2" s="518"/>
      <c r="T2" s="518"/>
      <c r="U2" s="518"/>
      <c r="V2" s="57"/>
      <c r="W2" s="57"/>
      <c r="X2" s="57"/>
      <c r="Y2" s="57"/>
    </row>
    <row r="3" spans="1:68">
      <c r="B3" s="518"/>
      <c r="C3" s="518"/>
      <c r="D3" s="518"/>
      <c r="E3" s="518"/>
      <c r="F3" s="518"/>
      <c r="G3" s="518"/>
      <c r="H3" s="518"/>
      <c r="I3" s="518"/>
      <c r="J3" s="518"/>
      <c r="K3" s="518"/>
      <c r="L3" s="518"/>
      <c r="M3" s="518"/>
      <c r="N3" s="518"/>
      <c r="O3" s="518"/>
      <c r="P3" s="518"/>
      <c r="Q3" s="518"/>
      <c r="R3" s="518"/>
      <c r="S3" s="518"/>
      <c r="T3" s="518"/>
      <c r="U3" s="518"/>
      <c r="V3" s="57"/>
      <c r="W3" s="57"/>
      <c r="X3" s="57"/>
      <c r="Y3" s="57"/>
      <c r="Z3" s="57"/>
    </row>
    <row r="4" spans="1:68">
      <c r="B4" s="518"/>
      <c r="C4" s="518"/>
      <c r="D4" s="518"/>
      <c r="E4" s="518"/>
      <c r="F4" s="518"/>
      <c r="G4" s="518"/>
      <c r="H4" s="518"/>
      <c r="I4" s="518"/>
      <c r="J4" s="518"/>
      <c r="K4" s="518"/>
      <c r="L4" s="518"/>
      <c r="M4" s="518"/>
      <c r="N4" s="518"/>
      <c r="O4" s="518"/>
      <c r="P4" s="518"/>
      <c r="Q4" s="518"/>
      <c r="R4" s="518"/>
      <c r="S4" s="518"/>
      <c r="T4" s="518"/>
      <c r="U4" s="518"/>
      <c r="V4" s="57"/>
      <c r="W4" s="57"/>
      <c r="X4" s="57"/>
      <c r="Y4" s="57"/>
      <c r="Z4" s="57"/>
    </row>
    <row r="5" spans="1:68">
      <c r="B5" s="518"/>
      <c r="C5" s="518"/>
      <c r="D5" s="518"/>
      <c r="E5" s="518"/>
      <c r="F5" s="518"/>
      <c r="G5" s="518"/>
      <c r="H5" s="518"/>
      <c r="I5" s="518"/>
      <c r="J5" s="518"/>
      <c r="K5" s="518"/>
      <c r="L5" s="518"/>
      <c r="M5" s="518"/>
      <c r="N5" s="518"/>
      <c r="O5" s="518"/>
      <c r="P5" s="518"/>
      <c r="Q5" s="518"/>
      <c r="R5" s="518"/>
      <c r="S5" s="518"/>
      <c r="T5" s="518"/>
      <c r="U5" s="518"/>
      <c r="V5" s="57"/>
      <c r="W5" s="57"/>
      <c r="X5" s="57"/>
      <c r="Y5" s="57"/>
      <c r="Z5" s="57"/>
    </row>
    <row r="6" spans="1:68">
      <c r="B6" s="518"/>
      <c r="C6" s="518"/>
      <c r="D6" s="518"/>
      <c r="E6" s="518"/>
      <c r="F6" s="518"/>
      <c r="G6" s="518"/>
      <c r="H6" s="518"/>
      <c r="I6" s="518"/>
      <c r="J6" s="518"/>
      <c r="K6" s="518"/>
      <c r="L6" s="518"/>
      <c r="M6" s="518"/>
      <c r="N6" s="518"/>
      <c r="O6" s="518"/>
      <c r="P6" s="518"/>
      <c r="Q6" s="518"/>
      <c r="R6" s="518"/>
      <c r="S6" s="518"/>
      <c r="T6" s="518"/>
      <c r="U6" s="518"/>
      <c r="V6" s="57"/>
      <c r="W6" s="57"/>
      <c r="X6" s="57"/>
      <c r="Y6" s="57"/>
      <c r="Z6" s="57"/>
    </row>
    <row r="7" spans="1:68">
      <c r="A7" s="481"/>
      <c r="B7" s="481" t="s">
        <v>62</v>
      </c>
      <c r="C7" s="56" t="s">
        <v>153</v>
      </c>
      <c r="D7" s="56" t="s">
        <v>187</v>
      </c>
    </row>
    <row r="8" spans="1:68">
      <c r="A8" s="481" t="s">
        <v>810</v>
      </c>
      <c r="B8" s="481" t="s">
        <v>64</v>
      </c>
      <c r="C8" s="56" t="str">
        <f>[2]MLIST!$B$10</f>
        <v>Lighting</v>
      </c>
      <c r="D8" s="56" t="str">
        <f>[1]!switch_ForecastState</f>
        <v>Region</v>
      </c>
      <c r="F8"/>
    </row>
    <row r="9" spans="1:68">
      <c r="A9" s="481" t="str">
        <f>INDEX([2]ACHIEV!$A$19:$B$100,MATCH(CONCATENATE($C$8," - ",$C$7),[2]ACHIEV!$B$19:$B$100,0),1)</f>
        <v>Lighting</v>
      </c>
      <c r="B9" s="482" t="s">
        <v>65</v>
      </c>
      <c r="C9" s="56">
        <f>[2]FILES!$H$4</f>
        <v>2035</v>
      </c>
      <c r="D9" s="56" t="str">
        <f>[1]!switch_ForecastScenario</f>
        <v>Base</v>
      </c>
    </row>
    <row r="10" spans="1:68">
      <c r="A10" s="481"/>
      <c r="B10" s="481" t="s">
        <v>813</v>
      </c>
      <c r="C10" s="483">
        <f>MIN(SUM(E142:X142),Y142)</f>
        <v>9.508634918805372</v>
      </c>
      <c r="D10" s="5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row>
    <row r="11" spans="1:68" ht="15">
      <c r="A11" s="63" t="s">
        <v>154</v>
      </c>
      <c r="E11" s="74">
        <v>2016</v>
      </c>
      <c r="F11" s="67">
        <v>2017</v>
      </c>
      <c r="G11" s="67">
        <v>2018</v>
      </c>
      <c r="H11" s="67">
        <v>2019</v>
      </c>
      <c r="I11" s="67">
        <v>2020</v>
      </c>
      <c r="J11" s="67">
        <v>2021</v>
      </c>
      <c r="K11" s="67">
        <v>2022</v>
      </c>
      <c r="L11" s="67">
        <v>2023</v>
      </c>
      <c r="M11" s="67">
        <v>2024</v>
      </c>
      <c r="N11" s="67">
        <v>2025</v>
      </c>
      <c r="O11" s="67">
        <v>2026</v>
      </c>
      <c r="P11" s="67">
        <v>2027</v>
      </c>
      <c r="Q11" s="67">
        <v>2028</v>
      </c>
      <c r="R11" s="67">
        <v>2029</v>
      </c>
      <c r="S11" s="67">
        <v>2030</v>
      </c>
      <c r="T11" s="67">
        <v>2031</v>
      </c>
      <c r="U11" s="67">
        <v>2032</v>
      </c>
      <c r="V11" s="67">
        <v>2033</v>
      </c>
      <c r="W11" s="67">
        <v>2034</v>
      </c>
      <c r="X11" s="67">
        <v>2035</v>
      </c>
      <c r="Y11" s="68"/>
      <c r="Z11"/>
    </row>
    <row r="12" spans="1:68" ht="15">
      <c r="E12" s="75" t="str">
        <f>CONCATENATE("HOMES_",E11)</f>
        <v>HOMES_2016</v>
      </c>
      <c r="F12" s="69" t="str">
        <f t="shared" ref="F12:X12" si="0">CONCATENATE("HOMES_",F11)</f>
        <v>HOMES_2017</v>
      </c>
      <c r="G12" s="69" t="str">
        <f t="shared" si="0"/>
        <v>HOMES_2018</v>
      </c>
      <c r="H12" s="69" t="str">
        <f t="shared" si="0"/>
        <v>HOMES_2019</v>
      </c>
      <c r="I12" s="69" t="str">
        <f t="shared" si="0"/>
        <v>HOMES_2020</v>
      </c>
      <c r="J12" s="69" t="str">
        <f t="shared" si="0"/>
        <v>HOMES_2021</v>
      </c>
      <c r="K12" s="69" t="str">
        <f t="shared" si="0"/>
        <v>HOMES_2022</v>
      </c>
      <c r="L12" s="69" t="str">
        <f t="shared" si="0"/>
        <v>HOMES_2023</v>
      </c>
      <c r="M12" s="69" t="str">
        <f t="shared" si="0"/>
        <v>HOMES_2024</v>
      </c>
      <c r="N12" s="69" t="str">
        <f t="shared" si="0"/>
        <v>HOMES_2025</v>
      </c>
      <c r="O12" s="69" t="str">
        <f t="shared" si="0"/>
        <v>HOMES_2026</v>
      </c>
      <c r="P12" s="69" t="str">
        <f t="shared" si="0"/>
        <v>HOMES_2027</v>
      </c>
      <c r="Q12" s="69" t="str">
        <f t="shared" si="0"/>
        <v>HOMES_2028</v>
      </c>
      <c r="R12" s="69" t="str">
        <f t="shared" si="0"/>
        <v>HOMES_2029</v>
      </c>
      <c r="S12" s="69" t="str">
        <f t="shared" si="0"/>
        <v>HOMES_2030</v>
      </c>
      <c r="T12" s="69" t="str">
        <f t="shared" si="0"/>
        <v>HOMES_2031</v>
      </c>
      <c r="U12" s="69" t="str">
        <f t="shared" si="0"/>
        <v>HOMES_2032</v>
      </c>
      <c r="V12" s="69" t="str">
        <f t="shared" si="0"/>
        <v>HOMES_2033</v>
      </c>
      <c r="W12" s="69" t="str">
        <f t="shared" si="0"/>
        <v>HOMES_2034</v>
      </c>
      <c r="X12" s="69" t="str">
        <f t="shared" si="0"/>
        <v>HOMES_2035</v>
      </c>
      <c r="Y12" s="70"/>
      <c r="Z12"/>
    </row>
    <row r="13" spans="1:68">
      <c r="C13" s="1" t="s">
        <v>29</v>
      </c>
      <c r="E13" s="31">
        <f>INDEX([1]!tbl_Forecast,MATCH($D$8&amp;$C13&amp;$D$7,[1]!rng_ForecastRowLookup,0),MATCH(E$11,[1]!rng_ForecastColumnLookup,0))</f>
        <v>4203528.2719999999</v>
      </c>
      <c r="F13" s="31"/>
      <c r="G13" s="31"/>
      <c r="H13" s="31"/>
      <c r="I13" s="31"/>
      <c r="J13" s="31"/>
      <c r="K13" s="31"/>
      <c r="L13" s="31"/>
      <c r="M13" s="31"/>
      <c r="N13" s="31"/>
      <c r="O13" s="31"/>
      <c r="P13" s="31"/>
      <c r="Q13" s="31"/>
      <c r="R13" s="31"/>
      <c r="S13" s="31"/>
      <c r="T13" s="31"/>
      <c r="U13" s="31"/>
      <c r="V13" s="31"/>
      <c r="W13" s="31"/>
      <c r="X13" s="31"/>
      <c r="Y13" s="31"/>
      <c r="Z13"/>
    </row>
    <row r="14" spans="1:68">
      <c r="C14" s="1" t="s">
        <v>32</v>
      </c>
      <c r="E14" s="31">
        <f>INDEX([1]!tbl_Forecast,MATCH($D$8&amp;$C14&amp;$D$7,[1]!rng_ForecastRowLookup,0),MATCH(E$11,[1]!rng_ForecastColumnLookup,0))</f>
        <v>926243.25609262148</v>
      </c>
      <c r="F14" s="31"/>
      <c r="G14" s="31"/>
      <c r="H14" s="31"/>
      <c r="I14" s="31"/>
      <c r="J14" s="31"/>
      <c r="K14" s="31"/>
      <c r="L14" s="31"/>
      <c r="M14" s="31"/>
      <c r="N14" s="31"/>
      <c r="O14" s="31"/>
      <c r="P14" s="31"/>
      <c r="Q14" s="31"/>
      <c r="R14" s="31"/>
      <c r="S14" s="31"/>
      <c r="T14" s="31"/>
      <c r="U14" s="31"/>
      <c r="V14" s="31"/>
      <c r="W14" s="31"/>
      <c r="X14" s="31"/>
      <c r="Y14" s="31"/>
      <c r="Z14" s="31"/>
    </row>
    <row r="15" spans="1:68">
      <c r="C15" s="1" t="s">
        <v>33</v>
      </c>
      <c r="E15" s="31">
        <f>INDEX([1]!tbl_Forecast,MATCH($D$8&amp;$C15&amp;$D$7,[1]!rng_ForecastRowLookup,0),MATCH(E$11,[1]!rng_ForecastColumnLookup,0))</f>
        <v>211180.07985625503</v>
      </c>
      <c r="F15" s="31"/>
      <c r="G15" s="31"/>
      <c r="H15" s="31"/>
      <c r="I15" s="31"/>
      <c r="J15" s="31"/>
      <c r="K15" s="31"/>
      <c r="L15" s="31"/>
      <c r="M15" s="31"/>
      <c r="N15" s="31"/>
      <c r="O15" s="31"/>
      <c r="P15" s="31"/>
      <c r="Q15" s="31"/>
      <c r="R15" s="31"/>
      <c r="S15" s="31"/>
      <c r="T15" s="31"/>
      <c r="U15" s="31"/>
      <c r="V15" s="31"/>
      <c r="W15" s="31"/>
      <c r="X15" s="31"/>
      <c r="Y15" s="31"/>
      <c r="Z15" s="31"/>
    </row>
    <row r="16" spans="1:68">
      <c r="C16" s="1" t="s">
        <v>30</v>
      </c>
      <c r="E16" s="31">
        <f>INDEX([1]!tbl_Forecast,MATCH($D$8&amp;$C16&amp;$D$7,[1]!rng_ForecastRowLookup,0),MATCH(E$11,[1]!rng_ForecastColumnLookup,0))</f>
        <v>572006.3278356482</v>
      </c>
      <c r="F16" s="31"/>
      <c r="G16" s="31"/>
      <c r="H16" s="31"/>
      <c r="I16" s="31"/>
      <c r="J16" s="31"/>
      <c r="K16" s="31"/>
      <c r="L16" s="31"/>
      <c r="M16" s="31"/>
      <c r="N16" s="31"/>
      <c r="O16" s="31"/>
      <c r="P16" s="31"/>
      <c r="Q16" s="31"/>
      <c r="R16" s="31"/>
      <c r="S16" s="31"/>
      <c r="T16" s="31"/>
      <c r="U16" s="31"/>
      <c r="V16" s="31"/>
      <c r="W16" s="31"/>
      <c r="X16" s="31"/>
      <c r="Y16" s="31"/>
      <c r="Z16" s="31"/>
    </row>
    <row r="17" spans="1:32">
      <c r="E17" s="31"/>
      <c r="F17" s="31"/>
      <c r="G17" s="31"/>
      <c r="H17" s="31"/>
      <c r="I17" s="31"/>
      <c r="J17" s="31"/>
      <c r="K17" s="31"/>
      <c r="L17" s="31"/>
      <c r="M17" s="31"/>
      <c r="N17" s="31"/>
      <c r="O17" s="31"/>
      <c r="P17" s="31"/>
      <c r="Q17" s="31"/>
      <c r="R17" s="31"/>
      <c r="S17" s="31"/>
      <c r="T17" s="31"/>
      <c r="U17" s="31"/>
      <c r="V17" s="31"/>
      <c r="W17" s="31"/>
      <c r="X17" s="31"/>
      <c r="Y17" s="31"/>
    </row>
    <row r="18" spans="1:32">
      <c r="B18" s="1" t="s">
        <v>67</v>
      </c>
      <c r="C18" s="1" t="s">
        <v>68</v>
      </c>
      <c r="E18" s="31">
        <f t="shared" ref="E18" si="1">SUM(E13:E16)</f>
        <v>5912957.9357845243</v>
      </c>
      <c r="F18" s="31"/>
      <c r="G18" s="31"/>
      <c r="H18" s="31"/>
      <c r="I18" s="31"/>
      <c r="J18" s="31"/>
      <c r="K18" s="31"/>
      <c r="L18" s="31"/>
      <c r="M18" s="31"/>
      <c r="N18" s="31"/>
      <c r="O18" s="31"/>
      <c r="P18" s="31"/>
      <c r="Q18" s="31"/>
      <c r="R18" s="31"/>
      <c r="S18" s="31"/>
      <c r="T18" s="31"/>
      <c r="U18" s="31"/>
      <c r="V18" s="31"/>
      <c r="W18" s="31"/>
      <c r="X18" s="31"/>
      <c r="Y18" s="31"/>
      <c r="Z18" s="31"/>
    </row>
    <row r="19" spans="1:32">
      <c r="E19" s="31"/>
      <c r="F19" s="31"/>
      <c r="G19" s="31"/>
      <c r="H19" s="31"/>
      <c r="I19" s="31"/>
      <c r="J19" s="31"/>
      <c r="K19" s="31"/>
      <c r="L19" s="31"/>
      <c r="M19" s="31"/>
      <c r="N19" s="31"/>
      <c r="O19" s="31"/>
      <c r="P19" s="31"/>
      <c r="Q19" s="31"/>
      <c r="R19" s="31"/>
      <c r="S19" s="31"/>
      <c r="T19" s="31"/>
      <c r="U19" s="31"/>
      <c r="V19" s="31"/>
      <c r="W19" s="31"/>
      <c r="X19" s="31"/>
      <c r="Y19" s="31"/>
    </row>
    <row r="20" spans="1:32">
      <c r="E20" s="31"/>
      <c r="F20" s="31"/>
      <c r="G20" s="31"/>
      <c r="H20" s="31"/>
      <c r="I20" s="31"/>
      <c r="J20" s="31"/>
      <c r="K20" s="31"/>
      <c r="L20" s="31"/>
      <c r="M20" s="31"/>
      <c r="N20" s="31"/>
      <c r="O20" s="31"/>
      <c r="P20" s="31"/>
      <c r="Q20" s="31"/>
      <c r="R20" s="31"/>
      <c r="S20" s="31"/>
      <c r="T20" s="31"/>
      <c r="U20" s="31"/>
      <c r="V20" s="31"/>
      <c r="W20" s="31"/>
      <c r="X20" s="31"/>
      <c r="Y20" s="31"/>
    </row>
    <row r="21" spans="1:32" ht="15">
      <c r="A21" s="63" t="s">
        <v>155</v>
      </c>
      <c r="E21" s="31"/>
      <c r="F21" s="31"/>
      <c r="G21" s="31"/>
      <c r="H21" s="31"/>
      <c r="I21" s="31"/>
      <c r="J21" s="31"/>
      <c r="K21" s="31"/>
      <c r="L21" s="31"/>
      <c r="M21" s="31"/>
      <c r="N21" s="31"/>
      <c r="O21" s="31"/>
      <c r="P21" s="31"/>
      <c r="Q21" s="31"/>
      <c r="R21" s="31"/>
      <c r="S21" s="31"/>
      <c r="T21" s="31"/>
      <c r="U21" s="31"/>
      <c r="V21" s="31"/>
      <c r="W21" s="31"/>
      <c r="X21" s="31"/>
      <c r="Y21" s="31"/>
    </row>
    <row r="22" spans="1:32" ht="15">
      <c r="A22" s="1" t="s">
        <v>811</v>
      </c>
      <c r="E22" s="61">
        <v>1</v>
      </c>
      <c r="F22" s="61">
        <v>2</v>
      </c>
      <c r="G22" s="61">
        <v>3</v>
      </c>
      <c r="H22" s="61">
        <v>4</v>
      </c>
      <c r="I22" s="61">
        <v>5</v>
      </c>
      <c r="J22" s="61">
        <v>6</v>
      </c>
      <c r="K22" s="61">
        <v>7</v>
      </c>
      <c r="L22" s="61">
        <v>8</v>
      </c>
      <c r="M22" s="61">
        <v>9</v>
      </c>
      <c r="N22" s="61">
        <v>10</v>
      </c>
      <c r="O22" s="61">
        <v>11</v>
      </c>
      <c r="P22" s="61">
        <v>12</v>
      </c>
      <c r="Q22" s="61">
        <v>13</v>
      </c>
      <c r="R22" s="61">
        <v>14</v>
      </c>
      <c r="S22" s="61">
        <v>15</v>
      </c>
      <c r="T22" s="61">
        <v>16</v>
      </c>
      <c r="U22" s="61">
        <v>17</v>
      </c>
      <c r="V22" s="61">
        <v>18</v>
      </c>
      <c r="W22" s="61">
        <v>19</v>
      </c>
      <c r="X22" s="61">
        <v>20</v>
      </c>
      <c r="Y22" s="61"/>
    </row>
    <row r="23" spans="1:32">
      <c r="C23" s="1" t="str">
        <f>C13</f>
        <v>Single Family</v>
      </c>
      <c r="E23" s="31"/>
      <c r="F23" s="31"/>
      <c r="G23" s="31"/>
      <c r="H23" s="31"/>
      <c r="I23" s="31"/>
      <c r="J23" s="31"/>
      <c r="K23" s="31"/>
      <c r="L23" s="31"/>
      <c r="M23" s="31"/>
      <c r="N23" s="31"/>
      <c r="O23" s="31"/>
      <c r="P23" s="31"/>
      <c r="Q23" s="31"/>
      <c r="R23" s="31"/>
      <c r="S23" s="31"/>
      <c r="T23" s="31"/>
      <c r="U23" s="31"/>
      <c r="V23" s="31"/>
      <c r="W23" s="31"/>
      <c r="X23" s="31"/>
      <c r="Y23" s="31"/>
      <c r="Z23" s="31"/>
      <c r="AB23" s="31"/>
      <c r="AC23" s="31"/>
      <c r="AD23" s="31"/>
      <c r="AE23" s="31"/>
      <c r="AF23" s="31"/>
    </row>
    <row r="24" spans="1:32">
      <c r="C24" s="1" t="str">
        <f t="shared" ref="C24:C26" si="2">C14</f>
        <v>Multifamily - Low Rise</v>
      </c>
      <c r="E24" s="31"/>
      <c r="F24" s="31"/>
      <c r="G24" s="31"/>
      <c r="H24" s="31"/>
      <c r="I24" s="31"/>
      <c r="J24" s="31"/>
      <c r="K24" s="31"/>
      <c r="L24" s="31"/>
      <c r="M24" s="31"/>
      <c r="N24" s="31"/>
      <c r="O24" s="31"/>
      <c r="P24" s="31"/>
      <c r="Q24" s="31"/>
      <c r="R24" s="31"/>
      <c r="S24" s="31"/>
      <c r="T24" s="31"/>
      <c r="U24" s="31"/>
      <c r="V24" s="31"/>
      <c r="W24" s="31"/>
      <c r="X24" s="31"/>
      <c r="Y24" s="31"/>
      <c r="Z24" s="31"/>
      <c r="AB24" s="31"/>
      <c r="AC24" s="31"/>
      <c r="AD24" s="31"/>
      <c r="AE24" s="31"/>
      <c r="AF24" s="31"/>
    </row>
    <row r="25" spans="1:32">
      <c r="C25" s="1" t="str">
        <f t="shared" si="2"/>
        <v>Multifamily - High Rise</v>
      </c>
      <c r="E25" s="31"/>
      <c r="F25" s="31"/>
      <c r="G25" s="31"/>
      <c r="H25" s="31"/>
      <c r="I25" s="31"/>
      <c r="J25" s="31"/>
      <c r="K25" s="31"/>
      <c r="L25" s="31"/>
      <c r="M25" s="31"/>
      <c r="N25" s="31"/>
      <c r="O25" s="31"/>
      <c r="P25" s="31"/>
      <c r="Q25" s="31"/>
      <c r="R25" s="31"/>
      <c r="S25" s="31"/>
      <c r="T25" s="31"/>
      <c r="U25" s="31"/>
      <c r="V25" s="31"/>
      <c r="W25" s="31"/>
      <c r="X25" s="31"/>
      <c r="Y25" s="31"/>
      <c r="Z25" s="31"/>
      <c r="AB25" s="31"/>
      <c r="AC25" s="31"/>
      <c r="AD25" s="31"/>
      <c r="AE25" s="31"/>
      <c r="AF25" s="31"/>
    </row>
    <row r="26" spans="1:32">
      <c r="C26" s="1" t="str">
        <f t="shared" si="2"/>
        <v>Manufactured</v>
      </c>
      <c r="E26" s="31"/>
      <c r="F26" s="31"/>
      <c r="G26" s="31"/>
      <c r="H26" s="31"/>
      <c r="I26" s="31"/>
      <c r="J26" s="31"/>
      <c r="K26" s="31"/>
      <c r="L26" s="31"/>
      <c r="M26" s="31"/>
      <c r="N26" s="31"/>
      <c r="O26" s="31"/>
      <c r="P26" s="31"/>
      <c r="Q26" s="31"/>
      <c r="R26" s="31"/>
      <c r="S26" s="31"/>
      <c r="T26" s="31"/>
      <c r="U26" s="31"/>
      <c r="V26" s="31"/>
      <c r="W26" s="31"/>
      <c r="X26" s="31"/>
      <c r="Y26" s="31"/>
      <c r="Z26" s="31"/>
      <c r="AB26" s="31"/>
      <c r="AC26" s="31"/>
      <c r="AD26" s="31"/>
      <c r="AE26" s="31"/>
      <c r="AF26" s="31"/>
    </row>
    <row r="27" spans="1:32">
      <c r="E27" s="31"/>
      <c r="F27" s="31"/>
      <c r="G27" s="31"/>
      <c r="H27" s="31"/>
      <c r="I27" s="31"/>
      <c r="J27" s="31"/>
      <c r="K27" s="31"/>
      <c r="L27" s="31"/>
      <c r="M27" s="31"/>
      <c r="N27" s="31"/>
      <c r="O27" s="31"/>
      <c r="P27" s="31"/>
      <c r="Q27" s="31"/>
      <c r="R27" s="31"/>
      <c r="S27" s="31"/>
      <c r="T27" s="31"/>
      <c r="U27" s="31"/>
      <c r="V27" s="31"/>
      <c r="W27" s="31"/>
      <c r="X27" s="31"/>
      <c r="Y27" s="31"/>
      <c r="Z27" s="31"/>
      <c r="AB27" s="31"/>
      <c r="AC27" s="31"/>
      <c r="AD27" s="31"/>
      <c r="AE27" s="31"/>
      <c r="AF27" s="31"/>
    </row>
    <row r="28" spans="1:32">
      <c r="C28" s="1" t="s">
        <v>157</v>
      </c>
      <c r="E28" s="31">
        <f t="shared" ref="E28:X28" si="3">SUM(E23:E26)</f>
        <v>0</v>
      </c>
      <c r="F28" s="31">
        <f t="shared" si="3"/>
        <v>0</v>
      </c>
      <c r="G28" s="31">
        <f t="shared" si="3"/>
        <v>0</v>
      </c>
      <c r="H28" s="31">
        <f t="shared" si="3"/>
        <v>0</v>
      </c>
      <c r="I28" s="31">
        <f t="shared" si="3"/>
        <v>0</v>
      </c>
      <c r="J28" s="31">
        <f t="shared" si="3"/>
        <v>0</v>
      </c>
      <c r="K28" s="31">
        <f t="shared" si="3"/>
        <v>0</v>
      </c>
      <c r="L28" s="31">
        <f t="shared" si="3"/>
        <v>0</v>
      </c>
      <c r="M28" s="31">
        <f t="shared" si="3"/>
        <v>0</v>
      </c>
      <c r="N28" s="31">
        <f t="shared" si="3"/>
        <v>0</v>
      </c>
      <c r="O28" s="31">
        <f t="shared" si="3"/>
        <v>0</v>
      </c>
      <c r="P28" s="31">
        <f t="shared" si="3"/>
        <v>0</v>
      </c>
      <c r="Q28" s="31">
        <f t="shared" si="3"/>
        <v>0</v>
      </c>
      <c r="R28" s="31">
        <f t="shared" si="3"/>
        <v>0</v>
      </c>
      <c r="S28" s="31">
        <f t="shared" si="3"/>
        <v>0</v>
      </c>
      <c r="T28" s="31">
        <f t="shared" si="3"/>
        <v>0</v>
      </c>
      <c r="U28" s="31">
        <f t="shared" si="3"/>
        <v>0</v>
      </c>
      <c r="V28" s="31">
        <f t="shared" si="3"/>
        <v>0</v>
      </c>
      <c r="W28" s="31">
        <f t="shared" si="3"/>
        <v>0</v>
      </c>
      <c r="X28" s="31">
        <f t="shared" si="3"/>
        <v>0</v>
      </c>
      <c r="Y28" s="31"/>
      <c r="Z28" s="31"/>
      <c r="AB28" s="31"/>
      <c r="AC28" s="31"/>
      <c r="AD28" s="31"/>
      <c r="AE28" s="31"/>
      <c r="AF28" s="31"/>
    </row>
    <row r="29" spans="1:32">
      <c r="E29" s="31"/>
      <c r="F29" s="31"/>
      <c r="G29" s="31"/>
      <c r="H29" s="31"/>
      <c r="I29" s="31"/>
      <c r="J29" s="31"/>
      <c r="K29" s="31"/>
      <c r="L29" s="31"/>
      <c r="M29" s="31"/>
      <c r="N29" s="31"/>
      <c r="O29" s="31"/>
      <c r="P29" s="31"/>
      <c r="Q29" s="31"/>
      <c r="R29" s="31"/>
      <c r="S29" s="31"/>
      <c r="T29" s="31"/>
      <c r="U29" s="31"/>
      <c r="V29" s="31"/>
      <c r="W29" s="31"/>
      <c r="X29" s="31"/>
      <c r="Y29" s="31"/>
    </row>
    <row r="30" spans="1:32">
      <c r="E30" s="31"/>
      <c r="F30" s="31"/>
      <c r="G30" s="31"/>
      <c r="H30" s="31"/>
      <c r="I30" s="31"/>
      <c r="J30" s="31"/>
      <c r="K30" s="31"/>
      <c r="L30" s="31"/>
      <c r="M30" s="31"/>
      <c r="N30" s="31"/>
      <c r="O30" s="31"/>
      <c r="P30" s="31"/>
      <c r="Q30" s="31"/>
      <c r="R30" s="31"/>
      <c r="S30" s="31"/>
      <c r="T30" s="31"/>
      <c r="U30" s="31"/>
      <c r="V30" s="31"/>
      <c r="W30" s="31"/>
      <c r="X30" s="31"/>
      <c r="Y30" s="31"/>
    </row>
    <row r="31" spans="1:32" ht="15">
      <c r="A31" s="63" t="s">
        <v>158</v>
      </c>
      <c r="E31" s="31"/>
      <c r="F31" s="31"/>
      <c r="G31" s="31"/>
      <c r="H31" s="31"/>
      <c r="I31" s="31"/>
      <c r="J31" s="31"/>
      <c r="K31" s="31"/>
      <c r="L31" s="31"/>
      <c r="M31" s="31"/>
      <c r="N31" s="31"/>
      <c r="O31" s="31"/>
      <c r="P31" s="31"/>
      <c r="Q31" s="31"/>
      <c r="R31" s="31"/>
      <c r="S31" s="31"/>
      <c r="T31" s="31"/>
      <c r="U31" s="31"/>
      <c r="V31" s="31"/>
      <c r="W31" s="31"/>
      <c r="X31" s="31"/>
      <c r="Y31" s="31"/>
      <c r="Z31" s="81">
        <v>0.85</v>
      </c>
    </row>
    <row r="32" spans="1:32">
      <c r="E32" s="31">
        <v>2</v>
      </c>
      <c r="F32" s="31">
        <v>3</v>
      </c>
      <c r="G32" s="31">
        <v>4</v>
      </c>
      <c r="H32" s="31">
        <v>5</v>
      </c>
      <c r="I32" s="31">
        <v>6</v>
      </c>
      <c r="J32" s="31">
        <v>7</v>
      </c>
      <c r="K32" s="31">
        <v>8</v>
      </c>
      <c r="L32" s="31">
        <v>9</v>
      </c>
      <c r="M32" s="31">
        <v>10</v>
      </c>
      <c r="N32" s="31">
        <v>11</v>
      </c>
      <c r="O32" s="31">
        <v>12</v>
      </c>
      <c r="P32" s="31">
        <v>13</v>
      </c>
      <c r="Q32" s="31">
        <v>14</v>
      </c>
      <c r="R32" s="31">
        <v>15</v>
      </c>
      <c r="S32" s="31">
        <v>16</v>
      </c>
      <c r="T32" s="31">
        <v>17</v>
      </c>
      <c r="U32" s="31">
        <v>18</v>
      </c>
      <c r="V32" s="31">
        <v>19</v>
      </c>
      <c r="W32" s="31">
        <v>20</v>
      </c>
      <c r="X32" s="31">
        <v>21</v>
      </c>
      <c r="Y32" s="31"/>
      <c r="Z32" s="82" t="s">
        <v>159</v>
      </c>
    </row>
    <row r="33" spans="1:30">
      <c r="C33" s="1" t="str">
        <f>C13</f>
        <v>Single Family</v>
      </c>
      <c r="E33" s="31">
        <f>SUM(E13,E23)</f>
        <v>4203528.2719999999</v>
      </c>
      <c r="F33" s="31">
        <f t="shared" ref="F33:X36" si="4">SUM(F13,F23)</f>
        <v>0</v>
      </c>
      <c r="G33" s="31">
        <f t="shared" si="4"/>
        <v>0</v>
      </c>
      <c r="H33" s="31">
        <f t="shared" si="4"/>
        <v>0</v>
      </c>
      <c r="I33" s="31">
        <f t="shared" si="4"/>
        <v>0</v>
      </c>
      <c r="J33" s="31">
        <f t="shared" si="4"/>
        <v>0</v>
      </c>
      <c r="K33" s="31">
        <f t="shared" si="4"/>
        <v>0</v>
      </c>
      <c r="L33" s="31">
        <f t="shared" si="4"/>
        <v>0</v>
      </c>
      <c r="M33" s="31">
        <f>SUM(M13,M23)</f>
        <v>0</v>
      </c>
      <c r="N33" s="31">
        <f t="shared" si="4"/>
        <v>0</v>
      </c>
      <c r="O33" s="31">
        <f t="shared" si="4"/>
        <v>0</v>
      </c>
      <c r="P33" s="31">
        <f t="shared" si="4"/>
        <v>0</v>
      </c>
      <c r="Q33" s="31">
        <f t="shared" si="4"/>
        <v>0</v>
      </c>
      <c r="R33" s="31">
        <f t="shared" si="4"/>
        <v>0</v>
      </c>
      <c r="S33" s="31">
        <f>SUM(S13,S23)</f>
        <v>0</v>
      </c>
      <c r="T33" s="31">
        <f t="shared" si="4"/>
        <v>0</v>
      </c>
      <c r="U33" s="31">
        <f t="shared" si="4"/>
        <v>0</v>
      </c>
      <c r="V33" s="31">
        <f t="shared" si="4"/>
        <v>0</v>
      </c>
      <c r="W33" s="31">
        <f t="shared" si="4"/>
        <v>0</v>
      </c>
      <c r="X33" s="31">
        <f t="shared" si="4"/>
        <v>0</v>
      </c>
      <c r="Y33" s="31"/>
      <c r="Z33" s="83">
        <f>E33*$Z$31*A43*B43</f>
        <v>225098938.96559998</v>
      </c>
    </row>
    <row r="34" spans="1:30">
      <c r="C34" s="1" t="str">
        <f t="shared" ref="C34:C36" si="5">C14</f>
        <v>Multifamily - Low Rise</v>
      </c>
      <c r="E34" s="31">
        <f>SUM(E14,E24)</f>
        <v>926243.25609262148</v>
      </c>
      <c r="F34" s="31">
        <f t="shared" si="4"/>
        <v>0</v>
      </c>
      <c r="G34" s="31">
        <f t="shared" si="4"/>
        <v>0</v>
      </c>
      <c r="H34" s="31">
        <f t="shared" si="4"/>
        <v>0</v>
      </c>
      <c r="I34" s="31">
        <f t="shared" si="4"/>
        <v>0</v>
      </c>
      <c r="J34" s="31">
        <f t="shared" si="4"/>
        <v>0</v>
      </c>
      <c r="K34" s="31">
        <f t="shared" si="4"/>
        <v>0</v>
      </c>
      <c r="L34" s="31">
        <f t="shared" si="4"/>
        <v>0</v>
      </c>
      <c r="M34" s="31">
        <f t="shared" si="4"/>
        <v>0</v>
      </c>
      <c r="N34" s="31">
        <f t="shared" si="4"/>
        <v>0</v>
      </c>
      <c r="O34" s="31">
        <f t="shared" si="4"/>
        <v>0</v>
      </c>
      <c r="P34" s="31">
        <f t="shared" si="4"/>
        <v>0</v>
      </c>
      <c r="Q34" s="31">
        <f t="shared" si="4"/>
        <v>0</v>
      </c>
      <c r="R34" s="31">
        <f t="shared" si="4"/>
        <v>0</v>
      </c>
      <c r="S34" s="31">
        <f t="shared" si="4"/>
        <v>0</v>
      </c>
      <c r="T34" s="31">
        <f t="shared" si="4"/>
        <v>0</v>
      </c>
      <c r="U34" s="31">
        <f t="shared" si="4"/>
        <v>0</v>
      </c>
      <c r="V34" s="31">
        <f t="shared" si="4"/>
        <v>0</v>
      </c>
      <c r="W34" s="31">
        <f t="shared" si="4"/>
        <v>0</v>
      </c>
      <c r="X34" s="31">
        <f t="shared" si="4"/>
        <v>0</v>
      </c>
      <c r="Y34" s="31"/>
      <c r="Z34" s="83">
        <f t="shared" ref="Z34:Z36" si="6">E34*$Z$31*A44*B44</f>
        <v>18108055.65661075</v>
      </c>
    </row>
    <row r="35" spans="1:30">
      <c r="C35" s="1" t="str">
        <f t="shared" si="5"/>
        <v>Multifamily - High Rise</v>
      </c>
      <c r="E35" s="31">
        <f>SUM(E15,E25)</f>
        <v>211180.07985625503</v>
      </c>
      <c r="F35" s="31">
        <f t="shared" si="4"/>
        <v>0</v>
      </c>
      <c r="G35" s="31">
        <f t="shared" si="4"/>
        <v>0</v>
      </c>
      <c r="H35" s="31">
        <f t="shared" si="4"/>
        <v>0</v>
      </c>
      <c r="I35" s="31">
        <f t="shared" si="4"/>
        <v>0</v>
      </c>
      <c r="J35" s="31">
        <f t="shared" si="4"/>
        <v>0</v>
      </c>
      <c r="K35" s="31">
        <f t="shared" si="4"/>
        <v>0</v>
      </c>
      <c r="L35" s="31">
        <f t="shared" si="4"/>
        <v>0</v>
      </c>
      <c r="M35" s="31">
        <f t="shared" si="4"/>
        <v>0</v>
      </c>
      <c r="N35" s="31">
        <f t="shared" si="4"/>
        <v>0</v>
      </c>
      <c r="O35" s="31">
        <f t="shared" si="4"/>
        <v>0</v>
      </c>
      <c r="P35" s="31">
        <f t="shared" si="4"/>
        <v>0</v>
      </c>
      <c r="Q35" s="31">
        <f t="shared" si="4"/>
        <v>0</v>
      </c>
      <c r="R35" s="31">
        <f t="shared" si="4"/>
        <v>0</v>
      </c>
      <c r="S35" s="31">
        <f t="shared" si="4"/>
        <v>0</v>
      </c>
      <c r="T35" s="31">
        <f t="shared" si="4"/>
        <v>0</v>
      </c>
      <c r="U35" s="31">
        <f t="shared" si="4"/>
        <v>0</v>
      </c>
      <c r="V35" s="31">
        <f t="shared" si="4"/>
        <v>0</v>
      </c>
      <c r="W35" s="31">
        <f t="shared" si="4"/>
        <v>0</v>
      </c>
      <c r="X35" s="31">
        <f t="shared" si="4"/>
        <v>0</v>
      </c>
      <c r="Y35" s="31"/>
      <c r="Z35" s="83">
        <f t="shared" si="6"/>
        <v>4128570.5611897856</v>
      </c>
    </row>
    <row r="36" spans="1:30">
      <c r="C36" s="1" t="str">
        <f t="shared" si="5"/>
        <v>Manufactured</v>
      </c>
      <c r="E36" s="31">
        <f>SUM(E16,E26)</f>
        <v>572006.3278356482</v>
      </c>
      <c r="F36" s="31">
        <f t="shared" si="4"/>
        <v>0</v>
      </c>
      <c r="G36" s="31">
        <f t="shared" si="4"/>
        <v>0</v>
      </c>
      <c r="H36" s="31">
        <f t="shared" si="4"/>
        <v>0</v>
      </c>
      <c r="I36" s="31">
        <f t="shared" si="4"/>
        <v>0</v>
      </c>
      <c r="J36" s="31">
        <f t="shared" si="4"/>
        <v>0</v>
      </c>
      <c r="K36" s="31">
        <f t="shared" si="4"/>
        <v>0</v>
      </c>
      <c r="L36" s="31">
        <f t="shared" si="4"/>
        <v>0</v>
      </c>
      <c r="M36" s="31">
        <f t="shared" si="4"/>
        <v>0</v>
      </c>
      <c r="N36" s="31">
        <f t="shared" si="4"/>
        <v>0</v>
      </c>
      <c r="O36" s="31">
        <f t="shared" si="4"/>
        <v>0</v>
      </c>
      <c r="P36" s="31">
        <f t="shared" si="4"/>
        <v>0</v>
      </c>
      <c r="Q36" s="31">
        <f t="shared" si="4"/>
        <v>0</v>
      </c>
      <c r="R36" s="31">
        <f t="shared" si="4"/>
        <v>0</v>
      </c>
      <c r="S36" s="31">
        <f t="shared" si="4"/>
        <v>0</v>
      </c>
      <c r="T36" s="31">
        <f t="shared" si="4"/>
        <v>0</v>
      </c>
      <c r="U36" s="31">
        <f t="shared" si="4"/>
        <v>0</v>
      </c>
      <c r="V36" s="31">
        <f t="shared" si="4"/>
        <v>0</v>
      </c>
      <c r="W36" s="31">
        <f t="shared" si="4"/>
        <v>0</v>
      </c>
      <c r="X36" s="31">
        <f t="shared" si="4"/>
        <v>0</v>
      </c>
      <c r="Y36" s="31"/>
      <c r="Z36" s="83">
        <f t="shared" si="6"/>
        <v>16774085.563780384</v>
      </c>
    </row>
    <row r="37" spans="1:30">
      <c r="E37" s="31"/>
      <c r="F37" s="31"/>
      <c r="G37" s="31"/>
      <c r="H37" s="31"/>
      <c r="I37" s="31"/>
      <c r="J37" s="31"/>
      <c r="K37" s="31"/>
      <c r="L37" s="31"/>
      <c r="M37" s="31"/>
      <c r="N37" s="31"/>
      <c r="O37" s="31"/>
      <c r="P37" s="31"/>
      <c r="Q37" s="31"/>
      <c r="R37" s="31"/>
      <c r="S37" s="31"/>
      <c r="T37" s="31"/>
      <c r="U37" s="31"/>
      <c r="V37" s="31"/>
      <c r="W37" s="31"/>
      <c r="X37" s="31"/>
      <c r="Y37" s="31"/>
    </row>
    <row r="38" spans="1:30">
      <c r="E38" s="31">
        <f t="shared" ref="E38:Z38" si="7">SUM(E33:E36)</f>
        <v>5912957.9357845243</v>
      </c>
      <c r="F38" s="31">
        <f t="shared" si="7"/>
        <v>0</v>
      </c>
      <c r="G38" s="31">
        <f t="shared" si="7"/>
        <v>0</v>
      </c>
      <c r="H38" s="31">
        <f t="shared" si="7"/>
        <v>0</v>
      </c>
      <c r="I38" s="31">
        <f t="shared" si="7"/>
        <v>0</v>
      </c>
      <c r="J38" s="31">
        <f t="shared" si="7"/>
        <v>0</v>
      </c>
      <c r="K38" s="31">
        <f t="shared" si="7"/>
        <v>0</v>
      </c>
      <c r="L38" s="31">
        <f t="shared" si="7"/>
        <v>0</v>
      </c>
      <c r="M38" s="31">
        <f t="shared" si="7"/>
        <v>0</v>
      </c>
      <c r="N38" s="31">
        <f t="shared" si="7"/>
        <v>0</v>
      </c>
      <c r="O38" s="31">
        <f t="shared" si="7"/>
        <v>0</v>
      </c>
      <c r="P38" s="31">
        <f t="shared" si="7"/>
        <v>0</v>
      </c>
      <c r="Q38" s="31">
        <f t="shared" si="7"/>
        <v>0</v>
      </c>
      <c r="R38" s="31">
        <f t="shared" si="7"/>
        <v>0</v>
      </c>
      <c r="S38" s="31">
        <f t="shared" si="7"/>
        <v>0</v>
      </c>
      <c r="T38" s="31">
        <f t="shared" si="7"/>
        <v>0</v>
      </c>
      <c r="U38" s="31">
        <f t="shared" si="7"/>
        <v>0</v>
      </c>
      <c r="V38" s="31">
        <f t="shared" si="7"/>
        <v>0</v>
      </c>
      <c r="W38" s="31">
        <f t="shared" si="7"/>
        <v>0</v>
      </c>
      <c r="X38" s="31">
        <f t="shared" si="7"/>
        <v>0</v>
      </c>
      <c r="Y38" s="31"/>
      <c r="Z38" s="31">
        <f t="shared" si="7"/>
        <v>264109650.74718091</v>
      </c>
    </row>
    <row r="39" spans="1:30">
      <c r="E39" s="31"/>
      <c r="F39" s="31"/>
      <c r="G39" s="31"/>
      <c r="H39" s="31"/>
      <c r="I39" s="31"/>
      <c r="J39" s="31"/>
      <c r="K39" s="31"/>
      <c r="L39" s="31"/>
      <c r="M39" s="31"/>
      <c r="N39" s="31"/>
      <c r="O39" s="31"/>
      <c r="P39" s="31"/>
      <c r="Q39" s="31"/>
      <c r="R39" s="31"/>
      <c r="S39" s="31"/>
      <c r="T39" s="31"/>
      <c r="U39" s="31"/>
      <c r="V39" s="31"/>
      <c r="W39" s="31"/>
      <c r="X39" s="31"/>
      <c r="Y39" s="31"/>
    </row>
    <row r="40" spans="1:30">
      <c r="E40" s="31"/>
      <c r="F40" s="31"/>
      <c r="G40" s="31"/>
      <c r="H40" s="31"/>
      <c r="I40" s="31"/>
      <c r="J40" s="31"/>
      <c r="K40" s="31"/>
      <c r="L40" s="31"/>
      <c r="M40" s="31"/>
      <c r="N40" s="31"/>
      <c r="O40" s="31"/>
      <c r="P40" s="31"/>
      <c r="Q40" s="31"/>
      <c r="R40" s="31"/>
      <c r="S40" s="31"/>
      <c r="T40" s="31"/>
      <c r="U40" s="31"/>
      <c r="V40" s="31"/>
      <c r="W40" s="31"/>
      <c r="X40" s="31"/>
      <c r="Y40" s="31"/>
    </row>
    <row r="41" spans="1:30" ht="15">
      <c r="A41" s="60" t="s">
        <v>160</v>
      </c>
      <c r="B41" s="60"/>
      <c r="E41" s="58"/>
      <c r="F41" s="58"/>
      <c r="G41" s="31"/>
      <c r="H41" s="31"/>
      <c r="I41" s="31"/>
      <c r="J41" s="31"/>
      <c r="K41" s="31"/>
      <c r="L41" s="31"/>
      <c r="M41" s="31"/>
      <c r="N41" s="31"/>
      <c r="O41" s="31"/>
      <c r="P41" s="31"/>
      <c r="Q41" s="31"/>
      <c r="R41" s="31"/>
      <c r="S41" s="31"/>
      <c r="T41" s="31"/>
      <c r="U41" s="31"/>
      <c r="V41" s="31"/>
      <c r="W41" s="31"/>
      <c r="X41" s="31"/>
      <c r="Y41" s="31"/>
    </row>
    <row r="42" spans="1:30" ht="15">
      <c r="A42" s="61" t="s">
        <v>69</v>
      </c>
      <c r="B42" s="61" t="s">
        <v>70</v>
      </c>
      <c r="C42" s="61" t="s">
        <v>161</v>
      </c>
      <c r="D42" s="61" t="str">
        <f>CONCATENATE(C8," - ",C7)</f>
        <v>Lighting - NR</v>
      </c>
      <c r="E42" s="78">
        <v>2016</v>
      </c>
      <c r="F42" s="79">
        <v>2017</v>
      </c>
      <c r="G42" s="79">
        <v>2018</v>
      </c>
      <c r="H42" s="79">
        <v>2019</v>
      </c>
      <c r="I42" s="79">
        <v>2020</v>
      </c>
      <c r="J42" s="79">
        <v>2021</v>
      </c>
      <c r="K42" s="79">
        <v>2022</v>
      </c>
      <c r="L42" s="79">
        <v>2023</v>
      </c>
      <c r="M42" s="79">
        <v>2024</v>
      </c>
      <c r="N42" s="79">
        <v>2025</v>
      </c>
      <c r="O42" s="79">
        <v>2026</v>
      </c>
      <c r="P42" s="79">
        <v>2027</v>
      </c>
      <c r="Q42" s="79">
        <v>2028</v>
      </c>
      <c r="R42" s="79">
        <v>2029</v>
      </c>
      <c r="S42" s="79">
        <v>2030</v>
      </c>
      <c r="T42" s="79">
        <v>2031</v>
      </c>
      <c r="U42" s="79">
        <v>2032</v>
      </c>
      <c r="V42" s="79">
        <v>2033</v>
      </c>
      <c r="W42" s="79">
        <v>2034</v>
      </c>
      <c r="X42" s="79">
        <v>2035</v>
      </c>
      <c r="Y42" s="80"/>
    </row>
    <row r="43" spans="1:30">
      <c r="A43" s="62">
        <f>INDEX([2]!ResApplic,MATCH($D$42,[2]APPLIC!$B$9:$B$120,0)+1,MATCH($D43,[2]APPLIC!$C$8:$F$8,0)+1)</f>
        <v>1</v>
      </c>
      <c r="B43" s="139">
        <f>VLOOKUP($C$8,[2]!ExistingSat,MATCH($D43,[2]SATS!$C$10:$F$10,0)+1,FALSE)</f>
        <v>63</v>
      </c>
      <c r="C43" s="62">
        <f>VLOOKUP($D$42,[2]TURN!$B$10:$F$78,MATCH(D43,$D$43:$D$46,0)+1,FALSE)</f>
        <v>0.125</v>
      </c>
      <c r="D43" s="1" t="str">
        <f>C13</f>
        <v>Single Family</v>
      </c>
      <c r="E43" s="31">
        <f>E13*$C43*$A43*$B43</f>
        <v>33102785.141999997</v>
      </c>
      <c r="F43" s="31">
        <f t="shared" ref="F43:X46" si="8">F13*$C43*$A43*$B43</f>
        <v>0</v>
      </c>
      <c r="G43" s="31">
        <f t="shared" si="8"/>
        <v>0</v>
      </c>
      <c r="H43" s="31">
        <f t="shared" si="8"/>
        <v>0</v>
      </c>
      <c r="I43" s="31">
        <f t="shared" si="8"/>
        <v>0</v>
      </c>
      <c r="J43" s="31">
        <f t="shared" si="8"/>
        <v>0</v>
      </c>
      <c r="K43" s="31">
        <f t="shared" si="8"/>
        <v>0</v>
      </c>
      <c r="L43" s="31">
        <f t="shared" si="8"/>
        <v>0</v>
      </c>
      <c r="M43" s="31">
        <f t="shared" si="8"/>
        <v>0</v>
      </c>
      <c r="N43" s="31">
        <f t="shared" si="8"/>
        <v>0</v>
      </c>
      <c r="O43" s="31">
        <f t="shared" si="8"/>
        <v>0</v>
      </c>
      <c r="P43" s="31">
        <f t="shared" si="8"/>
        <v>0</v>
      </c>
      <c r="Q43" s="31">
        <f t="shared" si="8"/>
        <v>0</v>
      </c>
      <c r="R43" s="31">
        <f t="shared" si="8"/>
        <v>0</v>
      </c>
      <c r="S43" s="31">
        <f t="shared" si="8"/>
        <v>0</v>
      </c>
      <c r="T43" s="31">
        <f t="shared" si="8"/>
        <v>0</v>
      </c>
      <c r="U43" s="31">
        <f t="shared" si="8"/>
        <v>0</v>
      </c>
      <c r="V43" s="31">
        <f t="shared" si="8"/>
        <v>0</v>
      </c>
      <c r="W43" s="31">
        <f t="shared" si="8"/>
        <v>0</v>
      </c>
      <c r="X43" s="31">
        <f t="shared" si="8"/>
        <v>0</v>
      </c>
      <c r="Y43" s="31"/>
      <c r="Z43" s="31">
        <f>E13*A43*B43*$Z$31*$C$43</f>
        <v>28137367.370699998</v>
      </c>
      <c r="AD43" s="31"/>
    </row>
    <row r="44" spans="1:30">
      <c r="A44" s="62">
        <f>INDEX([2]!ResApplic,MATCH($D$42,[2]APPLIC!$B$9:$B$120,0)+1,MATCH($D44,[2]APPLIC!$C$8:$F$8,0)+1)</f>
        <v>1</v>
      </c>
      <c r="B44" s="139">
        <f>VLOOKUP($C$8,[2]!ExistingSat,MATCH($D44,[2]SATS!$C$10:$F$10,0)+1,FALSE)</f>
        <v>23</v>
      </c>
      <c r="C44" s="62">
        <f>VLOOKUP($D$42,[2]TURN!$B$10:$F$78,MATCH(D44,$D$43:$D$46,0)+1,FALSE)</f>
        <v>0.125</v>
      </c>
      <c r="D44" s="1" t="str">
        <f t="shared" ref="D44:D46" si="9">C14</f>
        <v>Multifamily - Low Rise</v>
      </c>
      <c r="E44" s="31">
        <f t="shared" ref="E44:T45" si="10">E14*$C44*$A44*$B44</f>
        <v>2662949.3612662866</v>
      </c>
      <c r="F44" s="31">
        <f t="shared" si="10"/>
        <v>0</v>
      </c>
      <c r="G44" s="31">
        <f t="shared" si="10"/>
        <v>0</v>
      </c>
      <c r="H44" s="31">
        <f t="shared" si="10"/>
        <v>0</v>
      </c>
      <c r="I44" s="31">
        <f t="shared" si="10"/>
        <v>0</v>
      </c>
      <c r="J44" s="31">
        <f t="shared" si="10"/>
        <v>0</v>
      </c>
      <c r="K44" s="31">
        <f t="shared" si="10"/>
        <v>0</v>
      </c>
      <c r="L44" s="31">
        <f t="shared" si="10"/>
        <v>0</v>
      </c>
      <c r="M44" s="31">
        <f t="shared" si="10"/>
        <v>0</v>
      </c>
      <c r="N44" s="31">
        <f t="shared" si="10"/>
        <v>0</v>
      </c>
      <c r="O44" s="31">
        <f t="shared" si="10"/>
        <v>0</v>
      </c>
      <c r="P44" s="31">
        <f t="shared" si="10"/>
        <v>0</v>
      </c>
      <c r="Q44" s="31">
        <f t="shared" si="10"/>
        <v>0</v>
      </c>
      <c r="R44" s="31">
        <f t="shared" si="10"/>
        <v>0</v>
      </c>
      <c r="S44" s="31">
        <f t="shared" si="10"/>
        <v>0</v>
      </c>
      <c r="T44" s="31">
        <f t="shared" si="10"/>
        <v>0</v>
      </c>
      <c r="U44" s="31">
        <f t="shared" si="8"/>
        <v>0</v>
      </c>
      <c r="V44" s="31">
        <f t="shared" si="8"/>
        <v>0</v>
      </c>
      <c r="W44" s="31">
        <f t="shared" si="8"/>
        <v>0</v>
      </c>
      <c r="X44" s="31">
        <f t="shared" si="8"/>
        <v>0</v>
      </c>
      <c r="Y44" s="31"/>
      <c r="Z44" s="31">
        <f t="shared" ref="Z44:Z46" si="11">E14*A44*B44*$Z$31*$C$43</f>
        <v>2263506.9570763437</v>
      </c>
      <c r="AD44" s="31"/>
    </row>
    <row r="45" spans="1:30">
      <c r="A45" s="62">
        <f>INDEX([2]!ResApplic,MATCH($D$42,[2]APPLIC!$B$9:$B$120,0)+1,MATCH($D45,[2]APPLIC!$C$8:$F$8,0)+1)</f>
        <v>1</v>
      </c>
      <c r="B45" s="139">
        <f>VLOOKUP($C$8,[2]!ExistingSat,MATCH($D45,[2]SATS!$C$10:$F$10,0)+1,FALSE)</f>
        <v>23</v>
      </c>
      <c r="C45" s="62">
        <f>VLOOKUP($D$42,[2]TURN!$B$10:$F$78,MATCH(D45,$D$43:$D$46,0)+1,FALSE)</f>
        <v>0.125</v>
      </c>
      <c r="D45" s="1" t="str">
        <f t="shared" si="9"/>
        <v>Multifamily - High Rise</v>
      </c>
      <c r="E45" s="31">
        <f t="shared" si="10"/>
        <v>607142.72958673327</v>
      </c>
      <c r="F45" s="31">
        <f t="shared" si="8"/>
        <v>0</v>
      </c>
      <c r="G45" s="31">
        <f t="shared" si="8"/>
        <v>0</v>
      </c>
      <c r="H45" s="31">
        <f t="shared" si="8"/>
        <v>0</v>
      </c>
      <c r="I45" s="31">
        <f t="shared" si="8"/>
        <v>0</v>
      </c>
      <c r="J45" s="31">
        <f t="shared" si="8"/>
        <v>0</v>
      </c>
      <c r="K45" s="31">
        <f t="shared" si="8"/>
        <v>0</v>
      </c>
      <c r="L45" s="31">
        <f t="shared" si="8"/>
        <v>0</v>
      </c>
      <c r="M45" s="31">
        <f t="shared" si="8"/>
        <v>0</v>
      </c>
      <c r="N45" s="31">
        <f t="shared" si="8"/>
        <v>0</v>
      </c>
      <c r="O45" s="31">
        <f t="shared" si="8"/>
        <v>0</v>
      </c>
      <c r="P45" s="31">
        <f t="shared" si="8"/>
        <v>0</v>
      </c>
      <c r="Q45" s="31">
        <f t="shared" si="8"/>
        <v>0</v>
      </c>
      <c r="R45" s="31">
        <f t="shared" si="8"/>
        <v>0</v>
      </c>
      <c r="S45" s="31">
        <f t="shared" si="8"/>
        <v>0</v>
      </c>
      <c r="T45" s="31">
        <f t="shared" si="8"/>
        <v>0</v>
      </c>
      <c r="U45" s="31">
        <f t="shared" si="8"/>
        <v>0</v>
      </c>
      <c r="V45" s="31">
        <f t="shared" si="8"/>
        <v>0</v>
      </c>
      <c r="W45" s="31">
        <f t="shared" si="8"/>
        <v>0</v>
      </c>
      <c r="X45" s="31">
        <f t="shared" si="8"/>
        <v>0</v>
      </c>
      <c r="Y45" s="31"/>
      <c r="Z45" s="31">
        <f t="shared" si="11"/>
        <v>516071.32014872326</v>
      </c>
      <c r="AD45" s="31"/>
    </row>
    <row r="46" spans="1:30">
      <c r="A46" s="62">
        <f>INDEX([2]!ResApplic,MATCH($D$42,[2]APPLIC!$B$9:$B$120,0)+1,MATCH($D46,[2]APPLIC!$C$8:$F$8,0)+1)</f>
        <v>1</v>
      </c>
      <c r="B46" s="139">
        <f>VLOOKUP($C$8,[2]!ExistingSat,MATCH($D46,[2]SATS!$C$10:$F$10,0)+1,FALSE)</f>
        <v>34.5</v>
      </c>
      <c r="C46" s="62">
        <f>VLOOKUP($D$42,[2]TURN!$B$10:$F$78,MATCH(D46,$D$43:$D$46,0)+1,FALSE)</f>
        <v>0.125</v>
      </c>
      <c r="D46" s="1" t="str">
        <f t="shared" si="9"/>
        <v>Manufactured</v>
      </c>
      <c r="E46" s="31">
        <f>E16*$C46*$A46*$B46</f>
        <v>2466777.2887912327</v>
      </c>
      <c r="F46" s="31">
        <f t="shared" si="8"/>
        <v>0</v>
      </c>
      <c r="G46" s="31">
        <f t="shared" si="8"/>
        <v>0</v>
      </c>
      <c r="H46" s="31">
        <f t="shared" si="8"/>
        <v>0</v>
      </c>
      <c r="I46" s="31">
        <f t="shared" si="8"/>
        <v>0</v>
      </c>
      <c r="J46" s="31">
        <f t="shared" si="8"/>
        <v>0</v>
      </c>
      <c r="K46" s="31">
        <f t="shared" si="8"/>
        <v>0</v>
      </c>
      <c r="L46" s="31">
        <f t="shared" si="8"/>
        <v>0</v>
      </c>
      <c r="M46" s="31">
        <f t="shared" si="8"/>
        <v>0</v>
      </c>
      <c r="N46" s="31">
        <f t="shared" si="8"/>
        <v>0</v>
      </c>
      <c r="O46" s="31">
        <f t="shared" si="8"/>
        <v>0</v>
      </c>
      <c r="P46" s="31">
        <f t="shared" si="8"/>
        <v>0</v>
      </c>
      <c r="Q46" s="31">
        <f t="shared" si="8"/>
        <v>0</v>
      </c>
      <c r="R46" s="31">
        <f t="shared" si="8"/>
        <v>0</v>
      </c>
      <c r="S46" s="31">
        <f t="shared" si="8"/>
        <v>0</v>
      </c>
      <c r="T46" s="31">
        <f t="shared" si="8"/>
        <v>0</v>
      </c>
      <c r="U46" s="31">
        <f t="shared" si="8"/>
        <v>0</v>
      </c>
      <c r="V46" s="31">
        <f t="shared" si="8"/>
        <v>0</v>
      </c>
      <c r="W46" s="31">
        <f t="shared" si="8"/>
        <v>0</v>
      </c>
      <c r="X46" s="31">
        <f t="shared" si="8"/>
        <v>0</v>
      </c>
      <c r="Y46" s="31"/>
      <c r="Z46" s="31">
        <f t="shared" si="11"/>
        <v>2096760.6954725478</v>
      </c>
      <c r="AD46" s="31"/>
    </row>
    <row r="47" spans="1:30">
      <c r="E47" s="31"/>
      <c r="F47" s="31"/>
      <c r="G47" s="31"/>
      <c r="H47" s="31"/>
      <c r="I47" s="31"/>
      <c r="J47" s="31"/>
      <c r="K47" s="31"/>
      <c r="L47" s="31"/>
      <c r="M47" s="31"/>
      <c r="N47" s="31"/>
      <c r="O47" s="31"/>
      <c r="P47" s="31"/>
      <c r="Q47" s="31"/>
      <c r="R47" s="31"/>
      <c r="S47" s="31"/>
      <c r="T47" s="31"/>
      <c r="U47" s="31"/>
      <c r="V47" s="31"/>
      <c r="W47" s="31"/>
      <c r="X47" s="31"/>
      <c r="Y47" s="31"/>
    </row>
    <row r="48" spans="1:30">
      <c r="E48" s="31">
        <f t="shared" ref="E48:X48" si="12">SUM(E43:E46)</f>
        <v>38839654.52164425</v>
      </c>
      <c r="F48" s="31">
        <f t="shared" si="12"/>
        <v>0</v>
      </c>
      <c r="G48" s="31">
        <f t="shared" si="12"/>
        <v>0</v>
      </c>
      <c r="H48" s="31">
        <f t="shared" si="12"/>
        <v>0</v>
      </c>
      <c r="I48" s="31">
        <f t="shared" si="12"/>
        <v>0</v>
      </c>
      <c r="J48" s="31">
        <f t="shared" si="12"/>
        <v>0</v>
      </c>
      <c r="K48" s="31">
        <f t="shared" si="12"/>
        <v>0</v>
      </c>
      <c r="L48" s="31">
        <f t="shared" si="12"/>
        <v>0</v>
      </c>
      <c r="M48" s="31">
        <f t="shared" si="12"/>
        <v>0</v>
      </c>
      <c r="N48" s="31">
        <f t="shared" si="12"/>
        <v>0</v>
      </c>
      <c r="O48" s="31">
        <f t="shared" si="12"/>
        <v>0</v>
      </c>
      <c r="P48" s="31">
        <f t="shared" si="12"/>
        <v>0</v>
      </c>
      <c r="Q48" s="31">
        <f t="shared" si="12"/>
        <v>0</v>
      </c>
      <c r="R48" s="31">
        <f t="shared" si="12"/>
        <v>0</v>
      </c>
      <c r="S48" s="31">
        <f t="shared" si="12"/>
        <v>0</v>
      </c>
      <c r="T48" s="31">
        <f t="shared" si="12"/>
        <v>0</v>
      </c>
      <c r="U48" s="31">
        <f t="shared" si="12"/>
        <v>0</v>
      </c>
      <c r="V48" s="31">
        <f t="shared" si="12"/>
        <v>0</v>
      </c>
      <c r="W48" s="31">
        <f t="shared" si="12"/>
        <v>0</v>
      </c>
      <c r="X48" s="31">
        <f t="shared" si="12"/>
        <v>0</v>
      </c>
      <c r="Y48" s="31"/>
      <c r="Z48" s="31">
        <f>SUM(E48:X48)</f>
        <v>38839654.52164425</v>
      </c>
      <c r="AD48" s="31"/>
    </row>
    <row r="49" spans="1:30">
      <c r="E49" s="31"/>
      <c r="F49" s="31"/>
      <c r="G49" s="31"/>
      <c r="H49" s="31"/>
      <c r="I49" s="31"/>
      <c r="J49" s="31"/>
      <c r="K49" s="31"/>
      <c r="L49" s="31"/>
      <c r="M49" s="31"/>
      <c r="N49" s="31"/>
      <c r="O49" s="31"/>
      <c r="P49" s="31"/>
      <c r="Q49" s="31"/>
      <c r="R49" s="31"/>
      <c r="S49" s="31"/>
      <c r="T49" s="31"/>
      <c r="U49" s="31"/>
      <c r="V49" s="31"/>
      <c r="W49" s="31"/>
      <c r="X49" s="31"/>
      <c r="Y49" s="31"/>
      <c r="Z49" s="31"/>
      <c r="AD49" s="31"/>
    </row>
    <row r="50" spans="1:30" ht="15">
      <c r="A50" s="61" t="s">
        <v>69</v>
      </c>
      <c r="B50" s="61" t="s">
        <v>70</v>
      </c>
      <c r="C50" s="61" t="s">
        <v>161</v>
      </c>
      <c r="D50" s="61" t="str">
        <f>CONCATENATE(C8," - ","NEW")</f>
        <v>Lighting - NEW</v>
      </c>
      <c r="E50" s="78">
        <v>2016</v>
      </c>
      <c r="F50" s="79">
        <v>2017</v>
      </c>
      <c r="G50" s="79">
        <v>2018</v>
      </c>
      <c r="H50" s="79">
        <v>2019</v>
      </c>
      <c r="I50" s="79">
        <v>2020</v>
      </c>
      <c r="J50" s="79">
        <v>2021</v>
      </c>
      <c r="K50" s="79">
        <v>2022</v>
      </c>
      <c r="L50" s="79">
        <v>2023</v>
      </c>
      <c r="M50" s="79">
        <v>2024</v>
      </c>
      <c r="N50" s="79">
        <v>2025</v>
      </c>
      <c r="O50" s="79">
        <v>2026</v>
      </c>
      <c r="P50" s="79">
        <v>2027</v>
      </c>
      <c r="Q50" s="79">
        <v>2028</v>
      </c>
      <c r="R50" s="79">
        <v>2029</v>
      </c>
      <c r="S50" s="79">
        <v>2030</v>
      </c>
      <c r="T50" s="79">
        <v>2031</v>
      </c>
      <c r="U50" s="79">
        <v>2032</v>
      </c>
      <c r="V50" s="79">
        <v>2033</v>
      </c>
      <c r="W50" s="79">
        <v>2034</v>
      </c>
      <c r="X50" s="79">
        <v>2035</v>
      </c>
      <c r="Y50" s="80"/>
    </row>
    <row r="51" spans="1:30">
      <c r="A51" s="62">
        <f>INDEX([2]!ResApplic,MATCH($D$50,[2]APPLIC!$B$9:$B$120,0)+1,MATCH($D51,[2]APPLIC!$C$8:$F$8,0)+1)</f>
        <v>1</v>
      </c>
      <c r="B51" s="139">
        <f>VLOOKUP($C$8,[2]!NewSat,MATCH($D51,[2]SATS!$C$10:$F$10,0)+1,FALSE)</f>
        <v>77</v>
      </c>
      <c r="C51" s="62">
        <f>VLOOKUP($D$50,[2]TURN!$B$9:$F$78,MATCH(D51,$D$51:$D$54,0)+1,FALSE)</f>
        <v>1</v>
      </c>
      <c r="D51" s="1" t="str">
        <f>D43</f>
        <v>Single Family</v>
      </c>
      <c r="E51" s="31">
        <f>E23*$C51*$A51*$B51</f>
        <v>0</v>
      </c>
      <c r="F51" s="31">
        <f t="shared" ref="F51:X54" si="13">F23*$C51*$A51*$B51</f>
        <v>0</v>
      </c>
      <c r="G51" s="31">
        <f t="shared" si="13"/>
        <v>0</v>
      </c>
      <c r="H51" s="31">
        <f t="shared" si="13"/>
        <v>0</v>
      </c>
      <c r="I51" s="31">
        <f t="shared" si="13"/>
        <v>0</v>
      </c>
      <c r="J51" s="31">
        <f t="shared" si="13"/>
        <v>0</v>
      </c>
      <c r="K51" s="31">
        <f t="shared" si="13"/>
        <v>0</v>
      </c>
      <c r="L51" s="31">
        <f t="shared" si="13"/>
        <v>0</v>
      </c>
      <c r="M51" s="31">
        <f t="shared" si="13"/>
        <v>0</v>
      </c>
      <c r="N51" s="31">
        <f t="shared" si="13"/>
        <v>0</v>
      </c>
      <c r="O51" s="31">
        <f t="shared" si="13"/>
        <v>0</v>
      </c>
      <c r="P51" s="31">
        <f t="shared" si="13"/>
        <v>0</v>
      </c>
      <c r="Q51" s="31">
        <f t="shared" si="13"/>
        <v>0</v>
      </c>
      <c r="R51" s="31">
        <f t="shared" si="13"/>
        <v>0</v>
      </c>
      <c r="S51" s="31">
        <f t="shared" si="13"/>
        <v>0</v>
      </c>
      <c r="T51" s="31">
        <f t="shared" si="13"/>
        <v>0</v>
      </c>
      <c r="U51" s="31">
        <f t="shared" si="13"/>
        <v>0</v>
      </c>
      <c r="V51" s="31">
        <f t="shared" si="13"/>
        <v>0</v>
      </c>
      <c r="W51" s="31">
        <f t="shared" si="13"/>
        <v>0</v>
      </c>
      <c r="X51" s="31">
        <f t="shared" si="13"/>
        <v>0</v>
      </c>
      <c r="Y51" s="31"/>
      <c r="Z51" s="31">
        <f>M23*A51*B51*$Z$31*C51</f>
        <v>0</v>
      </c>
      <c r="AD51" s="31"/>
    </row>
    <row r="52" spans="1:30">
      <c r="A52" s="62">
        <f>INDEX([2]!ResApplic,MATCH($D$50,[2]APPLIC!$B$9:$B$120,0)+1,MATCH($D52,[2]APPLIC!$C$8:$F$8,0)+1)</f>
        <v>1</v>
      </c>
      <c r="B52" s="139">
        <f>VLOOKUP($C$8,[2]!NewSat,MATCH($D52,[2]SATS!$C$10:$F$10,0)+1,FALSE)</f>
        <v>23</v>
      </c>
      <c r="C52" s="62">
        <f>VLOOKUP($D$50,[2]TURN!$B$9:$F$78,MATCH(D52,$D$51:$D$54,0)+1,FALSE)</f>
        <v>1</v>
      </c>
      <c r="D52" s="1" t="str">
        <f t="shared" ref="D52:D54" si="14">D44</f>
        <v>Multifamily - Low Rise</v>
      </c>
      <c r="E52" s="31">
        <f t="shared" ref="E52:T54" si="15">E24*$C52*$A52*$B52</f>
        <v>0</v>
      </c>
      <c r="F52" s="31">
        <f t="shared" si="15"/>
        <v>0</v>
      </c>
      <c r="G52" s="31">
        <f t="shared" si="15"/>
        <v>0</v>
      </c>
      <c r="H52" s="31">
        <f t="shared" si="15"/>
        <v>0</v>
      </c>
      <c r="I52" s="31">
        <f t="shared" si="15"/>
        <v>0</v>
      </c>
      <c r="J52" s="31">
        <f t="shared" si="15"/>
        <v>0</v>
      </c>
      <c r="K52" s="31">
        <f t="shared" si="15"/>
        <v>0</v>
      </c>
      <c r="L52" s="31">
        <f t="shared" si="15"/>
        <v>0</v>
      </c>
      <c r="M52" s="31">
        <f t="shared" si="15"/>
        <v>0</v>
      </c>
      <c r="N52" s="31">
        <f t="shared" si="15"/>
        <v>0</v>
      </c>
      <c r="O52" s="31">
        <f t="shared" si="15"/>
        <v>0</v>
      </c>
      <c r="P52" s="31">
        <f t="shared" si="15"/>
        <v>0</v>
      </c>
      <c r="Q52" s="31">
        <f t="shared" si="15"/>
        <v>0</v>
      </c>
      <c r="R52" s="31">
        <f t="shared" si="15"/>
        <v>0</v>
      </c>
      <c r="S52" s="31">
        <f t="shared" si="15"/>
        <v>0</v>
      </c>
      <c r="T52" s="31">
        <f t="shared" si="15"/>
        <v>0</v>
      </c>
      <c r="U52" s="31">
        <f t="shared" si="13"/>
        <v>0</v>
      </c>
      <c r="V52" s="31">
        <f t="shared" si="13"/>
        <v>0</v>
      </c>
      <c r="W52" s="31">
        <f t="shared" si="13"/>
        <v>0</v>
      </c>
      <c r="X52" s="31">
        <f t="shared" si="13"/>
        <v>0</v>
      </c>
      <c r="Y52" s="31"/>
      <c r="Z52" s="31">
        <f t="shared" ref="Z52:Z54" si="16">M24*A52*B52*$Z$31*C52</f>
        <v>0</v>
      </c>
      <c r="AD52" s="31"/>
    </row>
    <row r="53" spans="1:30">
      <c r="A53" s="62">
        <f>INDEX([2]!ResApplic,MATCH($D$50,[2]APPLIC!$B$9:$B$120,0)+1,MATCH($D53,[2]APPLIC!$C$8:$F$8,0)+1)</f>
        <v>1</v>
      </c>
      <c r="B53" s="139">
        <f>VLOOKUP($C$8,[2]!NewSat,MATCH($D53,[2]SATS!$C$10:$F$10,0)+1,FALSE)</f>
        <v>23</v>
      </c>
      <c r="C53" s="62">
        <f>VLOOKUP($D$50,[2]TURN!$B$9:$F$78,MATCH(D53,$D$51:$D$54,0)+1,FALSE)</f>
        <v>1</v>
      </c>
      <c r="D53" s="1" t="str">
        <f t="shared" si="14"/>
        <v>Multifamily - High Rise</v>
      </c>
      <c r="E53" s="31">
        <f t="shared" si="15"/>
        <v>0</v>
      </c>
      <c r="F53" s="31">
        <f t="shared" si="13"/>
        <v>0</v>
      </c>
      <c r="G53" s="31">
        <f t="shared" si="13"/>
        <v>0</v>
      </c>
      <c r="H53" s="31">
        <f t="shared" si="13"/>
        <v>0</v>
      </c>
      <c r="I53" s="31">
        <f t="shared" si="13"/>
        <v>0</v>
      </c>
      <c r="J53" s="31">
        <f t="shared" si="13"/>
        <v>0</v>
      </c>
      <c r="K53" s="31">
        <f t="shared" si="13"/>
        <v>0</v>
      </c>
      <c r="L53" s="31">
        <f t="shared" si="13"/>
        <v>0</v>
      </c>
      <c r="M53" s="31">
        <f t="shared" si="13"/>
        <v>0</v>
      </c>
      <c r="N53" s="31">
        <f t="shared" si="13"/>
        <v>0</v>
      </c>
      <c r="O53" s="31">
        <f t="shared" si="13"/>
        <v>0</v>
      </c>
      <c r="P53" s="31">
        <f t="shared" si="13"/>
        <v>0</v>
      </c>
      <c r="Q53" s="31">
        <f t="shared" si="13"/>
        <v>0</v>
      </c>
      <c r="R53" s="31">
        <f t="shared" si="13"/>
        <v>0</v>
      </c>
      <c r="S53" s="31">
        <f t="shared" si="13"/>
        <v>0</v>
      </c>
      <c r="T53" s="31">
        <f t="shared" si="13"/>
        <v>0</v>
      </c>
      <c r="U53" s="31">
        <f t="shared" si="13"/>
        <v>0</v>
      </c>
      <c r="V53" s="31">
        <f t="shared" si="13"/>
        <v>0</v>
      </c>
      <c r="W53" s="31">
        <f t="shared" si="13"/>
        <v>0</v>
      </c>
      <c r="X53" s="31">
        <f t="shared" si="13"/>
        <v>0</v>
      </c>
      <c r="Y53" s="31"/>
      <c r="Z53" s="31">
        <f t="shared" si="16"/>
        <v>0</v>
      </c>
      <c r="AD53" s="31"/>
    </row>
    <row r="54" spans="1:30">
      <c r="A54" s="62">
        <f>INDEX([2]!ResApplic,MATCH($D$50,[2]APPLIC!$B$9:$B$120,0)+1,MATCH($D54,[2]APPLIC!$C$8:$F$8,0)+1)</f>
        <v>1</v>
      </c>
      <c r="B54" s="139">
        <f>VLOOKUP($C$8,[2]!NewSat,MATCH($D54,[2]SATS!$C$10:$F$10,0)+1,FALSE)</f>
        <v>34.5</v>
      </c>
      <c r="C54" s="62">
        <f>VLOOKUP($D$50,[2]TURN!$B$9:$F$78,MATCH(D54,$D$51:$D$54,0)+1,FALSE)</f>
        <v>1</v>
      </c>
      <c r="D54" s="1" t="str">
        <f t="shared" si="14"/>
        <v>Manufactured</v>
      </c>
      <c r="E54" s="31">
        <f t="shared" si="15"/>
        <v>0</v>
      </c>
      <c r="F54" s="31">
        <f t="shared" si="13"/>
        <v>0</v>
      </c>
      <c r="G54" s="31">
        <f t="shared" si="13"/>
        <v>0</v>
      </c>
      <c r="H54" s="31">
        <f t="shared" si="13"/>
        <v>0</v>
      </c>
      <c r="I54" s="31">
        <f t="shared" si="13"/>
        <v>0</v>
      </c>
      <c r="J54" s="31">
        <f t="shared" si="13"/>
        <v>0</v>
      </c>
      <c r="K54" s="31">
        <f t="shared" si="13"/>
        <v>0</v>
      </c>
      <c r="L54" s="31">
        <f t="shared" si="13"/>
        <v>0</v>
      </c>
      <c r="M54" s="31">
        <f t="shared" si="13"/>
        <v>0</v>
      </c>
      <c r="N54" s="31">
        <f t="shared" si="13"/>
        <v>0</v>
      </c>
      <c r="O54" s="31">
        <f t="shared" si="13"/>
        <v>0</v>
      </c>
      <c r="P54" s="31">
        <f t="shared" si="13"/>
        <v>0</v>
      </c>
      <c r="Q54" s="31">
        <f t="shared" si="13"/>
        <v>0</v>
      </c>
      <c r="R54" s="31">
        <f t="shared" si="13"/>
        <v>0</v>
      </c>
      <c r="S54" s="31">
        <f t="shared" si="13"/>
        <v>0</v>
      </c>
      <c r="T54" s="31">
        <f t="shared" si="13"/>
        <v>0</v>
      </c>
      <c r="U54" s="31">
        <f t="shared" si="13"/>
        <v>0</v>
      </c>
      <c r="V54" s="31">
        <f t="shared" si="13"/>
        <v>0</v>
      </c>
      <c r="W54" s="31">
        <f t="shared" si="13"/>
        <v>0</v>
      </c>
      <c r="X54" s="31">
        <f t="shared" si="13"/>
        <v>0</v>
      </c>
      <c r="Y54" s="31"/>
      <c r="Z54" s="31">
        <f t="shared" si="16"/>
        <v>0</v>
      </c>
      <c r="AD54" s="31"/>
    </row>
    <row r="55" spans="1:30">
      <c r="E55" s="31"/>
      <c r="F55" s="31"/>
      <c r="G55" s="31"/>
      <c r="H55" s="31"/>
      <c r="I55" s="31"/>
      <c r="J55" s="31"/>
      <c r="K55" s="31"/>
      <c r="L55" s="31"/>
      <c r="M55" s="31"/>
      <c r="N55" s="31"/>
      <c r="O55" s="31"/>
      <c r="P55" s="31"/>
      <c r="Q55" s="31"/>
      <c r="R55" s="31"/>
      <c r="S55" s="31"/>
      <c r="T55" s="31"/>
      <c r="U55" s="31"/>
      <c r="V55" s="31"/>
      <c r="W55" s="31"/>
      <c r="X55" s="31"/>
      <c r="Y55" s="31"/>
    </row>
    <row r="56" spans="1:30">
      <c r="E56" s="31">
        <f t="shared" ref="E56:X56" si="17">SUM(E51:E54)</f>
        <v>0</v>
      </c>
      <c r="F56" s="31">
        <f t="shared" si="17"/>
        <v>0</v>
      </c>
      <c r="G56" s="31">
        <f t="shared" si="17"/>
        <v>0</v>
      </c>
      <c r="H56" s="31">
        <f t="shared" si="17"/>
        <v>0</v>
      </c>
      <c r="I56" s="31">
        <f t="shared" si="17"/>
        <v>0</v>
      </c>
      <c r="J56" s="31">
        <f t="shared" si="17"/>
        <v>0</v>
      </c>
      <c r="K56" s="31">
        <f t="shared" si="17"/>
        <v>0</v>
      </c>
      <c r="L56" s="31">
        <f t="shared" si="17"/>
        <v>0</v>
      </c>
      <c r="M56" s="31">
        <f t="shared" si="17"/>
        <v>0</v>
      </c>
      <c r="N56" s="31">
        <f t="shared" si="17"/>
        <v>0</v>
      </c>
      <c r="O56" s="31">
        <f t="shared" si="17"/>
        <v>0</v>
      </c>
      <c r="P56" s="31">
        <f t="shared" si="17"/>
        <v>0</v>
      </c>
      <c r="Q56" s="31">
        <f t="shared" si="17"/>
        <v>0</v>
      </c>
      <c r="R56" s="31">
        <f t="shared" si="17"/>
        <v>0</v>
      </c>
      <c r="S56" s="31">
        <f t="shared" si="17"/>
        <v>0</v>
      </c>
      <c r="T56" s="31">
        <f t="shared" si="17"/>
        <v>0</v>
      </c>
      <c r="U56" s="31">
        <f t="shared" si="17"/>
        <v>0</v>
      </c>
      <c r="V56" s="31">
        <f t="shared" si="17"/>
        <v>0</v>
      </c>
      <c r="W56" s="31">
        <f t="shared" si="17"/>
        <v>0</v>
      </c>
      <c r="X56" s="31">
        <f t="shared" si="17"/>
        <v>0</v>
      </c>
      <c r="Y56" s="31"/>
      <c r="Z56" s="31">
        <f>SUM(E56:X56)</f>
        <v>0</v>
      </c>
      <c r="AD56" s="31"/>
    </row>
    <row r="57" spans="1:30">
      <c r="E57" s="31"/>
      <c r="F57" s="31"/>
      <c r="G57" s="31"/>
      <c r="H57" s="31"/>
      <c r="I57" s="31"/>
      <c r="J57" s="31"/>
      <c r="K57" s="31"/>
      <c r="L57" s="31"/>
      <c r="M57" s="31"/>
      <c r="N57" s="31"/>
      <c r="O57" s="31"/>
      <c r="P57" s="31"/>
      <c r="Q57" s="31"/>
      <c r="R57" s="31"/>
      <c r="S57" s="31"/>
      <c r="T57" s="31"/>
      <c r="U57" s="31"/>
      <c r="V57" s="31"/>
      <c r="W57" s="31"/>
      <c r="X57" s="31"/>
      <c r="Y57" s="31"/>
      <c r="Z57" s="31"/>
      <c r="AD57" s="31"/>
    </row>
    <row r="58" spans="1:30" ht="15.75" thickBot="1">
      <c r="E58" s="61" t="s">
        <v>71</v>
      </c>
      <c r="F58" s="31"/>
      <c r="G58" s="31"/>
      <c r="H58" s="31"/>
      <c r="I58" s="31"/>
      <c r="J58" s="31"/>
      <c r="K58" s="31"/>
      <c r="L58" s="31"/>
      <c r="M58" s="31"/>
      <c r="N58" s="31"/>
      <c r="O58" s="31"/>
      <c r="P58" s="31"/>
      <c r="Q58" s="31"/>
      <c r="R58" s="31"/>
      <c r="S58" s="31"/>
      <c r="T58" s="31"/>
      <c r="U58" s="31"/>
      <c r="V58" s="31"/>
      <c r="W58" s="31"/>
      <c r="X58" s="31"/>
      <c r="Y58" s="31"/>
    </row>
    <row r="59" spans="1:30" ht="15.75" thickBot="1">
      <c r="A59" s="63" t="s">
        <v>162</v>
      </c>
      <c r="D59" s="61" t="str">
        <f>D42</f>
        <v>Lighting - NR</v>
      </c>
      <c r="E59" s="65">
        <f>VLOOKUP($D$42,[2]ACHIEV!$B$9:$X$79,MATCH(E$11,$E$11:$Y$11,0)+2,FALSE)</f>
        <v>0.22119921692859512</v>
      </c>
      <c r="F59" s="65">
        <f>VLOOKUP($D$42,[2]ACHIEV!$B$9:$X$79,MATCH(F$11,$E$11:$Y$11,0)+2,FALSE)</f>
        <v>0.37624232795148943</v>
      </c>
      <c r="G59" s="65">
        <f>VLOOKUP($D$42,[2]ACHIEV!$B$9:$X$79,MATCH(G$11,$E$11:$Y$11,0)+2,FALSE)</f>
        <v>0.48357361352878442</v>
      </c>
      <c r="H59" s="65">
        <f>VLOOKUP($D$42,[2]ACHIEV!$B$9:$X$79,MATCH(H$11,$E$11:$Y$11,0)+2,FALSE)</f>
        <v>0.56716330278444227</v>
      </c>
      <c r="I59" s="65">
        <f>VLOOKUP($D$42,[2]ACHIEV!$B$9:$X$79,MATCH(I$11,$E$11:$Y$11,0)+2,FALSE)</f>
        <v>0.64040048266456928</v>
      </c>
      <c r="J59" s="65">
        <f>VLOOKUP($D$42,[2]ACHIEV!$B$9:$X$79,MATCH(J$11,$E$11:$Y$11,0)+2,FALSE)</f>
        <v>0.70377511937632964</v>
      </c>
      <c r="K59" s="65">
        <f>VLOOKUP($D$42,[2]ACHIEV!$B$9:$X$79,MATCH(K$11,$E$11:$Y$11,0)+2,FALSE)</f>
        <v>0.7580669577441127</v>
      </c>
      <c r="L59" s="65">
        <f>VLOOKUP($D$42,[2]ACHIEV!$B$9:$X$79,MATCH(L$11,$E$11:$Y$11,0)+2,FALSE)</f>
        <v>0.80419335000071168</v>
      </c>
      <c r="M59" s="65">
        <f>VLOOKUP($D$42,[2]ACHIEV!$B$9:$X$79,MATCH(M$11,$E$11:$Y$11,0)+2,FALSE)</f>
        <v>0.84311022627788457</v>
      </c>
      <c r="N59" s="65">
        <f>VLOOKUP($D$42,[2]ACHIEV!$B$9:$X$79,MATCH(N$11,$E$11:$Y$11,0)+2,FALSE)</f>
        <v>0.87575014259103623</v>
      </c>
      <c r="O59" s="65">
        <f>VLOOKUP($D$42,[2]ACHIEV!$B$9:$X$79,MATCH(O$11,$E$11:$Y$11,0)+2,FALSE)</f>
        <v>0.90298584871682319</v>
      </c>
      <c r="P59" s="65">
        <f>VLOOKUP($D$42,[2]ACHIEV!$B$9:$X$79,MATCH(P$11,$E$11:$Y$11,0)+2,FALSE)</f>
        <v>0.92419703797508856</v>
      </c>
      <c r="Q59" s="65">
        <f>VLOOKUP($D$42,[2]ACHIEV!$B$9:$X$79,MATCH(Q$11,$E$11:$Y$11,0)+2,FALSE)</f>
        <v>0.94071632877930145</v>
      </c>
      <c r="R59" s="65">
        <f>VLOOKUP($D$42,[2]ACHIEV!$B$9:$X$79,MATCH(R$11,$E$11:$Y$11,0)+2,FALSE)</f>
        <v>0.95358156539340677</v>
      </c>
      <c r="S59" s="65">
        <f>VLOOKUP($D$42,[2]ACHIEV!$B$9:$X$79,MATCH(S$11,$E$11:$Y$11,0)+2,FALSE)</f>
        <v>0.96360102174287088</v>
      </c>
      <c r="T59" s="65">
        <f>VLOOKUP($D$42,[2]ACHIEV!$B$9:$X$79,MATCH(T$11,$E$11:$Y$11,0)+2,FALSE)</f>
        <v>0.97140418219378311</v>
      </c>
      <c r="U59" s="65">
        <f>VLOOKUP($D$42,[2]ACHIEV!$B$9:$X$79,MATCH(U$11,$E$11:$Y$11,0)+2,FALSE)</f>
        <v>0.97748128966338554</v>
      </c>
      <c r="V59" s="65">
        <f>VLOOKUP($D$42,[2]ACHIEV!$B$9:$X$79,MATCH(V$11,$E$11:$Y$11,0)+2,FALSE)</f>
        <v>0.98221414571952104</v>
      </c>
      <c r="W59" s="65">
        <f>VLOOKUP($D$42,[2]ACHIEV!$B$9:$X$79,MATCH(W$11,$E$11:$Y$11,0)+2,FALSE)</f>
        <v>0.98590009772220355</v>
      </c>
      <c r="X59" s="65">
        <f>VLOOKUP($D$42,[2]ACHIEV!$B$9:$X$79,MATCH(X$11,$E$11:$Y$11,0)+2,FALSE)</f>
        <v>0.98877072002825628</v>
      </c>
      <c r="Y59" s="138"/>
      <c r="Z59" s="137">
        <v>0.85</v>
      </c>
    </row>
    <row r="60" spans="1:30">
      <c r="D60" s="1" t="str">
        <f>C23</f>
        <v>Single Family</v>
      </c>
      <c r="E60" s="31">
        <f>(E43+E51)*E$59*$Z$59</f>
        <v>6223963.6288310429</v>
      </c>
      <c r="F60" s="31">
        <f t="shared" ref="F60:X60" si="18">(F43+F51)*F$59*$Z$59</f>
        <v>0</v>
      </c>
      <c r="G60" s="31">
        <f t="shared" si="18"/>
        <v>0</v>
      </c>
      <c r="H60" s="31">
        <f t="shared" si="18"/>
        <v>0</v>
      </c>
      <c r="I60" s="31">
        <f t="shared" si="18"/>
        <v>0</v>
      </c>
      <c r="J60" s="31">
        <f t="shared" si="18"/>
        <v>0</v>
      </c>
      <c r="K60" s="31">
        <f t="shared" si="18"/>
        <v>0</v>
      </c>
      <c r="L60" s="31">
        <f t="shared" si="18"/>
        <v>0</v>
      </c>
      <c r="M60" s="31">
        <f t="shared" si="18"/>
        <v>0</v>
      </c>
      <c r="N60" s="31">
        <f t="shared" si="18"/>
        <v>0</v>
      </c>
      <c r="O60" s="31">
        <f t="shared" si="18"/>
        <v>0</v>
      </c>
      <c r="P60" s="31">
        <f t="shared" si="18"/>
        <v>0</v>
      </c>
      <c r="Q60" s="31">
        <f t="shared" si="18"/>
        <v>0</v>
      </c>
      <c r="R60" s="31">
        <f t="shared" si="18"/>
        <v>0</v>
      </c>
      <c r="S60" s="31">
        <f t="shared" si="18"/>
        <v>0</v>
      </c>
      <c r="T60" s="31">
        <f t="shared" si="18"/>
        <v>0</v>
      </c>
      <c r="U60" s="31">
        <f t="shared" si="18"/>
        <v>0</v>
      </c>
      <c r="V60" s="31">
        <f t="shared" si="18"/>
        <v>0</v>
      </c>
      <c r="W60" s="31">
        <f t="shared" si="18"/>
        <v>0</v>
      </c>
      <c r="X60" s="31">
        <f t="shared" si="18"/>
        <v>0</v>
      </c>
      <c r="Y60" s="31"/>
    </row>
    <row r="61" spans="1:30">
      <c r="D61" s="1" t="str">
        <f>C24</f>
        <v>Multifamily - Low Rise</v>
      </c>
      <c r="E61" s="31">
        <f t="shared" ref="E61:X61" si="19">(E44+E52)*E$59*$Z$59</f>
        <v>500685.96641771431</v>
      </c>
      <c r="F61" s="31">
        <f t="shared" si="19"/>
        <v>0</v>
      </c>
      <c r="G61" s="31">
        <f t="shared" si="19"/>
        <v>0</v>
      </c>
      <c r="H61" s="31">
        <f t="shared" si="19"/>
        <v>0</v>
      </c>
      <c r="I61" s="31">
        <f t="shared" si="19"/>
        <v>0</v>
      </c>
      <c r="J61" s="31">
        <f t="shared" si="19"/>
        <v>0</v>
      </c>
      <c r="K61" s="31">
        <f t="shared" si="19"/>
        <v>0</v>
      </c>
      <c r="L61" s="31">
        <f t="shared" si="19"/>
        <v>0</v>
      </c>
      <c r="M61" s="31">
        <f t="shared" si="19"/>
        <v>0</v>
      </c>
      <c r="N61" s="31">
        <f t="shared" si="19"/>
        <v>0</v>
      </c>
      <c r="O61" s="31">
        <f t="shared" si="19"/>
        <v>0</v>
      </c>
      <c r="P61" s="31">
        <f t="shared" si="19"/>
        <v>0</v>
      </c>
      <c r="Q61" s="31">
        <f t="shared" si="19"/>
        <v>0</v>
      </c>
      <c r="R61" s="31">
        <f t="shared" si="19"/>
        <v>0</v>
      </c>
      <c r="S61" s="31">
        <f t="shared" si="19"/>
        <v>0</v>
      </c>
      <c r="T61" s="31">
        <f t="shared" si="19"/>
        <v>0</v>
      </c>
      <c r="U61" s="31">
        <f t="shared" si="19"/>
        <v>0</v>
      </c>
      <c r="V61" s="31">
        <f t="shared" si="19"/>
        <v>0</v>
      </c>
      <c r="W61" s="31">
        <f t="shared" si="19"/>
        <v>0</v>
      </c>
      <c r="X61" s="31">
        <f t="shared" si="19"/>
        <v>0</v>
      </c>
      <c r="Y61" s="31"/>
    </row>
    <row r="62" spans="1:30">
      <c r="D62" s="1" t="str">
        <f>C25</f>
        <v>Multifamily - High Rise</v>
      </c>
      <c r="E62" s="31">
        <f t="shared" ref="E62:X62" si="20">(E45+E53)*E$59*$Z$59</f>
        <v>114154.57189620391</v>
      </c>
      <c r="F62" s="31">
        <f t="shared" si="20"/>
        <v>0</v>
      </c>
      <c r="G62" s="31">
        <f t="shared" si="20"/>
        <v>0</v>
      </c>
      <c r="H62" s="31">
        <f t="shared" si="20"/>
        <v>0</v>
      </c>
      <c r="I62" s="31">
        <f t="shared" si="20"/>
        <v>0</v>
      </c>
      <c r="J62" s="31">
        <f t="shared" si="20"/>
        <v>0</v>
      </c>
      <c r="K62" s="31">
        <f t="shared" si="20"/>
        <v>0</v>
      </c>
      <c r="L62" s="31">
        <f t="shared" si="20"/>
        <v>0</v>
      </c>
      <c r="M62" s="31">
        <f t="shared" si="20"/>
        <v>0</v>
      </c>
      <c r="N62" s="31">
        <f t="shared" si="20"/>
        <v>0</v>
      </c>
      <c r="O62" s="31">
        <f t="shared" si="20"/>
        <v>0</v>
      </c>
      <c r="P62" s="31">
        <f t="shared" si="20"/>
        <v>0</v>
      </c>
      <c r="Q62" s="31">
        <f t="shared" si="20"/>
        <v>0</v>
      </c>
      <c r="R62" s="31">
        <f t="shared" si="20"/>
        <v>0</v>
      </c>
      <c r="S62" s="31">
        <f t="shared" si="20"/>
        <v>0</v>
      </c>
      <c r="T62" s="31">
        <f t="shared" si="20"/>
        <v>0</v>
      </c>
      <c r="U62" s="31">
        <f t="shared" si="20"/>
        <v>0</v>
      </c>
      <c r="V62" s="31">
        <f t="shared" si="20"/>
        <v>0</v>
      </c>
      <c r="W62" s="31">
        <f t="shared" si="20"/>
        <v>0</v>
      </c>
      <c r="X62" s="31">
        <f t="shared" si="20"/>
        <v>0</v>
      </c>
      <c r="Y62" s="31"/>
    </row>
    <row r="63" spans="1:30">
      <c r="D63" s="1" t="str">
        <f>C26</f>
        <v>Manufactured</v>
      </c>
      <c r="E63" s="31">
        <f>(E46+E54)*E$59*$Z$59</f>
        <v>463801.82392518409</v>
      </c>
      <c r="F63" s="31">
        <f t="shared" ref="F63:X63" si="21">(F46+F54)*F$59*$Z$59</f>
        <v>0</v>
      </c>
      <c r="G63" s="31">
        <f t="shared" si="21"/>
        <v>0</v>
      </c>
      <c r="H63" s="31">
        <f t="shared" si="21"/>
        <v>0</v>
      </c>
      <c r="I63" s="31">
        <f t="shared" si="21"/>
        <v>0</v>
      </c>
      <c r="J63" s="31">
        <f t="shared" si="21"/>
        <v>0</v>
      </c>
      <c r="K63" s="31">
        <f t="shared" si="21"/>
        <v>0</v>
      </c>
      <c r="L63" s="31">
        <f t="shared" si="21"/>
        <v>0</v>
      </c>
      <c r="M63" s="31">
        <f t="shared" si="21"/>
        <v>0</v>
      </c>
      <c r="N63" s="31">
        <f t="shared" si="21"/>
        <v>0</v>
      </c>
      <c r="O63" s="31">
        <f t="shared" si="21"/>
        <v>0</v>
      </c>
      <c r="P63" s="31">
        <f t="shared" si="21"/>
        <v>0</v>
      </c>
      <c r="Q63" s="31">
        <f t="shared" si="21"/>
        <v>0</v>
      </c>
      <c r="R63" s="31">
        <f t="shared" si="21"/>
        <v>0</v>
      </c>
      <c r="S63" s="31">
        <f t="shared" si="21"/>
        <v>0</v>
      </c>
      <c r="T63" s="31">
        <f t="shared" si="21"/>
        <v>0</v>
      </c>
      <c r="U63" s="31">
        <f t="shared" si="21"/>
        <v>0</v>
      </c>
      <c r="V63" s="31">
        <f t="shared" si="21"/>
        <v>0</v>
      </c>
      <c r="W63" s="31">
        <f t="shared" si="21"/>
        <v>0</v>
      </c>
      <c r="X63" s="31">
        <f t="shared" si="21"/>
        <v>0</v>
      </c>
      <c r="Y63" s="31"/>
    </row>
    <row r="65" spans="1:29">
      <c r="E65" s="31">
        <f t="shared" ref="E65:X65" si="22">SUM(E60:E63)</f>
        <v>7302605.9910701448</v>
      </c>
      <c r="F65" s="31">
        <f t="shared" si="22"/>
        <v>0</v>
      </c>
      <c r="G65" s="31">
        <f t="shared" si="22"/>
        <v>0</v>
      </c>
      <c r="H65" s="31">
        <f t="shared" si="22"/>
        <v>0</v>
      </c>
      <c r="I65" s="31">
        <f t="shared" si="22"/>
        <v>0</v>
      </c>
      <c r="J65" s="31">
        <f t="shared" si="22"/>
        <v>0</v>
      </c>
      <c r="K65" s="31">
        <f t="shared" si="22"/>
        <v>0</v>
      </c>
      <c r="L65" s="31">
        <f t="shared" si="22"/>
        <v>0</v>
      </c>
      <c r="M65" s="31">
        <f t="shared" si="22"/>
        <v>0</v>
      </c>
      <c r="N65" s="31">
        <f t="shared" si="22"/>
        <v>0</v>
      </c>
      <c r="O65" s="31">
        <f t="shared" si="22"/>
        <v>0</v>
      </c>
      <c r="P65" s="31">
        <f t="shared" si="22"/>
        <v>0</v>
      </c>
      <c r="Q65" s="31">
        <f t="shared" si="22"/>
        <v>0</v>
      </c>
      <c r="R65" s="31">
        <f t="shared" si="22"/>
        <v>0</v>
      </c>
      <c r="S65" s="31">
        <f t="shared" si="22"/>
        <v>0</v>
      </c>
      <c r="T65" s="31">
        <f t="shared" si="22"/>
        <v>0</v>
      </c>
      <c r="U65" s="31">
        <f t="shared" si="22"/>
        <v>0</v>
      </c>
      <c r="V65" s="31">
        <f t="shared" si="22"/>
        <v>0</v>
      </c>
      <c r="W65" s="31">
        <f t="shared" si="22"/>
        <v>0</v>
      </c>
      <c r="X65" s="31">
        <f t="shared" si="22"/>
        <v>0</v>
      </c>
      <c r="Y65" s="31"/>
    </row>
    <row r="66" spans="1:29">
      <c r="E66" s="31"/>
      <c r="F66" s="31"/>
      <c r="G66" s="31"/>
      <c r="H66" s="31"/>
      <c r="I66" s="31"/>
      <c r="J66" s="31"/>
      <c r="K66" s="31"/>
      <c r="L66" s="31"/>
      <c r="M66" s="31"/>
      <c r="N66" s="31"/>
      <c r="O66" s="31"/>
      <c r="P66" s="31"/>
      <c r="Q66" s="31"/>
      <c r="R66" s="31"/>
      <c r="S66" s="31"/>
      <c r="T66" s="31"/>
      <c r="U66" s="31"/>
      <c r="V66" s="31"/>
      <c r="W66" s="31"/>
      <c r="X66" s="31"/>
      <c r="Y66" s="31"/>
    </row>
    <row r="68" spans="1:29" ht="15">
      <c r="A68" s="63" t="s">
        <v>163</v>
      </c>
      <c r="D68" s="61" t="str">
        <f>D42</f>
        <v>Lighting - NR</v>
      </c>
      <c r="E68" s="61">
        <v>1</v>
      </c>
      <c r="F68" s="61">
        <v>2</v>
      </c>
      <c r="G68" s="61">
        <v>3</v>
      </c>
      <c r="H68" s="61">
        <v>4</v>
      </c>
      <c r="I68" s="61">
        <v>5</v>
      </c>
      <c r="J68" s="61">
        <v>6</v>
      </c>
      <c r="K68" s="61">
        <v>7</v>
      </c>
      <c r="L68" s="61">
        <v>8</v>
      </c>
      <c r="M68" s="61">
        <v>9</v>
      </c>
      <c r="N68" s="61">
        <v>10</v>
      </c>
      <c r="O68" s="61">
        <v>11</v>
      </c>
      <c r="P68" s="61">
        <v>12</v>
      </c>
      <c r="Q68" s="61">
        <v>13</v>
      </c>
      <c r="R68" s="61">
        <v>14</v>
      </c>
      <c r="S68" s="61">
        <v>15</v>
      </c>
      <c r="T68" s="61">
        <v>16</v>
      </c>
      <c r="U68" s="61">
        <v>17</v>
      </c>
      <c r="V68" s="61">
        <v>18</v>
      </c>
      <c r="W68" s="61">
        <v>19</v>
      </c>
      <c r="X68" s="61">
        <v>20</v>
      </c>
      <c r="Y68" s="61"/>
    </row>
    <row r="69" spans="1:29">
      <c r="D69" s="1" t="str">
        <f>D60</f>
        <v>Single Family</v>
      </c>
      <c r="E69" s="31">
        <f>E60</f>
        <v>6223963.6288310429</v>
      </c>
      <c r="F69" s="31">
        <f>E69+F60</f>
        <v>6223963.6288310429</v>
      </c>
      <c r="G69" s="31">
        <f t="shared" ref="G69:X72" si="23">F69+G60</f>
        <v>6223963.6288310429</v>
      </c>
      <c r="H69" s="31">
        <f t="shared" si="23"/>
        <v>6223963.6288310429</v>
      </c>
      <c r="I69" s="31">
        <f t="shared" si="23"/>
        <v>6223963.6288310429</v>
      </c>
      <c r="J69" s="31">
        <f t="shared" si="23"/>
        <v>6223963.6288310429</v>
      </c>
      <c r="K69" s="31">
        <f t="shared" si="23"/>
        <v>6223963.6288310429</v>
      </c>
      <c r="L69" s="31">
        <f t="shared" si="23"/>
        <v>6223963.6288310429</v>
      </c>
      <c r="M69" s="31">
        <f t="shared" si="23"/>
        <v>6223963.6288310429</v>
      </c>
      <c r="N69" s="31">
        <f t="shared" si="23"/>
        <v>6223963.6288310429</v>
      </c>
      <c r="O69" s="31">
        <f t="shared" si="23"/>
        <v>6223963.6288310429</v>
      </c>
      <c r="P69" s="31">
        <f t="shared" si="23"/>
        <v>6223963.6288310429</v>
      </c>
      <c r="Q69" s="31">
        <f t="shared" si="23"/>
        <v>6223963.6288310429</v>
      </c>
      <c r="R69" s="31">
        <f t="shared" si="23"/>
        <v>6223963.6288310429</v>
      </c>
      <c r="S69" s="31">
        <f t="shared" si="23"/>
        <v>6223963.6288310429</v>
      </c>
      <c r="T69" s="31">
        <f t="shared" si="23"/>
        <v>6223963.6288310429</v>
      </c>
      <c r="U69" s="31">
        <f t="shared" si="23"/>
        <v>6223963.6288310429</v>
      </c>
      <c r="V69" s="31">
        <f t="shared" si="23"/>
        <v>6223963.6288310429</v>
      </c>
      <c r="W69" s="31">
        <f t="shared" si="23"/>
        <v>6223963.6288310429</v>
      </c>
      <c r="X69" s="31">
        <f>W69+X60</f>
        <v>6223963.6288310429</v>
      </c>
      <c r="Y69" s="31"/>
    </row>
    <row r="70" spans="1:29">
      <c r="D70" s="1" t="str">
        <f t="shared" ref="D70:D72" si="24">D61</f>
        <v>Multifamily - Low Rise</v>
      </c>
      <c r="E70" s="31">
        <f t="shared" ref="E70:E72" si="25">E61</f>
        <v>500685.96641771431</v>
      </c>
      <c r="F70" s="31">
        <f t="shared" ref="F70:U72" si="26">E70+F61</f>
        <v>500685.96641771431</v>
      </c>
      <c r="G70" s="31">
        <f t="shared" si="26"/>
        <v>500685.96641771431</v>
      </c>
      <c r="H70" s="31">
        <f t="shared" si="26"/>
        <v>500685.96641771431</v>
      </c>
      <c r="I70" s="31">
        <f t="shared" si="26"/>
        <v>500685.96641771431</v>
      </c>
      <c r="J70" s="31">
        <f t="shared" si="26"/>
        <v>500685.96641771431</v>
      </c>
      <c r="K70" s="31">
        <f t="shared" si="26"/>
        <v>500685.96641771431</v>
      </c>
      <c r="L70" s="31">
        <f t="shared" si="26"/>
        <v>500685.96641771431</v>
      </c>
      <c r="M70" s="31">
        <f t="shared" si="26"/>
        <v>500685.96641771431</v>
      </c>
      <c r="N70" s="31">
        <f t="shared" si="26"/>
        <v>500685.96641771431</v>
      </c>
      <c r="O70" s="31">
        <f t="shared" si="26"/>
        <v>500685.96641771431</v>
      </c>
      <c r="P70" s="31">
        <f t="shared" si="26"/>
        <v>500685.96641771431</v>
      </c>
      <c r="Q70" s="31">
        <f t="shared" si="26"/>
        <v>500685.96641771431</v>
      </c>
      <c r="R70" s="31">
        <f t="shared" si="26"/>
        <v>500685.96641771431</v>
      </c>
      <c r="S70" s="31">
        <f t="shared" si="26"/>
        <v>500685.96641771431</v>
      </c>
      <c r="T70" s="31">
        <f t="shared" si="26"/>
        <v>500685.96641771431</v>
      </c>
      <c r="U70" s="31">
        <f t="shared" si="26"/>
        <v>500685.96641771431</v>
      </c>
      <c r="V70" s="31">
        <f t="shared" si="23"/>
        <v>500685.96641771431</v>
      </c>
      <c r="W70" s="31">
        <f t="shared" si="23"/>
        <v>500685.96641771431</v>
      </c>
      <c r="X70" s="31">
        <f t="shared" si="23"/>
        <v>500685.96641771431</v>
      </c>
      <c r="Y70" s="31"/>
    </row>
    <row r="71" spans="1:29">
      <c r="D71" s="1" t="str">
        <f t="shared" si="24"/>
        <v>Multifamily - High Rise</v>
      </c>
      <c r="E71" s="31">
        <f t="shared" si="25"/>
        <v>114154.57189620391</v>
      </c>
      <c r="F71" s="31">
        <f t="shared" si="26"/>
        <v>114154.57189620391</v>
      </c>
      <c r="G71" s="31">
        <f t="shared" si="23"/>
        <v>114154.57189620391</v>
      </c>
      <c r="H71" s="31">
        <f t="shared" si="23"/>
        <v>114154.57189620391</v>
      </c>
      <c r="I71" s="31">
        <f t="shared" si="23"/>
        <v>114154.57189620391</v>
      </c>
      <c r="J71" s="31">
        <f t="shared" si="23"/>
        <v>114154.57189620391</v>
      </c>
      <c r="K71" s="31">
        <f t="shared" si="23"/>
        <v>114154.57189620391</v>
      </c>
      <c r="L71" s="31">
        <f t="shared" si="23"/>
        <v>114154.57189620391</v>
      </c>
      <c r="M71" s="31">
        <f t="shared" si="23"/>
        <v>114154.57189620391</v>
      </c>
      <c r="N71" s="31">
        <f t="shared" si="23"/>
        <v>114154.57189620391</v>
      </c>
      <c r="O71" s="31">
        <f t="shared" si="23"/>
        <v>114154.57189620391</v>
      </c>
      <c r="P71" s="31">
        <f t="shared" si="23"/>
        <v>114154.57189620391</v>
      </c>
      <c r="Q71" s="31">
        <f t="shared" si="23"/>
        <v>114154.57189620391</v>
      </c>
      <c r="R71" s="31">
        <f t="shared" si="23"/>
        <v>114154.57189620391</v>
      </c>
      <c r="S71" s="31">
        <f t="shared" si="23"/>
        <v>114154.57189620391</v>
      </c>
      <c r="T71" s="31">
        <f t="shared" si="23"/>
        <v>114154.57189620391</v>
      </c>
      <c r="U71" s="31">
        <f t="shared" si="23"/>
        <v>114154.57189620391</v>
      </c>
      <c r="V71" s="31">
        <f t="shared" si="23"/>
        <v>114154.57189620391</v>
      </c>
      <c r="W71" s="31">
        <f t="shared" si="23"/>
        <v>114154.57189620391</v>
      </c>
      <c r="X71" s="31">
        <f t="shared" si="23"/>
        <v>114154.57189620391</v>
      </c>
      <c r="Y71" s="31"/>
    </row>
    <row r="72" spans="1:29">
      <c r="D72" s="1" t="str">
        <f t="shared" si="24"/>
        <v>Manufactured</v>
      </c>
      <c r="E72" s="31">
        <f t="shared" si="25"/>
        <v>463801.82392518409</v>
      </c>
      <c r="F72" s="31">
        <f t="shared" si="26"/>
        <v>463801.82392518409</v>
      </c>
      <c r="G72" s="31">
        <f t="shared" si="23"/>
        <v>463801.82392518409</v>
      </c>
      <c r="H72" s="31">
        <f t="shared" si="23"/>
        <v>463801.82392518409</v>
      </c>
      <c r="I72" s="31">
        <f t="shared" si="23"/>
        <v>463801.82392518409</v>
      </c>
      <c r="J72" s="31">
        <f t="shared" si="23"/>
        <v>463801.82392518409</v>
      </c>
      <c r="K72" s="31">
        <f t="shared" si="23"/>
        <v>463801.82392518409</v>
      </c>
      <c r="L72" s="31">
        <f t="shared" si="23"/>
        <v>463801.82392518409</v>
      </c>
      <c r="M72" s="31">
        <f t="shared" si="23"/>
        <v>463801.82392518409</v>
      </c>
      <c r="N72" s="31">
        <f t="shared" si="23"/>
        <v>463801.82392518409</v>
      </c>
      <c r="O72" s="31">
        <f t="shared" si="23"/>
        <v>463801.82392518409</v>
      </c>
      <c r="P72" s="31">
        <f t="shared" si="23"/>
        <v>463801.82392518409</v>
      </c>
      <c r="Q72" s="31">
        <f t="shared" si="23"/>
        <v>463801.82392518409</v>
      </c>
      <c r="R72" s="31">
        <f t="shared" si="23"/>
        <v>463801.82392518409</v>
      </c>
      <c r="S72" s="31">
        <f t="shared" si="23"/>
        <v>463801.82392518409</v>
      </c>
      <c r="T72" s="31">
        <f t="shared" si="23"/>
        <v>463801.82392518409</v>
      </c>
      <c r="U72" s="31">
        <f t="shared" si="23"/>
        <v>463801.82392518409</v>
      </c>
      <c r="V72" s="31">
        <f t="shared" si="23"/>
        <v>463801.82392518409</v>
      </c>
      <c r="W72" s="31">
        <f t="shared" si="23"/>
        <v>463801.82392518409</v>
      </c>
      <c r="X72" s="31">
        <f t="shared" si="23"/>
        <v>463801.82392518409</v>
      </c>
      <c r="Y72" s="31"/>
    </row>
    <row r="74" spans="1:29">
      <c r="E74" s="31">
        <f t="shared" ref="E74:X74" si="27">SUM(E69:E72)</f>
        <v>7302605.9910701448</v>
      </c>
      <c r="F74" s="31">
        <f t="shared" si="27"/>
        <v>7302605.9910701448</v>
      </c>
      <c r="G74" s="31">
        <f t="shared" si="27"/>
        <v>7302605.9910701448</v>
      </c>
      <c r="H74" s="31">
        <f t="shared" si="27"/>
        <v>7302605.9910701448</v>
      </c>
      <c r="I74" s="31">
        <f t="shared" si="27"/>
        <v>7302605.9910701448</v>
      </c>
      <c r="J74" s="31">
        <f t="shared" si="27"/>
        <v>7302605.9910701448</v>
      </c>
      <c r="K74" s="31">
        <f t="shared" si="27"/>
        <v>7302605.9910701448</v>
      </c>
      <c r="L74" s="31">
        <f t="shared" si="27"/>
        <v>7302605.9910701448</v>
      </c>
      <c r="M74" s="31">
        <f t="shared" si="27"/>
        <v>7302605.9910701448</v>
      </c>
      <c r="N74" s="31">
        <f t="shared" si="27"/>
        <v>7302605.9910701448</v>
      </c>
      <c r="O74" s="31">
        <f t="shared" si="27"/>
        <v>7302605.9910701448</v>
      </c>
      <c r="P74" s="31">
        <f t="shared" si="27"/>
        <v>7302605.9910701448</v>
      </c>
      <c r="Q74" s="31">
        <f t="shared" si="27"/>
        <v>7302605.9910701448</v>
      </c>
      <c r="R74" s="31">
        <f t="shared" si="27"/>
        <v>7302605.9910701448</v>
      </c>
      <c r="S74" s="31">
        <f t="shared" si="27"/>
        <v>7302605.9910701448</v>
      </c>
      <c r="T74" s="31">
        <f t="shared" si="27"/>
        <v>7302605.9910701448</v>
      </c>
      <c r="U74" s="31">
        <f t="shared" si="27"/>
        <v>7302605.9910701448</v>
      </c>
      <c r="V74" s="31">
        <f t="shared" si="27"/>
        <v>7302605.9910701448</v>
      </c>
      <c r="W74" s="31">
        <f t="shared" si="27"/>
        <v>7302605.9910701448</v>
      </c>
      <c r="X74" s="31">
        <f t="shared" si="27"/>
        <v>7302605.9910701448</v>
      </c>
      <c r="Y74" s="31"/>
    </row>
    <row r="75" spans="1:29">
      <c r="E75" s="31"/>
      <c r="F75" s="31"/>
      <c r="G75" s="31"/>
      <c r="H75" s="31"/>
      <c r="I75" s="31"/>
      <c r="J75" s="31"/>
      <c r="K75" s="31"/>
      <c r="L75" s="31"/>
      <c r="M75" s="31"/>
      <c r="N75" s="31"/>
      <c r="O75" s="31"/>
      <c r="P75" s="31"/>
      <c r="Q75" s="31"/>
      <c r="R75" s="31"/>
      <c r="S75" s="31"/>
      <c r="T75" s="31"/>
      <c r="U75" s="31"/>
      <c r="V75" s="31"/>
      <c r="W75" s="31"/>
      <c r="X75" s="31"/>
      <c r="Y75" s="31"/>
    </row>
    <row r="77" spans="1:29" customForma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ustomFormat="1" ht="15">
      <c r="A78" s="63" t="s">
        <v>72</v>
      </c>
      <c r="B78" s="1"/>
      <c r="C78" s="1"/>
      <c r="D78" s="66" t="s">
        <v>153</v>
      </c>
      <c r="E78" s="1" t="s">
        <v>185</v>
      </c>
      <c r="F78" s="1"/>
      <c r="G78" s="1"/>
      <c r="H78" s="1"/>
      <c r="I78" s="1"/>
      <c r="J78" s="1"/>
      <c r="K78" s="1"/>
      <c r="L78" s="1"/>
      <c r="M78" s="1"/>
      <c r="N78" s="1"/>
      <c r="O78" s="1"/>
      <c r="P78" s="1"/>
      <c r="Q78" s="1"/>
      <c r="R78" s="1"/>
      <c r="S78" s="1"/>
      <c r="T78" s="1"/>
      <c r="U78" s="1"/>
      <c r="V78" s="1"/>
      <c r="W78" s="1"/>
      <c r="X78" s="1"/>
      <c r="Y78" s="1"/>
      <c r="Z78" s="1"/>
      <c r="AA78" s="1"/>
      <c r="AB78" s="1"/>
      <c r="AC78" s="1"/>
    </row>
    <row r="79" spans="1:29" customFormat="1" ht="15">
      <c r="A79" s="61" t="s">
        <v>73</v>
      </c>
      <c r="B79" s="61" t="s">
        <v>44</v>
      </c>
      <c r="C79" s="61"/>
      <c r="D79" s="61">
        <v>1</v>
      </c>
      <c r="E79" s="74">
        <f t="shared" ref="E79:X79" si="28">E11</f>
        <v>2016</v>
      </c>
      <c r="F79" s="67">
        <f t="shared" si="28"/>
        <v>2017</v>
      </c>
      <c r="G79" s="67">
        <f t="shared" si="28"/>
        <v>2018</v>
      </c>
      <c r="H79" s="67">
        <f t="shared" si="28"/>
        <v>2019</v>
      </c>
      <c r="I79" s="67">
        <f t="shared" si="28"/>
        <v>2020</v>
      </c>
      <c r="J79" s="67">
        <f t="shared" si="28"/>
        <v>2021</v>
      </c>
      <c r="K79" s="67">
        <f t="shared" si="28"/>
        <v>2022</v>
      </c>
      <c r="L79" s="67">
        <f t="shared" si="28"/>
        <v>2023</v>
      </c>
      <c r="M79" s="67">
        <f t="shared" si="28"/>
        <v>2024</v>
      </c>
      <c r="N79" s="67">
        <f t="shared" si="28"/>
        <v>2025</v>
      </c>
      <c r="O79" s="67">
        <f t="shared" si="28"/>
        <v>2026</v>
      </c>
      <c r="P79" s="67">
        <f t="shared" si="28"/>
        <v>2027</v>
      </c>
      <c r="Q79" s="67">
        <f t="shared" si="28"/>
        <v>2028</v>
      </c>
      <c r="R79" s="67">
        <f t="shared" si="28"/>
        <v>2029</v>
      </c>
      <c r="S79" s="67">
        <f t="shared" si="28"/>
        <v>2030</v>
      </c>
      <c r="T79" s="67">
        <f t="shared" si="28"/>
        <v>2031</v>
      </c>
      <c r="U79" s="67">
        <f t="shared" si="28"/>
        <v>2032</v>
      </c>
      <c r="V79" s="67">
        <f t="shared" si="28"/>
        <v>2033</v>
      </c>
      <c r="W79" s="67">
        <f t="shared" si="28"/>
        <v>2034</v>
      </c>
      <c r="X79" s="67">
        <f t="shared" si="28"/>
        <v>2035</v>
      </c>
      <c r="Y79" s="68" t="s">
        <v>159</v>
      </c>
      <c r="Z79" s="1"/>
      <c r="AA79" s="1"/>
    </row>
    <row r="80" spans="1:29" customFormat="1" ht="15">
      <c r="A80" s="61" t="s">
        <v>36</v>
      </c>
      <c r="B80" s="61" t="s">
        <v>74</v>
      </c>
      <c r="C80" s="61" t="s">
        <v>75</v>
      </c>
      <c r="D80" s="61" t="s">
        <v>76</v>
      </c>
      <c r="E80" s="75" t="str">
        <f>CONCATENATE($E$78,"_",E$11)</f>
        <v>aMW_2016</v>
      </c>
      <c r="F80" s="69" t="str">
        <f t="shared" ref="F80:X80" si="29">CONCATENATE($E$78,"_",F$11)</f>
        <v>aMW_2017</v>
      </c>
      <c r="G80" s="69" t="str">
        <f t="shared" si="29"/>
        <v>aMW_2018</v>
      </c>
      <c r="H80" s="69" t="str">
        <f t="shared" si="29"/>
        <v>aMW_2019</v>
      </c>
      <c r="I80" s="69" t="str">
        <f t="shared" si="29"/>
        <v>aMW_2020</v>
      </c>
      <c r="J80" s="69" t="str">
        <f t="shared" si="29"/>
        <v>aMW_2021</v>
      </c>
      <c r="K80" s="69" t="str">
        <f t="shared" si="29"/>
        <v>aMW_2022</v>
      </c>
      <c r="L80" s="69" t="str">
        <f t="shared" si="29"/>
        <v>aMW_2023</v>
      </c>
      <c r="M80" s="69" t="str">
        <f t="shared" si="29"/>
        <v>aMW_2024</v>
      </c>
      <c r="N80" s="69" t="str">
        <f t="shared" si="29"/>
        <v>aMW_2025</v>
      </c>
      <c r="O80" s="69" t="str">
        <f t="shared" si="29"/>
        <v>aMW_2026</v>
      </c>
      <c r="P80" s="69" t="str">
        <f t="shared" si="29"/>
        <v>aMW_2027</v>
      </c>
      <c r="Q80" s="69" t="str">
        <f t="shared" si="29"/>
        <v>aMW_2028</v>
      </c>
      <c r="R80" s="69" t="str">
        <f t="shared" si="29"/>
        <v>aMW_2029</v>
      </c>
      <c r="S80" s="69" t="str">
        <f t="shared" si="29"/>
        <v>aMW_2030</v>
      </c>
      <c r="T80" s="69" t="str">
        <f t="shared" si="29"/>
        <v>aMW_2031</v>
      </c>
      <c r="U80" s="69" t="str">
        <f t="shared" si="29"/>
        <v>aMW_2032</v>
      </c>
      <c r="V80" s="69" t="str">
        <f t="shared" si="29"/>
        <v>aMW_2033</v>
      </c>
      <c r="W80" s="69" t="str">
        <f t="shared" si="29"/>
        <v>aMW_2034</v>
      </c>
      <c r="X80" s="69" t="str">
        <f t="shared" si="29"/>
        <v>aMW_2035</v>
      </c>
      <c r="Y80" s="70" t="s">
        <v>159</v>
      </c>
      <c r="Z80" s="1"/>
      <c r="AA80" s="1"/>
    </row>
    <row r="81" spans="1:29" customFormat="1">
      <c r="A81" s="89">
        <f t="shared" ref="A81:A140" si="30">VLOOKUP($D81,MeasureOutput,3,FALSE)</f>
        <v>19.236292058718274</v>
      </c>
      <c r="B81" s="71">
        <f t="shared" ref="B81:B140" si="31">VLOOKUP($D81,MeasureOutput,11,FALSE)</f>
        <v>-15.059976945801358</v>
      </c>
      <c r="C81" s="1" t="str">
        <f>C13</f>
        <v>Single Family</v>
      </c>
      <c r="D81" t="s">
        <v>716</v>
      </c>
      <c r="E81" s="37">
        <f>VLOOKUP($C81,$D$60:$Z$63,E$32,FALSE)*$D$79*$A81/8760/1000*INDEX('Bulb Weighting'!$B$2:$C$17,MATCH(RIGHT('SC-New'!$D44,LEN($D81)-7),'Bulb Weighting'!$B$3:$B$17,0)+1,2)</f>
        <v>1.1081636867659674</v>
      </c>
      <c r="F81" s="37">
        <f>VLOOKUP($C81,$D$60:$Z$63,F$32,FALSE)*$D$79*$A81/8760/1000*INDEX('Bulb Weighting'!$B$2:$C$17,MATCH(RIGHT('SC-New'!$D44,LEN($D81)-7),'Bulb Weighting'!$B$3:$B$17,0)+1,2)</f>
        <v>0</v>
      </c>
      <c r="G81" s="37">
        <f>VLOOKUP($C81,$D$60:$Z$63,G$32,FALSE)*$D$79*$A81/8760/1000*INDEX('Bulb Weighting'!$B$2:$C$17,MATCH(RIGHT('SC-New'!$D44,LEN($D81)-7),'Bulb Weighting'!$B$3:$B$17,0)+1,2)</f>
        <v>0</v>
      </c>
      <c r="H81" s="37">
        <f>VLOOKUP($C81,$D$60:$Z$63,H$32,FALSE)*$D$79*$A81/8760/1000*INDEX('Bulb Weighting'!$B$2:$C$17,MATCH(RIGHT('SC-New'!$D44,LEN($D81)-7),'Bulb Weighting'!$B$3:$B$17,0)+1,2)</f>
        <v>0</v>
      </c>
      <c r="I81" s="37">
        <f>VLOOKUP($C81,$D$60:$Z$63,I$32,FALSE)*$D$79*$A81/8760/1000*INDEX('Bulb Weighting'!$B$2:$C$17,MATCH(RIGHT('SC-New'!$D44,LEN($D81)-7),'Bulb Weighting'!$B$3:$B$17,0)+1,2)</f>
        <v>0</v>
      </c>
      <c r="J81" s="37">
        <f>VLOOKUP($C81,$D$60:$Z$63,J$32,FALSE)*$D$79*$A81/8760/1000*INDEX('Bulb Weighting'!$B$2:$C$17,MATCH(RIGHT('SC-New'!$D44,LEN($D81)-7),'Bulb Weighting'!$B$3:$B$17,0)+1,2)</f>
        <v>0</v>
      </c>
      <c r="K81" s="37">
        <f>VLOOKUP($C81,$D$60:$Z$63,K$32,FALSE)*$D$79*$A81/8760/1000*INDEX('Bulb Weighting'!$B$2:$C$17,MATCH(RIGHT('SC-New'!$D44,LEN($D81)-7),'Bulb Weighting'!$B$3:$B$17,0)+1,2)</f>
        <v>0</v>
      </c>
      <c r="L81" s="37">
        <f>VLOOKUP($C81,$D$60:$Z$63,L$32,FALSE)*$D$79*$A81/8760/1000*INDEX('Bulb Weighting'!$B$2:$C$17,MATCH(RIGHT('SC-New'!$D44,LEN($D81)-7),'Bulb Weighting'!$B$3:$B$17,0)+1,2)</f>
        <v>0</v>
      </c>
      <c r="M81" s="37">
        <f>VLOOKUP($C81,$D$60:$Z$63,M$32,FALSE)*$D$79*$A81/8760/1000*INDEX('Bulb Weighting'!$B$2:$C$17,MATCH(RIGHT('SC-New'!$D44,LEN($D81)-7),'Bulb Weighting'!$B$3:$B$17,0)+1,2)</f>
        <v>0</v>
      </c>
      <c r="N81" s="37">
        <f>VLOOKUP($C81,$D$60:$Z$63,N$32,FALSE)*$D$79*$A81/8760/1000*INDEX('Bulb Weighting'!$B$2:$C$17,MATCH(RIGHT('SC-New'!$D44,LEN($D81)-7),'Bulb Weighting'!$B$3:$B$17,0)+1,2)</f>
        <v>0</v>
      </c>
      <c r="O81" s="37">
        <f>VLOOKUP($C81,$D$60:$Z$63,O$32,FALSE)*$D$79*$A81/8760/1000*INDEX('Bulb Weighting'!$B$2:$C$17,MATCH(RIGHT('SC-New'!$D44,LEN($D81)-7),'Bulb Weighting'!$B$3:$B$17,0)+1,2)</f>
        <v>0</v>
      </c>
      <c r="P81" s="37">
        <f>VLOOKUP($C81,$D$60:$Z$63,P$32,FALSE)*$D$79*$A81/8760/1000*INDEX('Bulb Weighting'!$B$2:$C$17,MATCH(RIGHT('SC-New'!$D44,LEN($D81)-7),'Bulb Weighting'!$B$3:$B$17,0)+1,2)</f>
        <v>0</v>
      </c>
      <c r="Q81" s="37">
        <f>VLOOKUP($C81,$D$60:$Z$63,Q$32,FALSE)*$D$79*$A81/8760/1000*INDEX('Bulb Weighting'!$B$2:$C$17,MATCH(RIGHT('SC-New'!$D44,LEN($D81)-7),'Bulb Weighting'!$B$3:$B$17,0)+1,2)</f>
        <v>0</v>
      </c>
      <c r="R81" s="37">
        <f>VLOOKUP($C81,$D$60:$Z$63,R$32,FALSE)*$D$79*$A81/8760/1000*INDEX('Bulb Weighting'!$B$2:$C$17,MATCH(RIGHT('SC-New'!$D44,LEN($D81)-7),'Bulb Weighting'!$B$3:$B$17,0)+1,2)</f>
        <v>0</v>
      </c>
      <c r="S81" s="37">
        <f>VLOOKUP($C81,$D$60:$Z$63,S$32,FALSE)*$D$79*$A81/8760/1000*INDEX('Bulb Weighting'!$B$2:$C$17,MATCH(RIGHT('SC-New'!$D44,LEN($D81)-7),'Bulb Weighting'!$B$3:$B$17,0)+1,2)</f>
        <v>0</v>
      </c>
      <c r="T81" s="37">
        <f>VLOOKUP($C81,$D$60:$Z$63,T$32,FALSE)*$D$79*$A81/8760/1000*INDEX('Bulb Weighting'!$B$2:$C$17,MATCH(RIGHT('SC-New'!$D44,LEN($D81)-7),'Bulb Weighting'!$B$3:$B$17,0)+1,2)</f>
        <v>0</v>
      </c>
      <c r="U81" s="37">
        <f>VLOOKUP($C81,$D$60:$Z$63,U$32,FALSE)*$D$79*$A81/8760/1000*INDEX('Bulb Weighting'!$B$2:$C$17,MATCH(RIGHT('SC-New'!$D44,LEN($D81)-7),'Bulb Weighting'!$B$3:$B$17,0)+1,2)</f>
        <v>0</v>
      </c>
      <c r="V81" s="37">
        <f>VLOOKUP($C81,$D$60:$Z$63,V$32,FALSE)*$D$79*$A81/8760/1000*INDEX('Bulb Weighting'!$B$2:$C$17,MATCH(RIGHT('SC-New'!$D44,LEN($D81)-7),'Bulb Weighting'!$B$3:$B$17,0)+1,2)</f>
        <v>0</v>
      </c>
      <c r="W81" s="37">
        <f>VLOOKUP($C81,$D$60:$Z$63,W$32,FALSE)*$D$79*$A81/8760/1000*INDEX('Bulb Weighting'!$B$2:$C$17,MATCH(RIGHT('SC-New'!$D44,LEN($D81)-7),'Bulb Weighting'!$B$3:$B$17,0)+1,2)</f>
        <v>0</v>
      </c>
      <c r="X81" s="37">
        <f>VLOOKUP($C81,$D$60:$Z$63,X$32,FALSE)*$D$79*$A81/8760/1000*INDEX('Bulb Weighting'!$B$2:$C$17,MATCH(RIGHT('SC-New'!$D44,LEN($D81)-7),'Bulb Weighting'!$B$3:$B$17,0)+1,2)</f>
        <v>0</v>
      </c>
      <c r="Y81" s="32">
        <f>(VLOOKUP($C81,$D$43:$Z$46,$X$68+3,FALSE)+VLOOKUP($C81,$D$51:$Z$54,$X$68+3,FALSE))*$A81*$D$79/8760/1000*INDEX('Bulb Weighting'!$B$2:$C$17,MATCH(RIGHT('SC-New'!$D44,LEN($D81)-7),'Bulb Weighting'!$B$3:$B$17,0)+1,2)</f>
        <v>5.0097993209609388</v>
      </c>
      <c r="Z81" s="32"/>
      <c r="AA81" s="32">
        <f>SUM(E81:X81)</f>
        <v>1.1081636867659674</v>
      </c>
      <c r="AB81" s="37"/>
      <c r="AC81" s="84"/>
    </row>
    <row r="82" spans="1:29" customFormat="1">
      <c r="A82" s="89">
        <f t="shared" si="30"/>
        <v>14.492020906444102</v>
      </c>
      <c r="B82" s="71">
        <f t="shared" si="31"/>
        <v>-3.5286913755547569</v>
      </c>
      <c r="C82" s="1" t="s">
        <v>29</v>
      </c>
      <c r="D82" t="s">
        <v>718</v>
      </c>
      <c r="E82" s="37">
        <f>VLOOKUP($C82,$D$60:$Z$63,E$32,FALSE)*$D$79*$A82/8760/1000*INDEX('Bulb Weighting'!$B$2:$C$17,MATCH(RIGHT('SC-New'!$D45,LEN($D82)-7),'Bulb Weighting'!$B$3:$B$17,0)+1,2)</f>
        <v>0.22897787671820369</v>
      </c>
      <c r="F82" s="37">
        <f>VLOOKUP($C82,$D$60:$Z$63,F$32,FALSE)*$D$79*$A82/8760/1000*INDEX('Bulb Weighting'!$B$2:$C$17,MATCH(RIGHT('SC-New'!$D45,LEN($D82)-7),'Bulb Weighting'!$B$3:$B$17,0)+1,2)</f>
        <v>0</v>
      </c>
      <c r="G82" s="37">
        <f>VLOOKUP($C82,$D$60:$Z$63,G$32,FALSE)*$D$79*$A82/8760/1000*INDEX('Bulb Weighting'!$B$2:$C$17,MATCH(RIGHT('SC-New'!$D45,LEN($D82)-7),'Bulb Weighting'!$B$3:$B$17,0)+1,2)</f>
        <v>0</v>
      </c>
      <c r="H82" s="37">
        <f>VLOOKUP($C82,$D$60:$Z$63,H$32,FALSE)*$D$79*$A82/8760/1000*INDEX('Bulb Weighting'!$B$2:$C$17,MATCH(RIGHT('SC-New'!$D45,LEN($D82)-7),'Bulb Weighting'!$B$3:$B$17,0)+1,2)</f>
        <v>0</v>
      </c>
      <c r="I82" s="37">
        <f>VLOOKUP($C82,$D$60:$Z$63,I$32,FALSE)*$D$79*$A82/8760/1000*INDEX('Bulb Weighting'!$B$2:$C$17,MATCH(RIGHT('SC-New'!$D45,LEN($D82)-7),'Bulb Weighting'!$B$3:$B$17,0)+1,2)</f>
        <v>0</v>
      </c>
      <c r="J82" s="37">
        <f>VLOOKUP($C82,$D$60:$Z$63,J$32,FALSE)*$D$79*$A82/8760/1000*INDEX('Bulb Weighting'!$B$2:$C$17,MATCH(RIGHT('SC-New'!$D45,LEN($D82)-7),'Bulb Weighting'!$B$3:$B$17,0)+1,2)</f>
        <v>0</v>
      </c>
      <c r="K82" s="37">
        <f>VLOOKUP($C82,$D$60:$Z$63,K$32,FALSE)*$D$79*$A82/8760/1000*INDEX('Bulb Weighting'!$B$2:$C$17,MATCH(RIGHT('SC-New'!$D45,LEN($D82)-7),'Bulb Weighting'!$B$3:$B$17,0)+1,2)</f>
        <v>0</v>
      </c>
      <c r="L82" s="37">
        <f>VLOOKUP($C82,$D$60:$Z$63,L$32,FALSE)*$D$79*$A82/8760/1000*INDEX('Bulb Weighting'!$B$2:$C$17,MATCH(RIGHT('SC-New'!$D45,LEN($D82)-7),'Bulb Weighting'!$B$3:$B$17,0)+1,2)</f>
        <v>0</v>
      </c>
      <c r="M82" s="37">
        <f>VLOOKUP($C82,$D$60:$Z$63,M$32,FALSE)*$D$79*$A82/8760/1000*INDEX('Bulb Weighting'!$B$2:$C$17,MATCH(RIGHT('SC-New'!$D45,LEN($D82)-7),'Bulb Weighting'!$B$3:$B$17,0)+1,2)</f>
        <v>0</v>
      </c>
      <c r="N82" s="37">
        <f>VLOOKUP($C82,$D$60:$Z$63,N$32,FALSE)*$D$79*$A82/8760/1000*INDEX('Bulb Weighting'!$B$2:$C$17,MATCH(RIGHT('SC-New'!$D45,LEN($D82)-7),'Bulb Weighting'!$B$3:$B$17,0)+1,2)</f>
        <v>0</v>
      </c>
      <c r="O82" s="37">
        <f>VLOOKUP($C82,$D$60:$Z$63,O$32,FALSE)*$D$79*$A82/8760/1000*INDEX('Bulb Weighting'!$B$2:$C$17,MATCH(RIGHT('SC-New'!$D45,LEN($D82)-7),'Bulb Weighting'!$B$3:$B$17,0)+1,2)</f>
        <v>0</v>
      </c>
      <c r="P82" s="37">
        <f>VLOOKUP($C82,$D$60:$Z$63,P$32,FALSE)*$D$79*$A82/8760/1000*INDEX('Bulb Weighting'!$B$2:$C$17,MATCH(RIGHT('SC-New'!$D45,LEN($D82)-7),'Bulb Weighting'!$B$3:$B$17,0)+1,2)</f>
        <v>0</v>
      </c>
      <c r="Q82" s="37">
        <f>VLOOKUP($C82,$D$60:$Z$63,Q$32,FALSE)*$D$79*$A82/8760/1000*INDEX('Bulb Weighting'!$B$2:$C$17,MATCH(RIGHT('SC-New'!$D45,LEN($D82)-7),'Bulb Weighting'!$B$3:$B$17,0)+1,2)</f>
        <v>0</v>
      </c>
      <c r="R82" s="37">
        <f>VLOOKUP($C82,$D$60:$Z$63,R$32,FALSE)*$D$79*$A82/8760/1000*INDEX('Bulb Weighting'!$B$2:$C$17,MATCH(RIGHT('SC-New'!$D45,LEN($D82)-7),'Bulb Weighting'!$B$3:$B$17,0)+1,2)</f>
        <v>0</v>
      </c>
      <c r="S82" s="37">
        <f>VLOOKUP($C82,$D$60:$Z$63,S$32,FALSE)*$D$79*$A82/8760/1000*INDEX('Bulb Weighting'!$B$2:$C$17,MATCH(RIGHT('SC-New'!$D45,LEN($D82)-7),'Bulb Weighting'!$B$3:$B$17,0)+1,2)</f>
        <v>0</v>
      </c>
      <c r="T82" s="37">
        <f>VLOOKUP($C82,$D$60:$Z$63,T$32,FALSE)*$D$79*$A82/8760/1000*INDEX('Bulb Weighting'!$B$2:$C$17,MATCH(RIGHT('SC-New'!$D45,LEN($D82)-7),'Bulb Weighting'!$B$3:$B$17,0)+1,2)</f>
        <v>0</v>
      </c>
      <c r="U82" s="37">
        <f>VLOOKUP($C82,$D$60:$Z$63,U$32,FALSE)*$D$79*$A82/8760/1000*INDEX('Bulb Weighting'!$B$2:$C$17,MATCH(RIGHT('SC-New'!$D45,LEN($D82)-7),'Bulb Weighting'!$B$3:$B$17,0)+1,2)</f>
        <v>0</v>
      </c>
      <c r="V82" s="37">
        <f>VLOOKUP($C82,$D$60:$Z$63,V$32,FALSE)*$D$79*$A82/8760/1000*INDEX('Bulb Weighting'!$B$2:$C$17,MATCH(RIGHT('SC-New'!$D45,LEN($D82)-7),'Bulb Weighting'!$B$3:$B$17,0)+1,2)</f>
        <v>0</v>
      </c>
      <c r="W82" s="37">
        <f>VLOOKUP($C82,$D$60:$Z$63,W$32,FALSE)*$D$79*$A82/8760/1000*INDEX('Bulb Weighting'!$B$2:$C$17,MATCH(RIGHT('SC-New'!$D45,LEN($D82)-7),'Bulb Weighting'!$B$3:$B$17,0)+1,2)</f>
        <v>0</v>
      </c>
      <c r="X82" s="37">
        <f>VLOOKUP($C82,$D$60:$Z$63,X$32,FALSE)*$D$79*$A82/8760/1000*INDEX('Bulb Weighting'!$B$2:$C$17,MATCH(RIGHT('SC-New'!$D45,LEN($D82)-7),'Bulb Weighting'!$B$3:$B$17,0)+1,2)</f>
        <v>0</v>
      </c>
      <c r="Y82" s="32">
        <f>(VLOOKUP($C82,$D$43:$Z$46,$X$68+3,FALSE)+VLOOKUP($C82,$D$51:$Z$54,$X$68+3,FALSE))*$A82*$D$79/8760/1000*INDEX('Bulb Weighting'!$B$2:$C$17,MATCH(RIGHT('SC-New'!$D45,LEN($D82)-7),'Bulb Weighting'!$B$3:$B$17,0)+1,2)</f>
        <v>1.0351658559086108</v>
      </c>
      <c r="Z82" s="32"/>
      <c r="AA82" s="32">
        <f t="shared" ref="AA82:AA84" si="32">SUM(E82:X82)</f>
        <v>0.22897787671820369</v>
      </c>
      <c r="AB82" s="37"/>
      <c r="AC82" s="84"/>
    </row>
    <row r="83" spans="1:29" customFormat="1">
      <c r="A83" s="89">
        <f t="shared" si="30"/>
        <v>7.1768930642853626</v>
      </c>
      <c r="B83" s="71">
        <f t="shared" si="31"/>
        <v>355.22288385759038</v>
      </c>
      <c r="C83" s="1" t="s">
        <v>29</v>
      </c>
      <c r="D83" t="s">
        <v>720</v>
      </c>
      <c r="E83" s="37">
        <f>VLOOKUP($C83,$D$60:$Z$63,E$32,FALSE)*$D$79*$A83/8760/1000*INDEX('Bulb Weighting'!$B$2:$C$17,MATCH(RIGHT('SC-New'!$D46,LEN($D83)-7),'Bulb Weighting'!$B$3:$B$17,0)+1,2)</f>
        <v>2.2278488822231749E-3</v>
      </c>
      <c r="F83" s="37">
        <f>VLOOKUP($C83,$D$60:$Z$63,F$32,FALSE)*$D$79*$A83/8760/1000*INDEX('Bulb Weighting'!$B$2:$C$17,MATCH(RIGHT('SC-New'!$D46,LEN($D83)-7),'Bulb Weighting'!$B$3:$B$17,0)+1,2)</f>
        <v>0</v>
      </c>
      <c r="G83" s="37">
        <f>VLOOKUP($C83,$D$60:$Z$63,G$32,FALSE)*$D$79*$A83/8760/1000*INDEX('Bulb Weighting'!$B$2:$C$17,MATCH(RIGHT('SC-New'!$D46,LEN($D83)-7),'Bulb Weighting'!$B$3:$B$17,0)+1,2)</f>
        <v>0</v>
      </c>
      <c r="H83" s="37">
        <f>VLOOKUP($C83,$D$60:$Z$63,H$32,FALSE)*$D$79*$A83/8760/1000*INDEX('Bulb Weighting'!$B$2:$C$17,MATCH(RIGHT('SC-New'!$D46,LEN($D83)-7),'Bulb Weighting'!$B$3:$B$17,0)+1,2)</f>
        <v>0</v>
      </c>
      <c r="I83" s="37">
        <f>VLOOKUP($C83,$D$60:$Z$63,I$32,FALSE)*$D$79*$A83/8760/1000*INDEX('Bulb Weighting'!$B$2:$C$17,MATCH(RIGHT('SC-New'!$D46,LEN($D83)-7),'Bulb Weighting'!$B$3:$B$17,0)+1,2)</f>
        <v>0</v>
      </c>
      <c r="J83" s="37">
        <f>VLOOKUP($C83,$D$60:$Z$63,J$32,FALSE)*$D$79*$A83/8760/1000*INDEX('Bulb Weighting'!$B$2:$C$17,MATCH(RIGHT('SC-New'!$D46,LEN($D83)-7),'Bulb Weighting'!$B$3:$B$17,0)+1,2)</f>
        <v>0</v>
      </c>
      <c r="K83" s="37">
        <f>VLOOKUP($C83,$D$60:$Z$63,K$32,FALSE)*$D$79*$A83/8760/1000*INDEX('Bulb Weighting'!$B$2:$C$17,MATCH(RIGHT('SC-New'!$D46,LEN($D83)-7),'Bulb Weighting'!$B$3:$B$17,0)+1,2)</f>
        <v>0</v>
      </c>
      <c r="L83" s="37">
        <f>VLOOKUP($C83,$D$60:$Z$63,L$32,FALSE)*$D$79*$A83/8760/1000*INDEX('Bulb Weighting'!$B$2:$C$17,MATCH(RIGHT('SC-New'!$D46,LEN($D83)-7),'Bulb Weighting'!$B$3:$B$17,0)+1,2)</f>
        <v>0</v>
      </c>
      <c r="M83" s="37">
        <f>VLOOKUP($C83,$D$60:$Z$63,M$32,FALSE)*$D$79*$A83/8760/1000*INDEX('Bulb Weighting'!$B$2:$C$17,MATCH(RIGHT('SC-New'!$D46,LEN($D83)-7),'Bulb Weighting'!$B$3:$B$17,0)+1,2)</f>
        <v>0</v>
      </c>
      <c r="N83" s="37">
        <f>VLOOKUP($C83,$D$60:$Z$63,N$32,FALSE)*$D$79*$A83/8760/1000*INDEX('Bulb Weighting'!$B$2:$C$17,MATCH(RIGHT('SC-New'!$D46,LEN($D83)-7),'Bulb Weighting'!$B$3:$B$17,0)+1,2)</f>
        <v>0</v>
      </c>
      <c r="O83" s="37">
        <f>VLOOKUP($C83,$D$60:$Z$63,O$32,FALSE)*$D$79*$A83/8760/1000*INDEX('Bulb Weighting'!$B$2:$C$17,MATCH(RIGHT('SC-New'!$D46,LEN($D83)-7),'Bulb Weighting'!$B$3:$B$17,0)+1,2)</f>
        <v>0</v>
      </c>
      <c r="P83" s="37">
        <f>VLOOKUP($C83,$D$60:$Z$63,P$32,FALSE)*$D$79*$A83/8760/1000*INDEX('Bulb Weighting'!$B$2:$C$17,MATCH(RIGHT('SC-New'!$D46,LEN($D83)-7),'Bulb Weighting'!$B$3:$B$17,0)+1,2)</f>
        <v>0</v>
      </c>
      <c r="Q83" s="37">
        <f>VLOOKUP($C83,$D$60:$Z$63,Q$32,FALSE)*$D$79*$A83/8760/1000*INDEX('Bulb Weighting'!$B$2:$C$17,MATCH(RIGHT('SC-New'!$D46,LEN($D83)-7),'Bulb Weighting'!$B$3:$B$17,0)+1,2)</f>
        <v>0</v>
      </c>
      <c r="R83" s="37">
        <f>VLOOKUP($C83,$D$60:$Z$63,R$32,FALSE)*$D$79*$A83/8760/1000*INDEX('Bulb Weighting'!$B$2:$C$17,MATCH(RIGHT('SC-New'!$D46,LEN($D83)-7),'Bulb Weighting'!$B$3:$B$17,0)+1,2)</f>
        <v>0</v>
      </c>
      <c r="S83" s="37">
        <f>VLOOKUP($C83,$D$60:$Z$63,S$32,FALSE)*$D$79*$A83/8760/1000*INDEX('Bulb Weighting'!$B$2:$C$17,MATCH(RIGHT('SC-New'!$D46,LEN($D83)-7),'Bulb Weighting'!$B$3:$B$17,0)+1,2)</f>
        <v>0</v>
      </c>
      <c r="T83" s="37">
        <f>VLOOKUP($C83,$D$60:$Z$63,T$32,FALSE)*$D$79*$A83/8760/1000*INDEX('Bulb Weighting'!$B$2:$C$17,MATCH(RIGHT('SC-New'!$D46,LEN($D83)-7),'Bulb Weighting'!$B$3:$B$17,0)+1,2)</f>
        <v>0</v>
      </c>
      <c r="U83" s="37">
        <f>VLOOKUP($C83,$D$60:$Z$63,U$32,FALSE)*$D$79*$A83/8760/1000*INDEX('Bulb Weighting'!$B$2:$C$17,MATCH(RIGHT('SC-New'!$D46,LEN($D83)-7),'Bulb Weighting'!$B$3:$B$17,0)+1,2)</f>
        <v>0</v>
      </c>
      <c r="V83" s="37">
        <f>VLOOKUP($C83,$D$60:$Z$63,V$32,FALSE)*$D$79*$A83/8760/1000*INDEX('Bulb Weighting'!$B$2:$C$17,MATCH(RIGHT('SC-New'!$D46,LEN($D83)-7),'Bulb Weighting'!$B$3:$B$17,0)+1,2)</f>
        <v>0</v>
      </c>
      <c r="W83" s="37">
        <f>VLOOKUP($C83,$D$60:$Z$63,W$32,FALSE)*$D$79*$A83/8760/1000*INDEX('Bulb Weighting'!$B$2:$C$17,MATCH(RIGHT('SC-New'!$D46,LEN($D83)-7),'Bulb Weighting'!$B$3:$B$17,0)+1,2)</f>
        <v>0</v>
      </c>
      <c r="X83" s="37">
        <f>VLOOKUP($C83,$D$60:$Z$63,X$32,FALSE)*$D$79*$A83/8760/1000*INDEX('Bulb Weighting'!$B$2:$C$17,MATCH(RIGHT('SC-New'!$D46,LEN($D83)-7),'Bulb Weighting'!$B$3:$B$17,0)+1,2)</f>
        <v>0</v>
      </c>
      <c r="Y83" s="32">
        <f>(VLOOKUP($C83,$D$43:$Z$46,$X$68+3,FALSE)+VLOOKUP($C83,$D$51:$Z$54,$X$68+3,FALSE))*$A83*$D$79/8760/1000*INDEX('Bulb Weighting'!$B$2:$C$17,MATCH(RIGHT('SC-New'!$D46,LEN($D83)-7),'Bulb Weighting'!$B$3:$B$17,0)+1,2)</f>
        <v>1.007168521280228E-2</v>
      </c>
      <c r="Z83" s="32"/>
      <c r="AA83" s="32">
        <f t="shared" si="32"/>
        <v>2.2278488822231749E-3</v>
      </c>
      <c r="AB83" s="37"/>
      <c r="AC83" s="84"/>
    </row>
    <row r="84" spans="1:29" customFormat="1">
      <c r="A84" s="89">
        <f t="shared" si="30"/>
        <v>1.835623194306955</v>
      </c>
      <c r="B84" s="71">
        <f t="shared" si="31"/>
        <v>45.354656455601045</v>
      </c>
      <c r="C84" s="1" t="s">
        <v>29</v>
      </c>
      <c r="D84" t="s">
        <v>722</v>
      </c>
      <c r="E84" s="37">
        <f>VLOOKUP($C84,$D$60:$Z$63,E$32,FALSE)*$D$79*$A84/8760/1000*INDEX('Bulb Weighting'!$B$2:$C$17,MATCH(RIGHT('SC-New'!$D47,LEN($D84)-7),'Bulb Weighting'!$B$3:$B$17,0)+1,2)</f>
        <v>8.8303551853055731E-2</v>
      </c>
      <c r="F84" s="37">
        <f>VLOOKUP($C84,$D$60:$Z$63,F$32,FALSE)*$D$79*$A84/8760/1000*INDEX('Bulb Weighting'!$B$2:$C$17,MATCH(RIGHT('SC-New'!$D47,LEN($D84)-7),'Bulb Weighting'!$B$3:$B$17,0)+1,2)</f>
        <v>0</v>
      </c>
      <c r="G84" s="37">
        <f>VLOOKUP($C84,$D$60:$Z$63,G$32,FALSE)*$D$79*$A84/8760/1000*INDEX('Bulb Weighting'!$B$2:$C$17,MATCH(RIGHT('SC-New'!$D47,LEN($D84)-7),'Bulb Weighting'!$B$3:$B$17,0)+1,2)</f>
        <v>0</v>
      </c>
      <c r="H84" s="37">
        <f>VLOOKUP($C84,$D$60:$Z$63,H$32,FALSE)*$D$79*$A84/8760/1000*INDEX('Bulb Weighting'!$B$2:$C$17,MATCH(RIGHT('SC-New'!$D47,LEN($D84)-7),'Bulb Weighting'!$B$3:$B$17,0)+1,2)</f>
        <v>0</v>
      </c>
      <c r="I84" s="37">
        <f>VLOOKUP($C84,$D$60:$Z$63,I$32,FALSE)*$D$79*$A84/8760/1000*INDEX('Bulb Weighting'!$B$2:$C$17,MATCH(RIGHT('SC-New'!$D47,LEN($D84)-7),'Bulb Weighting'!$B$3:$B$17,0)+1,2)</f>
        <v>0</v>
      </c>
      <c r="J84" s="37">
        <f>VLOOKUP($C84,$D$60:$Z$63,J$32,FALSE)*$D$79*$A84/8760/1000*INDEX('Bulb Weighting'!$B$2:$C$17,MATCH(RIGHT('SC-New'!$D47,LEN($D84)-7),'Bulb Weighting'!$B$3:$B$17,0)+1,2)</f>
        <v>0</v>
      </c>
      <c r="K84" s="37">
        <f>VLOOKUP($C84,$D$60:$Z$63,K$32,FALSE)*$D$79*$A84/8760/1000*INDEX('Bulb Weighting'!$B$2:$C$17,MATCH(RIGHT('SC-New'!$D47,LEN($D84)-7),'Bulb Weighting'!$B$3:$B$17,0)+1,2)</f>
        <v>0</v>
      </c>
      <c r="L84" s="37">
        <f>VLOOKUP($C84,$D$60:$Z$63,L$32,FALSE)*$D$79*$A84/8760/1000*INDEX('Bulb Weighting'!$B$2:$C$17,MATCH(RIGHT('SC-New'!$D47,LEN($D84)-7),'Bulb Weighting'!$B$3:$B$17,0)+1,2)</f>
        <v>0</v>
      </c>
      <c r="M84" s="37">
        <f>VLOOKUP($C84,$D$60:$Z$63,M$32,FALSE)*$D$79*$A84/8760/1000*INDEX('Bulb Weighting'!$B$2:$C$17,MATCH(RIGHT('SC-New'!$D47,LEN($D84)-7),'Bulb Weighting'!$B$3:$B$17,0)+1,2)</f>
        <v>0</v>
      </c>
      <c r="N84" s="37">
        <f>VLOOKUP($C84,$D$60:$Z$63,N$32,FALSE)*$D$79*$A84/8760/1000*INDEX('Bulb Weighting'!$B$2:$C$17,MATCH(RIGHT('SC-New'!$D47,LEN($D84)-7),'Bulb Weighting'!$B$3:$B$17,0)+1,2)</f>
        <v>0</v>
      </c>
      <c r="O84" s="37">
        <f>VLOOKUP($C84,$D$60:$Z$63,O$32,FALSE)*$D$79*$A84/8760/1000*INDEX('Bulb Weighting'!$B$2:$C$17,MATCH(RIGHT('SC-New'!$D47,LEN($D84)-7),'Bulb Weighting'!$B$3:$B$17,0)+1,2)</f>
        <v>0</v>
      </c>
      <c r="P84" s="37">
        <f>VLOOKUP($C84,$D$60:$Z$63,P$32,FALSE)*$D$79*$A84/8760/1000*INDEX('Bulb Weighting'!$B$2:$C$17,MATCH(RIGHT('SC-New'!$D47,LEN($D84)-7),'Bulb Weighting'!$B$3:$B$17,0)+1,2)</f>
        <v>0</v>
      </c>
      <c r="Q84" s="37">
        <f>VLOOKUP($C84,$D$60:$Z$63,Q$32,FALSE)*$D$79*$A84/8760/1000*INDEX('Bulb Weighting'!$B$2:$C$17,MATCH(RIGHT('SC-New'!$D47,LEN($D84)-7),'Bulb Weighting'!$B$3:$B$17,0)+1,2)</f>
        <v>0</v>
      </c>
      <c r="R84" s="37">
        <f>VLOOKUP($C84,$D$60:$Z$63,R$32,FALSE)*$D$79*$A84/8760/1000*INDEX('Bulb Weighting'!$B$2:$C$17,MATCH(RIGHT('SC-New'!$D47,LEN($D84)-7),'Bulb Weighting'!$B$3:$B$17,0)+1,2)</f>
        <v>0</v>
      </c>
      <c r="S84" s="37">
        <f>VLOOKUP($C84,$D$60:$Z$63,S$32,FALSE)*$D$79*$A84/8760/1000*INDEX('Bulb Weighting'!$B$2:$C$17,MATCH(RIGHT('SC-New'!$D47,LEN($D84)-7),'Bulb Weighting'!$B$3:$B$17,0)+1,2)</f>
        <v>0</v>
      </c>
      <c r="T84" s="37">
        <f>VLOOKUP($C84,$D$60:$Z$63,T$32,FALSE)*$D$79*$A84/8760/1000*INDEX('Bulb Weighting'!$B$2:$C$17,MATCH(RIGHT('SC-New'!$D47,LEN($D84)-7),'Bulb Weighting'!$B$3:$B$17,0)+1,2)</f>
        <v>0</v>
      </c>
      <c r="U84" s="37">
        <f>VLOOKUP($C84,$D$60:$Z$63,U$32,FALSE)*$D$79*$A84/8760/1000*INDEX('Bulb Weighting'!$B$2:$C$17,MATCH(RIGHT('SC-New'!$D47,LEN($D84)-7),'Bulb Weighting'!$B$3:$B$17,0)+1,2)</f>
        <v>0</v>
      </c>
      <c r="V84" s="37">
        <f>VLOOKUP($C84,$D$60:$Z$63,V$32,FALSE)*$D$79*$A84/8760/1000*INDEX('Bulb Weighting'!$B$2:$C$17,MATCH(RIGHT('SC-New'!$D47,LEN($D84)-7),'Bulb Weighting'!$B$3:$B$17,0)+1,2)</f>
        <v>0</v>
      </c>
      <c r="W84" s="37">
        <f>VLOOKUP($C84,$D$60:$Z$63,W$32,FALSE)*$D$79*$A84/8760/1000*INDEX('Bulb Weighting'!$B$2:$C$17,MATCH(RIGHT('SC-New'!$D47,LEN($D84)-7),'Bulb Weighting'!$B$3:$B$17,0)+1,2)</f>
        <v>0</v>
      </c>
      <c r="X84" s="37">
        <f>VLOOKUP($C84,$D$60:$Z$63,X$32,FALSE)*$D$79*$A84/8760/1000*INDEX('Bulb Weighting'!$B$2:$C$17,MATCH(RIGHT('SC-New'!$D47,LEN($D84)-7),'Bulb Weighting'!$B$3:$B$17,0)+1,2)</f>
        <v>0</v>
      </c>
      <c r="Y84" s="448">
        <f>(VLOOKUP($C84,$D$43:$Z$46,$X$68+3,FALSE)+VLOOKUP($C84,$D$51:$Z$54,$X$68+3,FALSE))*$A84*$D$79/8760/1000*INDEX('Bulb Weighting'!$B$2:$C$17,MATCH(RIGHT('SC-New'!$D47,LEN($D84)-7),'Bulb Weighting'!$B$3:$B$17,0)+1,2)</f>
        <v>0.39920372720650643</v>
      </c>
      <c r="Z84" s="32"/>
      <c r="AA84" s="447">
        <f t="shared" si="32"/>
        <v>8.8303551853055731E-2</v>
      </c>
      <c r="AB84" s="37"/>
      <c r="AC84" s="84"/>
    </row>
    <row r="85" spans="1:29" customFormat="1">
      <c r="A85" s="89">
        <f t="shared" si="30"/>
        <v>7.1645689261628798</v>
      </c>
      <c r="B85" s="71">
        <f t="shared" si="31"/>
        <v>56.611757463143533</v>
      </c>
      <c r="C85" s="1" t="s">
        <v>29</v>
      </c>
      <c r="D85" t="s">
        <v>724</v>
      </c>
      <c r="E85" s="37">
        <f>VLOOKUP($C85,$D$60:$Z$63,E$32,FALSE)*$D$79*$A85/8760/1000*INDEX('Bulb Weighting'!$B$2:$C$17,MATCH(RIGHT('SC-New'!$D48,LEN($D85)-7),'Bulb Weighting'!$B$3:$B$17,0)+1,2)</f>
        <v>2.6595183365684241</v>
      </c>
      <c r="F85" s="37">
        <f>VLOOKUP($C85,$D$60:$Z$63,F$32,FALSE)*$D$79*$A85/8760/1000*INDEX('Bulb Weighting'!$B$2:$C$17,MATCH(RIGHT('SC-New'!$D48,LEN($D85)-7),'Bulb Weighting'!$B$3:$B$17,0)+1,2)</f>
        <v>0</v>
      </c>
      <c r="G85" s="37">
        <f>VLOOKUP($C85,$D$60:$Z$63,G$32,FALSE)*$D$79*$A85/8760/1000*INDEX('Bulb Weighting'!$B$2:$C$17,MATCH(RIGHT('SC-New'!$D48,LEN($D85)-7),'Bulb Weighting'!$B$3:$B$17,0)+1,2)</f>
        <v>0</v>
      </c>
      <c r="H85" s="37">
        <f>VLOOKUP($C85,$D$60:$Z$63,H$32,FALSE)*$D$79*$A85/8760/1000*INDEX('Bulb Weighting'!$B$2:$C$17,MATCH(RIGHT('SC-New'!$D48,LEN($D85)-7),'Bulb Weighting'!$B$3:$B$17,0)+1,2)</f>
        <v>0</v>
      </c>
      <c r="I85" s="37">
        <f>VLOOKUP($C85,$D$60:$Z$63,I$32,FALSE)*$D$79*$A85/8760/1000*INDEX('Bulb Weighting'!$B$2:$C$17,MATCH(RIGHT('SC-New'!$D48,LEN($D85)-7),'Bulb Weighting'!$B$3:$B$17,0)+1,2)</f>
        <v>0</v>
      </c>
      <c r="J85" s="37">
        <f>VLOOKUP($C85,$D$60:$Z$63,J$32,FALSE)*$D$79*$A85/8760/1000*INDEX('Bulb Weighting'!$B$2:$C$17,MATCH(RIGHT('SC-New'!$D48,LEN($D85)-7),'Bulb Weighting'!$B$3:$B$17,0)+1,2)</f>
        <v>0</v>
      </c>
      <c r="K85" s="37">
        <f>VLOOKUP($C85,$D$60:$Z$63,K$32,FALSE)*$D$79*$A85/8760/1000*INDEX('Bulb Weighting'!$B$2:$C$17,MATCH(RIGHT('SC-New'!$D48,LEN($D85)-7),'Bulb Weighting'!$B$3:$B$17,0)+1,2)</f>
        <v>0</v>
      </c>
      <c r="L85" s="37">
        <f>VLOOKUP($C85,$D$60:$Z$63,L$32,FALSE)*$D$79*$A85/8760/1000*INDEX('Bulb Weighting'!$B$2:$C$17,MATCH(RIGHT('SC-New'!$D48,LEN($D85)-7),'Bulb Weighting'!$B$3:$B$17,0)+1,2)</f>
        <v>0</v>
      </c>
      <c r="M85" s="37">
        <f>VLOOKUP($C85,$D$60:$Z$63,M$32,FALSE)*$D$79*$A85/8760/1000*INDEX('Bulb Weighting'!$B$2:$C$17,MATCH(RIGHT('SC-New'!$D48,LEN($D85)-7),'Bulb Weighting'!$B$3:$B$17,0)+1,2)</f>
        <v>0</v>
      </c>
      <c r="N85" s="37">
        <f>VLOOKUP($C85,$D$60:$Z$63,N$32,FALSE)*$D$79*$A85/8760/1000*INDEX('Bulb Weighting'!$B$2:$C$17,MATCH(RIGHT('SC-New'!$D48,LEN($D85)-7),'Bulb Weighting'!$B$3:$B$17,0)+1,2)</f>
        <v>0</v>
      </c>
      <c r="O85" s="37">
        <f>VLOOKUP($C85,$D$60:$Z$63,O$32,FALSE)*$D$79*$A85/8760/1000*INDEX('Bulb Weighting'!$B$2:$C$17,MATCH(RIGHT('SC-New'!$D48,LEN($D85)-7),'Bulb Weighting'!$B$3:$B$17,0)+1,2)</f>
        <v>0</v>
      </c>
      <c r="P85" s="37">
        <f>VLOOKUP($C85,$D$60:$Z$63,P$32,FALSE)*$D$79*$A85/8760/1000*INDEX('Bulb Weighting'!$B$2:$C$17,MATCH(RIGHT('SC-New'!$D48,LEN($D85)-7),'Bulb Weighting'!$B$3:$B$17,0)+1,2)</f>
        <v>0</v>
      </c>
      <c r="Q85" s="37">
        <f>VLOOKUP($C85,$D$60:$Z$63,Q$32,FALSE)*$D$79*$A85/8760/1000*INDEX('Bulb Weighting'!$B$2:$C$17,MATCH(RIGHT('SC-New'!$D48,LEN($D85)-7),'Bulb Weighting'!$B$3:$B$17,0)+1,2)</f>
        <v>0</v>
      </c>
      <c r="R85" s="37">
        <f>VLOOKUP($C85,$D$60:$Z$63,R$32,FALSE)*$D$79*$A85/8760/1000*INDEX('Bulb Weighting'!$B$2:$C$17,MATCH(RIGHT('SC-New'!$D48,LEN($D85)-7),'Bulb Weighting'!$B$3:$B$17,0)+1,2)</f>
        <v>0</v>
      </c>
      <c r="S85" s="37">
        <f>VLOOKUP($C85,$D$60:$Z$63,S$32,FALSE)*$D$79*$A85/8760/1000*INDEX('Bulb Weighting'!$B$2:$C$17,MATCH(RIGHT('SC-New'!$D48,LEN($D85)-7),'Bulb Weighting'!$B$3:$B$17,0)+1,2)</f>
        <v>0</v>
      </c>
      <c r="T85" s="37">
        <f>VLOOKUP($C85,$D$60:$Z$63,T$32,FALSE)*$D$79*$A85/8760/1000*INDEX('Bulb Weighting'!$B$2:$C$17,MATCH(RIGHT('SC-New'!$D48,LEN($D85)-7),'Bulb Weighting'!$B$3:$B$17,0)+1,2)</f>
        <v>0</v>
      </c>
      <c r="U85" s="37">
        <f>VLOOKUP($C85,$D$60:$Z$63,U$32,FALSE)*$D$79*$A85/8760/1000*INDEX('Bulb Weighting'!$B$2:$C$17,MATCH(RIGHT('SC-New'!$D48,LEN($D85)-7),'Bulb Weighting'!$B$3:$B$17,0)+1,2)</f>
        <v>0</v>
      </c>
      <c r="V85" s="37">
        <f>VLOOKUP($C85,$D$60:$Z$63,V$32,FALSE)*$D$79*$A85/8760/1000*INDEX('Bulb Weighting'!$B$2:$C$17,MATCH(RIGHT('SC-New'!$D48,LEN($D85)-7),'Bulb Weighting'!$B$3:$B$17,0)+1,2)</f>
        <v>0</v>
      </c>
      <c r="W85" s="37">
        <f>VLOOKUP($C85,$D$60:$Z$63,W$32,FALSE)*$D$79*$A85/8760/1000*INDEX('Bulb Weighting'!$B$2:$C$17,MATCH(RIGHT('SC-New'!$D48,LEN($D85)-7),'Bulb Weighting'!$B$3:$B$17,0)+1,2)</f>
        <v>0</v>
      </c>
      <c r="X85" s="37">
        <f>VLOOKUP($C85,$D$60:$Z$63,X$32,FALSE)*$D$79*$A85/8760/1000*INDEX('Bulb Weighting'!$B$2:$C$17,MATCH(RIGHT('SC-New'!$D48,LEN($D85)-7),'Bulb Weighting'!$B$3:$B$17,0)+1,2)</f>
        <v>0</v>
      </c>
      <c r="Y85" s="448">
        <f>(VLOOKUP($C85,$D$43:$Z$46,$X$68+3,FALSE)+VLOOKUP($C85,$D$51:$Z$54,$X$68+3,FALSE))*$A85*$D$79/8760/1000*INDEX('Bulb Weighting'!$B$2:$C$17,MATCH(RIGHT('SC-New'!$D48,LEN($D85)-7),'Bulb Weighting'!$B$3:$B$17,0)+1,2)</f>
        <v>12.023181517079864</v>
      </c>
      <c r="Z85" s="32"/>
      <c r="AA85" s="447">
        <f>SUM(E85:X85)</f>
        <v>2.6595183365684241</v>
      </c>
      <c r="AB85" s="37"/>
      <c r="AC85" s="84"/>
    </row>
    <row r="86" spans="1:29" customFormat="1">
      <c r="A86" s="89">
        <f t="shared" si="30"/>
        <v>13.386672313322151</v>
      </c>
      <c r="B86" s="71">
        <f t="shared" si="31"/>
        <v>91.063681093838966</v>
      </c>
      <c r="C86" s="1" t="s">
        <v>29</v>
      </c>
      <c r="D86" t="s">
        <v>726</v>
      </c>
      <c r="E86" s="37">
        <f>VLOOKUP($C86,$D$60:$Z$63,E$32,FALSE)*$D$79*$A86/8760/1000*INDEX('Bulb Weighting'!$B$2:$C$17,MATCH(RIGHT('SC-New'!$D49,LEN($D86)-7),'Bulb Weighting'!$B$3:$B$17,0)+1,2)</f>
        <v>0.4954345615412834</v>
      </c>
      <c r="F86" s="37">
        <f>VLOOKUP($C86,$D$60:$Z$63,F$32,FALSE)*$D$79*$A86/8760/1000*INDEX('Bulb Weighting'!$B$2:$C$17,MATCH(RIGHT('SC-New'!$D49,LEN($D86)-7),'Bulb Weighting'!$B$3:$B$17,0)+1,2)</f>
        <v>0</v>
      </c>
      <c r="G86" s="37">
        <f>VLOOKUP($C86,$D$60:$Z$63,G$32,FALSE)*$D$79*$A86/8760/1000*INDEX('Bulb Weighting'!$B$2:$C$17,MATCH(RIGHT('SC-New'!$D49,LEN($D86)-7),'Bulb Weighting'!$B$3:$B$17,0)+1,2)</f>
        <v>0</v>
      </c>
      <c r="H86" s="37">
        <f>VLOOKUP($C86,$D$60:$Z$63,H$32,FALSE)*$D$79*$A86/8760/1000*INDEX('Bulb Weighting'!$B$2:$C$17,MATCH(RIGHT('SC-New'!$D49,LEN($D86)-7),'Bulb Weighting'!$B$3:$B$17,0)+1,2)</f>
        <v>0</v>
      </c>
      <c r="I86" s="37">
        <f>VLOOKUP($C86,$D$60:$Z$63,I$32,FALSE)*$D$79*$A86/8760/1000*INDEX('Bulb Weighting'!$B$2:$C$17,MATCH(RIGHT('SC-New'!$D49,LEN($D86)-7),'Bulb Weighting'!$B$3:$B$17,0)+1,2)</f>
        <v>0</v>
      </c>
      <c r="J86" s="37">
        <f>VLOOKUP($C86,$D$60:$Z$63,J$32,FALSE)*$D$79*$A86/8760/1000*INDEX('Bulb Weighting'!$B$2:$C$17,MATCH(RIGHT('SC-New'!$D49,LEN($D86)-7),'Bulb Weighting'!$B$3:$B$17,0)+1,2)</f>
        <v>0</v>
      </c>
      <c r="K86" s="37">
        <f>VLOOKUP($C86,$D$60:$Z$63,K$32,FALSE)*$D$79*$A86/8760/1000*INDEX('Bulb Weighting'!$B$2:$C$17,MATCH(RIGHT('SC-New'!$D49,LEN($D86)-7),'Bulb Weighting'!$B$3:$B$17,0)+1,2)</f>
        <v>0</v>
      </c>
      <c r="L86" s="37">
        <f>VLOOKUP($C86,$D$60:$Z$63,L$32,FALSE)*$D$79*$A86/8760/1000*INDEX('Bulb Weighting'!$B$2:$C$17,MATCH(RIGHT('SC-New'!$D49,LEN($D86)-7),'Bulb Weighting'!$B$3:$B$17,0)+1,2)</f>
        <v>0</v>
      </c>
      <c r="M86" s="37">
        <f>VLOOKUP($C86,$D$60:$Z$63,M$32,FALSE)*$D$79*$A86/8760/1000*INDEX('Bulb Weighting'!$B$2:$C$17,MATCH(RIGHT('SC-New'!$D49,LEN($D86)-7),'Bulb Weighting'!$B$3:$B$17,0)+1,2)</f>
        <v>0</v>
      </c>
      <c r="N86" s="37">
        <f>VLOOKUP($C86,$D$60:$Z$63,N$32,FALSE)*$D$79*$A86/8760/1000*INDEX('Bulb Weighting'!$B$2:$C$17,MATCH(RIGHT('SC-New'!$D49,LEN($D86)-7),'Bulb Weighting'!$B$3:$B$17,0)+1,2)</f>
        <v>0</v>
      </c>
      <c r="O86" s="37">
        <f>VLOOKUP($C86,$D$60:$Z$63,O$32,FALSE)*$D$79*$A86/8760/1000*INDEX('Bulb Weighting'!$B$2:$C$17,MATCH(RIGHT('SC-New'!$D49,LEN($D86)-7),'Bulb Weighting'!$B$3:$B$17,0)+1,2)</f>
        <v>0</v>
      </c>
      <c r="P86" s="37">
        <f>VLOOKUP($C86,$D$60:$Z$63,P$32,FALSE)*$D$79*$A86/8760/1000*INDEX('Bulb Weighting'!$B$2:$C$17,MATCH(RIGHT('SC-New'!$D49,LEN($D86)-7),'Bulb Weighting'!$B$3:$B$17,0)+1,2)</f>
        <v>0</v>
      </c>
      <c r="Q86" s="37">
        <f>VLOOKUP($C86,$D$60:$Z$63,Q$32,FALSE)*$D$79*$A86/8760/1000*INDEX('Bulb Weighting'!$B$2:$C$17,MATCH(RIGHT('SC-New'!$D49,LEN($D86)-7),'Bulb Weighting'!$B$3:$B$17,0)+1,2)</f>
        <v>0</v>
      </c>
      <c r="R86" s="37">
        <f>VLOOKUP($C86,$D$60:$Z$63,R$32,FALSE)*$D$79*$A86/8760/1000*INDEX('Bulb Weighting'!$B$2:$C$17,MATCH(RIGHT('SC-New'!$D49,LEN($D86)-7),'Bulb Weighting'!$B$3:$B$17,0)+1,2)</f>
        <v>0</v>
      </c>
      <c r="S86" s="37">
        <f>VLOOKUP($C86,$D$60:$Z$63,S$32,FALSE)*$D$79*$A86/8760/1000*INDEX('Bulb Weighting'!$B$2:$C$17,MATCH(RIGHT('SC-New'!$D49,LEN($D86)-7),'Bulb Weighting'!$B$3:$B$17,0)+1,2)</f>
        <v>0</v>
      </c>
      <c r="T86" s="37">
        <f>VLOOKUP($C86,$D$60:$Z$63,T$32,FALSE)*$D$79*$A86/8760/1000*INDEX('Bulb Weighting'!$B$2:$C$17,MATCH(RIGHT('SC-New'!$D49,LEN($D86)-7),'Bulb Weighting'!$B$3:$B$17,0)+1,2)</f>
        <v>0</v>
      </c>
      <c r="U86" s="37">
        <f>VLOOKUP($C86,$D$60:$Z$63,U$32,FALSE)*$D$79*$A86/8760/1000*INDEX('Bulb Weighting'!$B$2:$C$17,MATCH(RIGHT('SC-New'!$D49,LEN($D86)-7),'Bulb Weighting'!$B$3:$B$17,0)+1,2)</f>
        <v>0</v>
      </c>
      <c r="V86" s="37">
        <f>VLOOKUP($C86,$D$60:$Z$63,V$32,FALSE)*$D$79*$A86/8760/1000*INDEX('Bulb Weighting'!$B$2:$C$17,MATCH(RIGHT('SC-New'!$D49,LEN($D86)-7),'Bulb Weighting'!$B$3:$B$17,0)+1,2)</f>
        <v>0</v>
      </c>
      <c r="W86" s="37">
        <f>VLOOKUP($C86,$D$60:$Z$63,W$32,FALSE)*$D$79*$A86/8760/1000*INDEX('Bulb Weighting'!$B$2:$C$17,MATCH(RIGHT('SC-New'!$D49,LEN($D86)-7),'Bulb Weighting'!$B$3:$B$17,0)+1,2)</f>
        <v>0</v>
      </c>
      <c r="X86" s="37">
        <f>VLOOKUP($C86,$D$60:$Z$63,X$32,FALSE)*$D$79*$A86/8760/1000*INDEX('Bulb Weighting'!$B$2:$C$17,MATCH(RIGHT('SC-New'!$D49,LEN($D86)-7),'Bulb Weighting'!$B$3:$B$17,0)+1,2)</f>
        <v>0</v>
      </c>
      <c r="Y86" s="448">
        <f>(VLOOKUP($C86,$D$43:$Z$46,$X$68+3,FALSE)+VLOOKUP($C86,$D$51:$Z$54,$X$68+3,FALSE))*$A86*$D$79/8760/1000*INDEX('Bulb Weighting'!$B$2:$C$17,MATCH(RIGHT('SC-New'!$D49,LEN($D86)-7),'Bulb Weighting'!$B$3:$B$17,0)+1,2)</f>
        <v>2.2397663446576019</v>
      </c>
      <c r="Z86" s="32"/>
      <c r="AA86" s="447">
        <f t="shared" ref="AA86:AA88" si="33">SUM(E86:X86)</f>
        <v>0.4954345615412834</v>
      </c>
      <c r="AB86" s="37"/>
      <c r="AC86" s="84"/>
    </row>
    <row r="87" spans="1:29" customFormat="1">
      <c r="A87" s="89">
        <f t="shared" si="30"/>
        <v>14.33449498481688</v>
      </c>
      <c r="B87" s="71">
        <f t="shared" si="31"/>
        <v>-37.397069706053522</v>
      </c>
      <c r="C87" s="1" t="s">
        <v>29</v>
      </c>
      <c r="D87" t="s">
        <v>728</v>
      </c>
      <c r="E87" s="37">
        <f>VLOOKUP($C87,$D$60:$Z$63,E$32,FALSE)*$D$79*$A87/8760/1000*INDEX('Bulb Weighting'!$B$2:$C$17,MATCH(RIGHT('SC-New'!$D50,LEN($D87)-7),'Bulb Weighting'!$B$3:$B$17,0)+1,2)</f>
        <v>0.45341674857842229</v>
      </c>
      <c r="F87" s="37">
        <f>VLOOKUP($C87,$D$60:$Z$63,F$32,FALSE)*$D$79*$A87/8760/1000*INDEX('Bulb Weighting'!$B$2:$C$17,MATCH(RIGHT('SC-New'!$D50,LEN($D87)-7),'Bulb Weighting'!$B$3:$B$17,0)+1,2)</f>
        <v>0</v>
      </c>
      <c r="G87" s="37">
        <f>VLOOKUP($C87,$D$60:$Z$63,G$32,FALSE)*$D$79*$A87/8760/1000*INDEX('Bulb Weighting'!$B$2:$C$17,MATCH(RIGHT('SC-New'!$D50,LEN($D87)-7),'Bulb Weighting'!$B$3:$B$17,0)+1,2)</f>
        <v>0</v>
      </c>
      <c r="H87" s="37">
        <f>VLOOKUP($C87,$D$60:$Z$63,H$32,FALSE)*$D$79*$A87/8760/1000*INDEX('Bulb Weighting'!$B$2:$C$17,MATCH(RIGHT('SC-New'!$D50,LEN($D87)-7),'Bulb Weighting'!$B$3:$B$17,0)+1,2)</f>
        <v>0</v>
      </c>
      <c r="I87" s="37">
        <f>VLOOKUP($C87,$D$60:$Z$63,I$32,FALSE)*$D$79*$A87/8760/1000*INDEX('Bulb Weighting'!$B$2:$C$17,MATCH(RIGHT('SC-New'!$D50,LEN($D87)-7),'Bulb Weighting'!$B$3:$B$17,0)+1,2)</f>
        <v>0</v>
      </c>
      <c r="J87" s="37">
        <f>VLOOKUP($C87,$D$60:$Z$63,J$32,FALSE)*$D$79*$A87/8760/1000*INDEX('Bulb Weighting'!$B$2:$C$17,MATCH(RIGHT('SC-New'!$D50,LEN($D87)-7),'Bulb Weighting'!$B$3:$B$17,0)+1,2)</f>
        <v>0</v>
      </c>
      <c r="K87" s="37">
        <f>VLOOKUP($C87,$D$60:$Z$63,K$32,FALSE)*$D$79*$A87/8760/1000*INDEX('Bulb Weighting'!$B$2:$C$17,MATCH(RIGHT('SC-New'!$D50,LEN($D87)-7),'Bulb Weighting'!$B$3:$B$17,0)+1,2)</f>
        <v>0</v>
      </c>
      <c r="L87" s="37">
        <f>VLOOKUP($C87,$D$60:$Z$63,L$32,FALSE)*$D$79*$A87/8760/1000*INDEX('Bulb Weighting'!$B$2:$C$17,MATCH(RIGHT('SC-New'!$D50,LEN($D87)-7),'Bulb Weighting'!$B$3:$B$17,0)+1,2)</f>
        <v>0</v>
      </c>
      <c r="M87" s="37">
        <f>VLOOKUP($C87,$D$60:$Z$63,M$32,FALSE)*$D$79*$A87/8760/1000*INDEX('Bulb Weighting'!$B$2:$C$17,MATCH(RIGHT('SC-New'!$D50,LEN($D87)-7),'Bulb Weighting'!$B$3:$B$17,0)+1,2)</f>
        <v>0</v>
      </c>
      <c r="N87" s="37">
        <f>VLOOKUP($C87,$D$60:$Z$63,N$32,FALSE)*$D$79*$A87/8760/1000*INDEX('Bulb Weighting'!$B$2:$C$17,MATCH(RIGHT('SC-New'!$D50,LEN($D87)-7),'Bulb Weighting'!$B$3:$B$17,0)+1,2)</f>
        <v>0</v>
      </c>
      <c r="O87" s="37">
        <f>VLOOKUP($C87,$D$60:$Z$63,O$32,FALSE)*$D$79*$A87/8760/1000*INDEX('Bulb Weighting'!$B$2:$C$17,MATCH(RIGHT('SC-New'!$D50,LEN($D87)-7),'Bulb Weighting'!$B$3:$B$17,0)+1,2)</f>
        <v>0</v>
      </c>
      <c r="P87" s="37">
        <f>VLOOKUP($C87,$D$60:$Z$63,P$32,FALSE)*$D$79*$A87/8760/1000*INDEX('Bulb Weighting'!$B$2:$C$17,MATCH(RIGHT('SC-New'!$D50,LEN($D87)-7),'Bulb Weighting'!$B$3:$B$17,0)+1,2)</f>
        <v>0</v>
      </c>
      <c r="Q87" s="37">
        <f>VLOOKUP($C87,$D$60:$Z$63,Q$32,FALSE)*$D$79*$A87/8760/1000*INDEX('Bulb Weighting'!$B$2:$C$17,MATCH(RIGHT('SC-New'!$D50,LEN($D87)-7),'Bulb Weighting'!$B$3:$B$17,0)+1,2)</f>
        <v>0</v>
      </c>
      <c r="R87" s="37">
        <f>VLOOKUP($C87,$D$60:$Z$63,R$32,FALSE)*$D$79*$A87/8760/1000*INDEX('Bulb Weighting'!$B$2:$C$17,MATCH(RIGHT('SC-New'!$D50,LEN($D87)-7),'Bulb Weighting'!$B$3:$B$17,0)+1,2)</f>
        <v>0</v>
      </c>
      <c r="S87" s="37">
        <f>VLOOKUP($C87,$D$60:$Z$63,S$32,FALSE)*$D$79*$A87/8760/1000*INDEX('Bulb Weighting'!$B$2:$C$17,MATCH(RIGHT('SC-New'!$D50,LEN($D87)-7),'Bulb Weighting'!$B$3:$B$17,0)+1,2)</f>
        <v>0</v>
      </c>
      <c r="T87" s="37">
        <f>VLOOKUP($C87,$D$60:$Z$63,T$32,FALSE)*$D$79*$A87/8760/1000*INDEX('Bulb Weighting'!$B$2:$C$17,MATCH(RIGHT('SC-New'!$D50,LEN($D87)-7),'Bulb Weighting'!$B$3:$B$17,0)+1,2)</f>
        <v>0</v>
      </c>
      <c r="U87" s="37">
        <f>VLOOKUP($C87,$D$60:$Z$63,U$32,FALSE)*$D$79*$A87/8760/1000*INDEX('Bulb Weighting'!$B$2:$C$17,MATCH(RIGHT('SC-New'!$D50,LEN($D87)-7),'Bulb Weighting'!$B$3:$B$17,0)+1,2)</f>
        <v>0</v>
      </c>
      <c r="V87" s="37">
        <f>VLOOKUP($C87,$D$60:$Z$63,V$32,FALSE)*$D$79*$A87/8760/1000*INDEX('Bulb Weighting'!$B$2:$C$17,MATCH(RIGHT('SC-New'!$D50,LEN($D87)-7),'Bulb Weighting'!$B$3:$B$17,0)+1,2)</f>
        <v>0</v>
      </c>
      <c r="W87" s="37">
        <f>VLOOKUP($C87,$D$60:$Z$63,W$32,FALSE)*$D$79*$A87/8760/1000*INDEX('Bulb Weighting'!$B$2:$C$17,MATCH(RIGHT('SC-New'!$D50,LEN($D87)-7),'Bulb Weighting'!$B$3:$B$17,0)+1,2)</f>
        <v>0</v>
      </c>
      <c r="X87" s="37">
        <f>VLOOKUP($C87,$D$60:$Z$63,X$32,FALSE)*$D$79*$A87/8760/1000*INDEX('Bulb Weighting'!$B$2:$C$17,MATCH(RIGHT('SC-New'!$D50,LEN($D87)-7),'Bulb Weighting'!$B$3:$B$17,0)+1,2)</f>
        <v>0</v>
      </c>
      <c r="Y87" s="448">
        <f>(VLOOKUP($C87,$D$43:$Z$46,$X$68+3,FALSE)+VLOOKUP($C87,$D$51:$Z$54,$X$68+3,FALSE))*$A87*$D$79/8760/1000*INDEX('Bulb Weighting'!$B$2:$C$17,MATCH(RIGHT('SC-New'!$D50,LEN($D87)-7),'Bulb Weighting'!$B$3:$B$17,0)+1,2)</f>
        <v>2.0498117257114377</v>
      </c>
      <c r="Z87" s="32"/>
      <c r="AA87" s="32">
        <f t="shared" si="33"/>
        <v>0.45341674857842229</v>
      </c>
      <c r="AB87" s="37"/>
      <c r="AC87" s="84"/>
    </row>
    <row r="88" spans="1:29" customFormat="1">
      <c r="A88" s="89">
        <f t="shared" si="30"/>
        <v>9.8723739493112301</v>
      </c>
      <c r="B88" s="71">
        <f t="shared" si="31"/>
        <v>-94.996719014918995</v>
      </c>
      <c r="C88" s="1" t="s">
        <v>29</v>
      </c>
      <c r="D88" t="s">
        <v>730</v>
      </c>
      <c r="E88" s="37">
        <f>VLOOKUP($C88,$D$60:$Z$63,E$32,FALSE)*$D$79*$A88/8760/1000*INDEX('Bulb Weighting'!$B$2:$C$17,MATCH(RIGHT('SC-New'!$D51,LEN($D88)-7),'Bulb Weighting'!$B$3:$B$17,0)+1,2)</f>
        <v>0.19041711321643523</v>
      </c>
      <c r="F88" s="37">
        <f>VLOOKUP($C88,$D$60:$Z$63,F$32,FALSE)*$D$79*$A88/8760/1000*INDEX('Bulb Weighting'!$B$2:$C$17,MATCH(RIGHT('SC-New'!$D51,LEN($D88)-7),'Bulb Weighting'!$B$3:$B$17,0)+1,2)</f>
        <v>0</v>
      </c>
      <c r="G88" s="37">
        <f>VLOOKUP($C88,$D$60:$Z$63,G$32,FALSE)*$D$79*$A88/8760/1000*INDEX('Bulb Weighting'!$B$2:$C$17,MATCH(RIGHT('SC-New'!$D51,LEN($D88)-7),'Bulb Weighting'!$B$3:$B$17,0)+1,2)</f>
        <v>0</v>
      </c>
      <c r="H88" s="37">
        <f>VLOOKUP($C88,$D$60:$Z$63,H$32,FALSE)*$D$79*$A88/8760/1000*INDEX('Bulb Weighting'!$B$2:$C$17,MATCH(RIGHT('SC-New'!$D51,LEN($D88)-7),'Bulb Weighting'!$B$3:$B$17,0)+1,2)</f>
        <v>0</v>
      </c>
      <c r="I88" s="37">
        <f>VLOOKUP($C88,$D$60:$Z$63,I$32,FALSE)*$D$79*$A88/8760/1000*INDEX('Bulb Weighting'!$B$2:$C$17,MATCH(RIGHT('SC-New'!$D51,LEN($D88)-7),'Bulb Weighting'!$B$3:$B$17,0)+1,2)</f>
        <v>0</v>
      </c>
      <c r="J88" s="37">
        <f>VLOOKUP($C88,$D$60:$Z$63,J$32,FALSE)*$D$79*$A88/8760/1000*INDEX('Bulb Weighting'!$B$2:$C$17,MATCH(RIGHT('SC-New'!$D51,LEN($D88)-7),'Bulb Weighting'!$B$3:$B$17,0)+1,2)</f>
        <v>0</v>
      </c>
      <c r="K88" s="37">
        <f>VLOOKUP($C88,$D$60:$Z$63,K$32,FALSE)*$D$79*$A88/8760/1000*INDEX('Bulb Weighting'!$B$2:$C$17,MATCH(RIGHT('SC-New'!$D51,LEN($D88)-7),'Bulb Weighting'!$B$3:$B$17,0)+1,2)</f>
        <v>0</v>
      </c>
      <c r="L88" s="37">
        <f>VLOOKUP($C88,$D$60:$Z$63,L$32,FALSE)*$D$79*$A88/8760/1000*INDEX('Bulb Weighting'!$B$2:$C$17,MATCH(RIGHT('SC-New'!$D51,LEN($D88)-7),'Bulb Weighting'!$B$3:$B$17,0)+1,2)</f>
        <v>0</v>
      </c>
      <c r="M88" s="37">
        <f>VLOOKUP($C88,$D$60:$Z$63,M$32,FALSE)*$D$79*$A88/8760/1000*INDEX('Bulb Weighting'!$B$2:$C$17,MATCH(RIGHT('SC-New'!$D51,LEN($D88)-7),'Bulb Weighting'!$B$3:$B$17,0)+1,2)</f>
        <v>0</v>
      </c>
      <c r="N88" s="37">
        <f>VLOOKUP($C88,$D$60:$Z$63,N$32,FALSE)*$D$79*$A88/8760/1000*INDEX('Bulb Weighting'!$B$2:$C$17,MATCH(RIGHT('SC-New'!$D51,LEN($D88)-7),'Bulb Weighting'!$B$3:$B$17,0)+1,2)</f>
        <v>0</v>
      </c>
      <c r="O88" s="37">
        <f>VLOOKUP($C88,$D$60:$Z$63,O$32,FALSE)*$D$79*$A88/8760/1000*INDEX('Bulb Weighting'!$B$2:$C$17,MATCH(RIGHT('SC-New'!$D51,LEN($D88)-7),'Bulb Weighting'!$B$3:$B$17,0)+1,2)</f>
        <v>0</v>
      </c>
      <c r="P88" s="37">
        <f>VLOOKUP($C88,$D$60:$Z$63,P$32,FALSE)*$D$79*$A88/8760/1000*INDEX('Bulb Weighting'!$B$2:$C$17,MATCH(RIGHT('SC-New'!$D51,LEN($D88)-7),'Bulb Weighting'!$B$3:$B$17,0)+1,2)</f>
        <v>0</v>
      </c>
      <c r="Q88" s="37">
        <f>VLOOKUP($C88,$D$60:$Z$63,Q$32,FALSE)*$D$79*$A88/8760/1000*INDEX('Bulb Weighting'!$B$2:$C$17,MATCH(RIGHT('SC-New'!$D51,LEN($D88)-7),'Bulb Weighting'!$B$3:$B$17,0)+1,2)</f>
        <v>0</v>
      </c>
      <c r="R88" s="37">
        <f>VLOOKUP($C88,$D$60:$Z$63,R$32,FALSE)*$D$79*$A88/8760/1000*INDEX('Bulb Weighting'!$B$2:$C$17,MATCH(RIGHT('SC-New'!$D51,LEN($D88)-7),'Bulb Weighting'!$B$3:$B$17,0)+1,2)</f>
        <v>0</v>
      </c>
      <c r="S88" s="37">
        <f>VLOOKUP($C88,$D$60:$Z$63,S$32,FALSE)*$D$79*$A88/8760/1000*INDEX('Bulb Weighting'!$B$2:$C$17,MATCH(RIGHT('SC-New'!$D51,LEN($D88)-7),'Bulb Weighting'!$B$3:$B$17,0)+1,2)</f>
        <v>0</v>
      </c>
      <c r="T88" s="37">
        <f>VLOOKUP($C88,$D$60:$Z$63,T$32,FALSE)*$D$79*$A88/8760/1000*INDEX('Bulb Weighting'!$B$2:$C$17,MATCH(RIGHT('SC-New'!$D51,LEN($D88)-7),'Bulb Weighting'!$B$3:$B$17,0)+1,2)</f>
        <v>0</v>
      </c>
      <c r="U88" s="37">
        <f>VLOOKUP($C88,$D$60:$Z$63,U$32,FALSE)*$D$79*$A88/8760/1000*INDEX('Bulb Weighting'!$B$2:$C$17,MATCH(RIGHT('SC-New'!$D51,LEN($D88)-7),'Bulb Weighting'!$B$3:$B$17,0)+1,2)</f>
        <v>0</v>
      </c>
      <c r="V88" s="37">
        <f>VLOOKUP($C88,$D$60:$Z$63,V$32,FALSE)*$D$79*$A88/8760/1000*INDEX('Bulb Weighting'!$B$2:$C$17,MATCH(RIGHT('SC-New'!$D51,LEN($D88)-7),'Bulb Weighting'!$B$3:$B$17,0)+1,2)</f>
        <v>0</v>
      </c>
      <c r="W88" s="37">
        <f>VLOOKUP($C88,$D$60:$Z$63,W$32,FALSE)*$D$79*$A88/8760/1000*INDEX('Bulb Weighting'!$B$2:$C$17,MATCH(RIGHT('SC-New'!$D51,LEN($D88)-7),'Bulb Weighting'!$B$3:$B$17,0)+1,2)</f>
        <v>0</v>
      </c>
      <c r="X88" s="37">
        <f>VLOOKUP($C88,$D$60:$Z$63,X$32,FALSE)*$D$79*$A88/8760/1000*INDEX('Bulb Weighting'!$B$2:$C$17,MATCH(RIGHT('SC-New'!$D51,LEN($D88)-7),'Bulb Weighting'!$B$3:$B$17,0)+1,2)</f>
        <v>0</v>
      </c>
      <c r="Y88" s="448">
        <f>(VLOOKUP($C88,$D$43:$Z$46,$X$68+3,FALSE)+VLOOKUP($C88,$D$51:$Z$54,$X$68+3,FALSE))*$A88*$D$79/8760/1000*INDEX('Bulb Weighting'!$B$2:$C$17,MATCH(RIGHT('SC-New'!$D51,LEN($D88)-7),'Bulb Weighting'!$B$3:$B$17,0)+1,2)</f>
        <v>0.86083990648982911</v>
      </c>
      <c r="Z88" s="32"/>
      <c r="AA88" s="32">
        <f t="shared" si="33"/>
        <v>0.19041711321643523</v>
      </c>
      <c r="AB88" s="37"/>
      <c r="AC88" s="84"/>
    </row>
    <row r="89" spans="1:29" customFormat="1">
      <c r="A89" s="89">
        <f t="shared" si="30"/>
        <v>10.681196090262945</v>
      </c>
      <c r="B89" s="71">
        <f t="shared" si="31"/>
        <v>-99.87829920820603</v>
      </c>
      <c r="C89" s="1" t="s">
        <v>29</v>
      </c>
      <c r="D89" t="s">
        <v>732</v>
      </c>
      <c r="E89" s="37">
        <f>VLOOKUP($C89,$D$60:$Z$63,E$32,FALSE)*$D$79*$A89/8760/1000*INDEX('Bulb Weighting'!$B$2:$C$17,MATCH(RIGHT('SC-New'!$D52,LEN($D89)-7),'Bulb Weighting'!$B$3:$B$17,0)+1,2)</f>
        <v>1.5523592159829335E-2</v>
      </c>
      <c r="F89" s="37">
        <f>VLOOKUP($C89,$D$60:$Z$63,F$32,FALSE)*$D$79*$A89/8760/1000*INDEX('Bulb Weighting'!$B$2:$C$17,MATCH(RIGHT('SC-New'!$D52,LEN($D89)-7),'Bulb Weighting'!$B$3:$B$17,0)+1,2)</f>
        <v>0</v>
      </c>
      <c r="G89" s="37">
        <f>VLOOKUP($C89,$D$60:$Z$63,G$32,FALSE)*$D$79*$A89/8760/1000*INDEX('Bulb Weighting'!$B$2:$C$17,MATCH(RIGHT('SC-New'!$D52,LEN($D89)-7),'Bulb Weighting'!$B$3:$B$17,0)+1,2)</f>
        <v>0</v>
      </c>
      <c r="H89" s="37">
        <f>VLOOKUP($C89,$D$60:$Z$63,H$32,FALSE)*$D$79*$A89/8760/1000*INDEX('Bulb Weighting'!$B$2:$C$17,MATCH(RIGHT('SC-New'!$D52,LEN($D89)-7),'Bulb Weighting'!$B$3:$B$17,0)+1,2)</f>
        <v>0</v>
      </c>
      <c r="I89" s="37">
        <f>VLOOKUP($C89,$D$60:$Z$63,I$32,FALSE)*$D$79*$A89/8760/1000*INDEX('Bulb Weighting'!$B$2:$C$17,MATCH(RIGHT('SC-New'!$D52,LEN($D89)-7),'Bulb Weighting'!$B$3:$B$17,0)+1,2)</f>
        <v>0</v>
      </c>
      <c r="J89" s="37">
        <f>VLOOKUP($C89,$D$60:$Z$63,J$32,FALSE)*$D$79*$A89/8760/1000*INDEX('Bulb Weighting'!$B$2:$C$17,MATCH(RIGHT('SC-New'!$D52,LEN($D89)-7),'Bulb Weighting'!$B$3:$B$17,0)+1,2)</f>
        <v>0</v>
      </c>
      <c r="K89" s="37">
        <f>VLOOKUP($C89,$D$60:$Z$63,K$32,FALSE)*$D$79*$A89/8760/1000*INDEX('Bulb Weighting'!$B$2:$C$17,MATCH(RIGHT('SC-New'!$D52,LEN($D89)-7),'Bulb Weighting'!$B$3:$B$17,0)+1,2)</f>
        <v>0</v>
      </c>
      <c r="L89" s="37">
        <f>VLOOKUP($C89,$D$60:$Z$63,L$32,FALSE)*$D$79*$A89/8760/1000*INDEX('Bulb Weighting'!$B$2:$C$17,MATCH(RIGHT('SC-New'!$D52,LEN($D89)-7),'Bulb Weighting'!$B$3:$B$17,0)+1,2)</f>
        <v>0</v>
      </c>
      <c r="M89" s="37">
        <f>VLOOKUP($C89,$D$60:$Z$63,M$32,FALSE)*$D$79*$A89/8760/1000*INDEX('Bulb Weighting'!$B$2:$C$17,MATCH(RIGHT('SC-New'!$D52,LEN($D89)-7),'Bulb Weighting'!$B$3:$B$17,0)+1,2)</f>
        <v>0</v>
      </c>
      <c r="N89" s="37">
        <f>VLOOKUP($C89,$D$60:$Z$63,N$32,FALSE)*$D$79*$A89/8760/1000*INDEX('Bulb Weighting'!$B$2:$C$17,MATCH(RIGHT('SC-New'!$D52,LEN($D89)-7),'Bulb Weighting'!$B$3:$B$17,0)+1,2)</f>
        <v>0</v>
      </c>
      <c r="O89" s="37">
        <f>VLOOKUP($C89,$D$60:$Z$63,O$32,FALSE)*$D$79*$A89/8760/1000*INDEX('Bulb Weighting'!$B$2:$C$17,MATCH(RIGHT('SC-New'!$D52,LEN($D89)-7),'Bulb Weighting'!$B$3:$B$17,0)+1,2)</f>
        <v>0</v>
      </c>
      <c r="P89" s="37">
        <f>VLOOKUP($C89,$D$60:$Z$63,P$32,FALSE)*$D$79*$A89/8760/1000*INDEX('Bulb Weighting'!$B$2:$C$17,MATCH(RIGHT('SC-New'!$D52,LEN($D89)-7),'Bulb Weighting'!$B$3:$B$17,0)+1,2)</f>
        <v>0</v>
      </c>
      <c r="Q89" s="37">
        <f>VLOOKUP($C89,$D$60:$Z$63,Q$32,FALSE)*$D$79*$A89/8760/1000*INDEX('Bulb Weighting'!$B$2:$C$17,MATCH(RIGHT('SC-New'!$D52,LEN($D89)-7),'Bulb Weighting'!$B$3:$B$17,0)+1,2)</f>
        <v>0</v>
      </c>
      <c r="R89" s="37">
        <f>VLOOKUP($C89,$D$60:$Z$63,R$32,FALSE)*$D$79*$A89/8760/1000*INDEX('Bulb Weighting'!$B$2:$C$17,MATCH(RIGHT('SC-New'!$D52,LEN($D89)-7),'Bulb Weighting'!$B$3:$B$17,0)+1,2)</f>
        <v>0</v>
      </c>
      <c r="S89" s="37">
        <f>VLOOKUP($C89,$D$60:$Z$63,S$32,FALSE)*$D$79*$A89/8760/1000*INDEX('Bulb Weighting'!$B$2:$C$17,MATCH(RIGHT('SC-New'!$D52,LEN($D89)-7),'Bulb Weighting'!$B$3:$B$17,0)+1,2)</f>
        <v>0</v>
      </c>
      <c r="T89" s="37">
        <f>VLOOKUP($C89,$D$60:$Z$63,T$32,FALSE)*$D$79*$A89/8760/1000*INDEX('Bulb Weighting'!$B$2:$C$17,MATCH(RIGHT('SC-New'!$D52,LEN($D89)-7),'Bulb Weighting'!$B$3:$B$17,0)+1,2)</f>
        <v>0</v>
      </c>
      <c r="U89" s="37">
        <f>VLOOKUP($C89,$D$60:$Z$63,U$32,FALSE)*$D$79*$A89/8760/1000*INDEX('Bulb Weighting'!$B$2:$C$17,MATCH(RIGHT('SC-New'!$D52,LEN($D89)-7),'Bulb Weighting'!$B$3:$B$17,0)+1,2)</f>
        <v>0</v>
      </c>
      <c r="V89" s="37">
        <f>VLOOKUP($C89,$D$60:$Z$63,V$32,FALSE)*$D$79*$A89/8760/1000*INDEX('Bulb Weighting'!$B$2:$C$17,MATCH(RIGHT('SC-New'!$D52,LEN($D89)-7),'Bulb Weighting'!$B$3:$B$17,0)+1,2)</f>
        <v>0</v>
      </c>
      <c r="W89" s="37">
        <f>VLOOKUP($C89,$D$60:$Z$63,W$32,FALSE)*$D$79*$A89/8760/1000*INDEX('Bulb Weighting'!$B$2:$C$17,MATCH(RIGHT('SC-New'!$D52,LEN($D89)-7),'Bulb Weighting'!$B$3:$B$17,0)+1,2)</f>
        <v>0</v>
      </c>
      <c r="X89" s="37">
        <f>VLOOKUP($C89,$D$60:$Z$63,X$32,FALSE)*$D$79*$A89/8760/1000*INDEX('Bulb Weighting'!$B$2:$C$17,MATCH(RIGHT('SC-New'!$D52,LEN($D89)-7),'Bulb Weighting'!$B$3:$B$17,0)+1,2)</f>
        <v>0</v>
      </c>
      <c r="Y89" s="448">
        <f>(VLOOKUP($C89,$D$43:$Z$46,$X$68+3,FALSE)+VLOOKUP($C89,$D$51:$Z$54,$X$68+3,FALSE))*$A89*$D$79/8760/1000*INDEX('Bulb Weighting'!$B$2:$C$17,MATCH(RIGHT('SC-New'!$D52,LEN($D89)-7),'Bulb Weighting'!$B$3:$B$17,0)+1,2)</f>
        <v>7.0179236506250714E-2</v>
      </c>
      <c r="Z89" s="32"/>
      <c r="AA89" s="32">
        <f>SUM(E89:X89)</f>
        <v>1.5523592159829335E-2</v>
      </c>
      <c r="AB89" s="37"/>
      <c r="AC89" s="84"/>
    </row>
    <row r="90" spans="1:29" customFormat="1">
      <c r="A90" s="89">
        <f t="shared" si="30"/>
        <v>20.374790406766845</v>
      </c>
      <c r="B90" s="71">
        <f t="shared" si="31"/>
        <v>-38.377975660533203</v>
      </c>
      <c r="C90" s="1" t="s">
        <v>29</v>
      </c>
      <c r="D90" t="s">
        <v>734</v>
      </c>
      <c r="E90" s="37">
        <f>VLOOKUP($C90,$D$60:$Z$63,E$32,FALSE)*$D$79*$A90/8760/1000*INDEX('Bulb Weighting'!$B$2:$C$17,MATCH(RIGHT('SC-New'!$D53,LEN($D90)-7),'Bulb Weighting'!$B$3:$B$17,0)+1,2)</f>
        <v>0.20499503397954877</v>
      </c>
      <c r="F90" s="37">
        <f>VLOOKUP($C90,$D$60:$Z$63,F$32,FALSE)*$D$79*$A90/8760/1000*INDEX('Bulb Weighting'!$B$2:$C$17,MATCH(RIGHT('SC-New'!$D53,LEN($D90)-7),'Bulb Weighting'!$B$3:$B$17,0)+1,2)</f>
        <v>0</v>
      </c>
      <c r="G90" s="37">
        <f>VLOOKUP($C90,$D$60:$Z$63,G$32,FALSE)*$D$79*$A90/8760/1000*INDEX('Bulb Weighting'!$B$2:$C$17,MATCH(RIGHT('SC-New'!$D53,LEN($D90)-7),'Bulb Weighting'!$B$3:$B$17,0)+1,2)</f>
        <v>0</v>
      </c>
      <c r="H90" s="37">
        <f>VLOOKUP($C90,$D$60:$Z$63,H$32,FALSE)*$D$79*$A90/8760/1000*INDEX('Bulb Weighting'!$B$2:$C$17,MATCH(RIGHT('SC-New'!$D53,LEN($D90)-7),'Bulb Weighting'!$B$3:$B$17,0)+1,2)</f>
        <v>0</v>
      </c>
      <c r="I90" s="37">
        <f>VLOOKUP($C90,$D$60:$Z$63,I$32,FALSE)*$D$79*$A90/8760/1000*INDEX('Bulb Weighting'!$B$2:$C$17,MATCH(RIGHT('SC-New'!$D53,LEN($D90)-7),'Bulb Weighting'!$B$3:$B$17,0)+1,2)</f>
        <v>0</v>
      </c>
      <c r="J90" s="37">
        <f>VLOOKUP($C90,$D$60:$Z$63,J$32,FALSE)*$D$79*$A90/8760/1000*INDEX('Bulb Weighting'!$B$2:$C$17,MATCH(RIGHT('SC-New'!$D53,LEN($D90)-7),'Bulb Weighting'!$B$3:$B$17,0)+1,2)</f>
        <v>0</v>
      </c>
      <c r="K90" s="37">
        <f>VLOOKUP($C90,$D$60:$Z$63,K$32,FALSE)*$D$79*$A90/8760/1000*INDEX('Bulb Weighting'!$B$2:$C$17,MATCH(RIGHT('SC-New'!$D53,LEN($D90)-7),'Bulb Weighting'!$B$3:$B$17,0)+1,2)</f>
        <v>0</v>
      </c>
      <c r="L90" s="37">
        <f>VLOOKUP($C90,$D$60:$Z$63,L$32,FALSE)*$D$79*$A90/8760/1000*INDEX('Bulb Weighting'!$B$2:$C$17,MATCH(RIGHT('SC-New'!$D53,LEN($D90)-7),'Bulb Weighting'!$B$3:$B$17,0)+1,2)</f>
        <v>0</v>
      </c>
      <c r="M90" s="37">
        <f>VLOOKUP($C90,$D$60:$Z$63,M$32,FALSE)*$D$79*$A90/8760/1000*INDEX('Bulb Weighting'!$B$2:$C$17,MATCH(RIGHT('SC-New'!$D53,LEN($D90)-7),'Bulb Weighting'!$B$3:$B$17,0)+1,2)</f>
        <v>0</v>
      </c>
      <c r="N90" s="37">
        <f>VLOOKUP($C90,$D$60:$Z$63,N$32,FALSE)*$D$79*$A90/8760/1000*INDEX('Bulb Weighting'!$B$2:$C$17,MATCH(RIGHT('SC-New'!$D53,LEN($D90)-7),'Bulb Weighting'!$B$3:$B$17,0)+1,2)</f>
        <v>0</v>
      </c>
      <c r="O90" s="37">
        <f>VLOOKUP($C90,$D$60:$Z$63,O$32,FALSE)*$D$79*$A90/8760/1000*INDEX('Bulb Weighting'!$B$2:$C$17,MATCH(RIGHT('SC-New'!$D53,LEN($D90)-7),'Bulb Weighting'!$B$3:$B$17,0)+1,2)</f>
        <v>0</v>
      </c>
      <c r="P90" s="37">
        <f>VLOOKUP($C90,$D$60:$Z$63,P$32,FALSE)*$D$79*$A90/8760/1000*INDEX('Bulb Weighting'!$B$2:$C$17,MATCH(RIGHT('SC-New'!$D53,LEN($D90)-7),'Bulb Weighting'!$B$3:$B$17,0)+1,2)</f>
        <v>0</v>
      </c>
      <c r="Q90" s="37">
        <f>VLOOKUP($C90,$D$60:$Z$63,Q$32,FALSE)*$D$79*$A90/8760/1000*INDEX('Bulb Weighting'!$B$2:$C$17,MATCH(RIGHT('SC-New'!$D53,LEN($D90)-7),'Bulb Weighting'!$B$3:$B$17,0)+1,2)</f>
        <v>0</v>
      </c>
      <c r="R90" s="37">
        <f>VLOOKUP($C90,$D$60:$Z$63,R$32,FALSE)*$D$79*$A90/8760/1000*INDEX('Bulb Weighting'!$B$2:$C$17,MATCH(RIGHT('SC-New'!$D53,LEN($D90)-7),'Bulb Weighting'!$B$3:$B$17,0)+1,2)</f>
        <v>0</v>
      </c>
      <c r="S90" s="37">
        <f>VLOOKUP($C90,$D$60:$Z$63,S$32,FALSE)*$D$79*$A90/8760/1000*INDEX('Bulb Weighting'!$B$2:$C$17,MATCH(RIGHT('SC-New'!$D53,LEN($D90)-7),'Bulb Weighting'!$B$3:$B$17,0)+1,2)</f>
        <v>0</v>
      </c>
      <c r="T90" s="37">
        <f>VLOOKUP($C90,$D$60:$Z$63,T$32,FALSE)*$D$79*$A90/8760/1000*INDEX('Bulb Weighting'!$B$2:$C$17,MATCH(RIGHT('SC-New'!$D53,LEN($D90)-7),'Bulb Weighting'!$B$3:$B$17,0)+1,2)</f>
        <v>0</v>
      </c>
      <c r="U90" s="37">
        <f>VLOOKUP($C90,$D$60:$Z$63,U$32,FALSE)*$D$79*$A90/8760/1000*INDEX('Bulb Weighting'!$B$2:$C$17,MATCH(RIGHT('SC-New'!$D53,LEN($D90)-7),'Bulb Weighting'!$B$3:$B$17,0)+1,2)</f>
        <v>0</v>
      </c>
      <c r="V90" s="37">
        <f>VLOOKUP($C90,$D$60:$Z$63,V$32,FALSE)*$D$79*$A90/8760/1000*INDEX('Bulb Weighting'!$B$2:$C$17,MATCH(RIGHT('SC-New'!$D53,LEN($D90)-7),'Bulb Weighting'!$B$3:$B$17,0)+1,2)</f>
        <v>0</v>
      </c>
      <c r="W90" s="37">
        <f>VLOOKUP($C90,$D$60:$Z$63,W$32,FALSE)*$D$79*$A90/8760/1000*INDEX('Bulb Weighting'!$B$2:$C$17,MATCH(RIGHT('SC-New'!$D53,LEN($D90)-7),'Bulb Weighting'!$B$3:$B$17,0)+1,2)</f>
        <v>0</v>
      </c>
      <c r="X90" s="37">
        <f>VLOOKUP($C90,$D$60:$Z$63,X$32,FALSE)*$D$79*$A90/8760/1000*INDEX('Bulb Weighting'!$B$2:$C$17,MATCH(RIGHT('SC-New'!$D53,LEN($D90)-7),'Bulb Weighting'!$B$3:$B$17,0)+1,2)</f>
        <v>0</v>
      </c>
      <c r="Y90" s="448">
        <f>(VLOOKUP($C90,$D$43:$Z$46,$X$68+3,FALSE)+VLOOKUP($C90,$D$51:$Z$54,$X$68+3,FALSE))*$A90*$D$79/8760/1000*INDEX('Bulb Weighting'!$B$2:$C$17,MATCH(RIGHT('SC-New'!$D53,LEN($D90)-7),'Bulb Weighting'!$B$3:$B$17,0)+1,2)</f>
        <v>0.92674394071531829</v>
      </c>
      <c r="Z90" s="32"/>
      <c r="AA90" s="32">
        <f t="shared" ref="AA90:AA92" si="34">SUM(E90:X90)</f>
        <v>0.20499503397954877</v>
      </c>
      <c r="AB90" s="37"/>
      <c r="AC90" s="84"/>
    </row>
    <row r="91" spans="1:29" customFormat="1">
      <c r="A91" s="89">
        <f t="shared" si="30"/>
        <v>15.536210538971808</v>
      </c>
      <c r="B91" s="71">
        <f t="shared" si="31"/>
        <v>-47.72588478334999</v>
      </c>
      <c r="C91" s="1" t="s">
        <v>29</v>
      </c>
      <c r="D91" t="s">
        <v>736</v>
      </c>
      <c r="E91" s="37">
        <f>VLOOKUP($C91,$D$60:$Z$63,E$32,FALSE)*$D$79*$A91/8760/1000*INDEX('Bulb Weighting'!$B$2:$C$17,MATCH(RIGHT('SC-New'!$D54,LEN($D91)-7),'Bulb Weighting'!$B$3:$B$17,0)+1,2)</f>
        <v>1.5794965609915845</v>
      </c>
      <c r="F91" s="37">
        <f>VLOOKUP($C91,$D$60:$Z$63,F$32,FALSE)*$D$79*$A91/8760/1000*INDEX('Bulb Weighting'!$B$2:$C$17,MATCH(RIGHT('SC-New'!$D54,LEN($D91)-7),'Bulb Weighting'!$B$3:$B$17,0)+1,2)</f>
        <v>0</v>
      </c>
      <c r="G91" s="37">
        <f>VLOOKUP($C91,$D$60:$Z$63,G$32,FALSE)*$D$79*$A91/8760/1000*INDEX('Bulb Weighting'!$B$2:$C$17,MATCH(RIGHT('SC-New'!$D54,LEN($D91)-7),'Bulb Weighting'!$B$3:$B$17,0)+1,2)</f>
        <v>0</v>
      </c>
      <c r="H91" s="37">
        <f>VLOOKUP($C91,$D$60:$Z$63,H$32,FALSE)*$D$79*$A91/8760/1000*INDEX('Bulb Weighting'!$B$2:$C$17,MATCH(RIGHT('SC-New'!$D54,LEN($D91)-7),'Bulb Weighting'!$B$3:$B$17,0)+1,2)</f>
        <v>0</v>
      </c>
      <c r="I91" s="37">
        <f>VLOOKUP($C91,$D$60:$Z$63,I$32,FALSE)*$D$79*$A91/8760/1000*INDEX('Bulb Weighting'!$B$2:$C$17,MATCH(RIGHT('SC-New'!$D54,LEN($D91)-7),'Bulb Weighting'!$B$3:$B$17,0)+1,2)</f>
        <v>0</v>
      </c>
      <c r="J91" s="37">
        <f>VLOOKUP($C91,$D$60:$Z$63,J$32,FALSE)*$D$79*$A91/8760/1000*INDEX('Bulb Weighting'!$B$2:$C$17,MATCH(RIGHT('SC-New'!$D54,LEN($D91)-7),'Bulb Weighting'!$B$3:$B$17,0)+1,2)</f>
        <v>0</v>
      </c>
      <c r="K91" s="37">
        <f>VLOOKUP($C91,$D$60:$Z$63,K$32,FALSE)*$D$79*$A91/8760/1000*INDEX('Bulb Weighting'!$B$2:$C$17,MATCH(RIGHT('SC-New'!$D54,LEN($D91)-7),'Bulb Weighting'!$B$3:$B$17,0)+1,2)</f>
        <v>0</v>
      </c>
      <c r="L91" s="37">
        <f>VLOOKUP($C91,$D$60:$Z$63,L$32,FALSE)*$D$79*$A91/8760/1000*INDEX('Bulb Weighting'!$B$2:$C$17,MATCH(RIGHT('SC-New'!$D54,LEN($D91)-7),'Bulb Weighting'!$B$3:$B$17,0)+1,2)</f>
        <v>0</v>
      </c>
      <c r="M91" s="37">
        <f>VLOOKUP($C91,$D$60:$Z$63,M$32,FALSE)*$D$79*$A91/8760/1000*INDEX('Bulb Weighting'!$B$2:$C$17,MATCH(RIGHT('SC-New'!$D54,LEN($D91)-7),'Bulb Weighting'!$B$3:$B$17,0)+1,2)</f>
        <v>0</v>
      </c>
      <c r="N91" s="37">
        <f>VLOOKUP($C91,$D$60:$Z$63,N$32,FALSE)*$D$79*$A91/8760/1000*INDEX('Bulb Weighting'!$B$2:$C$17,MATCH(RIGHT('SC-New'!$D54,LEN($D91)-7),'Bulb Weighting'!$B$3:$B$17,0)+1,2)</f>
        <v>0</v>
      </c>
      <c r="O91" s="37">
        <f>VLOOKUP($C91,$D$60:$Z$63,O$32,FALSE)*$D$79*$A91/8760/1000*INDEX('Bulb Weighting'!$B$2:$C$17,MATCH(RIGHT('SC-New'!$D54,LEN($D91)-7),'Bulb Weighting'!$B$3:$B$17,0)+1,2)</f>
        <v>0</v>
      </c>
      <c r="P91" s="37">
        <f>VLOOKUP($C91,$D$60:$Z$63,P$32,FALSE)*$D$79*$A91/8760/1000*INDEX('Bulb Weighting'!$B$2:$C$17,MATCH(RIGHT('SC-New'!$D54,LEN($D91)-7),'Bulb Weighting'!$B$3:$B$17,0)+1,2)</f>
        <v>0</v>
      </c>
      <c r="Q91" s="37">
        <f>VLOOKUP($C91,$D$60:$Z$63,Q$32,FALSE)*$D$79*$A91/8760/1000*INDEX('Bulb Weighting'!$B$2:$C$17,MATCH(RIGHT('SC-New'!$D54,LEN($D91)-7),'Bulb Weighting'!$B$3:$B$17,0)+1,2)</f>
        <v>0</v>
      </c>
      <c r="R91" s="37">
        <f>VLOOKUP($C91,$D$60:$Z$63,R$32,FALSE)*$D$79*$A91/8760/1000*INDEX('Bulb Weighting'!$B$2:$C$17,MATCH(RIGHT('SC-New'!$D54,LEN($D91)-7),'Bulb Weighting'!$B$3:$B$17,0)+1,2)</f>
        <v>0</v>
      </c>
      <c r="S91" s="37">
        <f>VLOOKUP($C91,$D$60:$Z$63,S$32,FALSE)*$D$79*$A91/8760/1000*INDEX('Bulb Weighting'!$B$2:$C$17,MATCH(RIGHT('SC-New'!$D54,LEN($D91)-7),'Bulb Weighting'!$B$3:$B$17,0)+1,2)</f>
        <v>0</v>
      </c>
      <c r="T91" s="37">
        <f>VLOOKUP($C91,$D$60:$Z$63,T$32,FALSE)*$D$79*$A91/8760/1000*INDEX('Bulb Weighting'!$B$2:$C$17,MATCH(RIGHT('SC-New'!$D54,LEN($D91)-7),'Bulb Weighting'!$B$3:$B$17,0)+1,2)</f>
        <v>0</v>
      </c>
      <c r="U91" s="37">
        <f>VLOOKUP($C91,$D$60:$Z$63,U$32,FALSE)*$D$79*$A91/8760/1000*INDEX('Bulb Weighting'!$B$2:$C$17,MATCH(RIGHT('SC-New'!$D54,LEN($D91)-7),'Bulb Weighting'!$B$3:$B$17,0)+1,2)</f>
        <v>0</v>
      </c>
      <c r="V91" s="37">
        <f>VLOOKUP($C91,$D$60:$Z$63,V$32,FALSE)*$D$79*$A91/8760/1000*INDEX('Bulb Weighting'!$B$2:$C$17,MATCH(RIGHT('SC-New'!$D54,LEN($D91)-7),'Bulb Weighting'!$B$3:$B$17,0)+1,2)</f>
        <v>0</v>
      </c>
      <c r="W91" s="37">
        <f>VLOOKUP($C91,$D$60:$Z$63,W$32,FALSE)*$D$79*$A91/8760/1000*INDEX('Bulb Weighting'!$B$2:$C$17,MATCH(RIGHT('SC-New'!$D54,LEN($D91)-7),'Bulb Weighting'!$B$3:$B$17,0)+1,2)</f>
        <v>0</v>
      </c>
      <c r="X91" s="37">
        <f>VLOOKUP($C91,$D$60:$Z$63,X$32,FALSE)*$D$79*$A91/8760/1000*INDEX('Bulb Weighting'!$B$2:$C$17,MATCH(RIGHT('SC-New'!$D54,LEN($D91)-7),'Bulb Weighting'!$B$3:$B$17,0)+1,2)</f>
        <v>0</v>
      </c>
      <c r="Y91" s="448">
        <f>(VLOOKUP($C91,$D$43:$Z$46,$X$68+3,FALSE)+VLOOKUP($C91,$D$51:$Z$54,$X$68+3,FALSE))*$A91*$D$79/8760/1000*INDEX('Bulb Weighting'!$B$2:$C$17,MATCH(RIGHT('SC-New'!$D54,LEN($D91)-7),'Bulb Weighting'!$B$3:$B$17,0)+1,2)</f>
        <v>7.1406064764752708</v>
      </c>
      <c r="Z91" s="32"/>
      <c r="AA91" s="32">
        <f t="shared" si="34"/>
        <v>1.5794965609915845</v>
      </c>
      <c r="AB91" s="37"/>
      <c r="AC91" s="84"/>
    </row>
    <row r="92" spans="1:29" customFormat="1">
      <c r="A92" s="89">
        <f t="shared" si="30"/>
        <v>83.173238448682625</v>
      </c>
      <c r="B92" s="71">
        <f t="shared" si="31"/>
        <v>-27.334459272113147</v>
      </c>
      <c r="C92" s="1" t="s">
        <v>29</v>
      </c>
      <c r="D92" t="s">
        <v>738</v>
      </c>
      <c r="E92" s="37">
        <f>VLOOKUP($C92,$D$60:$Z$63,E$32,FALSE)*$D$79*$A92/8760/1000*INDEX('Bulb Weighting'!$B$2:$C$17,MATCH(RIGHT('SC-New'!$D55,LEN($D92)-7),'Bulb Weighting'!$B$3:$B$17,0)+1,2)</f>
        <v>0.69487900140970071</v>
      </c>
      <c r="F92" s="37">
        <f>VLOOKUP($C92,$D$60:$Z$63,F$32,FALSE)*$D$79*$A92/8760/1000*INDEX('Bulb Weighting'!$B$2:$C$17,MATCH(RIGHT('SC-New'!$D55,LEN($D92)-7),'Bulb Weighting'!$B$3:$B$17,0)+1,2)</f>
        <v>0</v>
      </c>
      <c r="G92" s="37">
        <f>VLOOKUP($C92,$D$60:$Z$63,G$32,FALSE)*$D$79*$A92/8760/1000*INDEX('Bulb Weighting'!$B$2:$C$17,MATCH(RIGHT('SC-New'!$D55,LEN($D92)-7),'Bulb Weighting'!$B$3:$B$17,0)+1,2)</f>
        <v>0</v>
      </c>
      <c r="H92" s="37">
        <f>VLOOKUP($C92,$D$60:$Z$63,H$32,FALSE)*$D$79*$A92/8760/1000*INDEX('Bulb Weighting'!$B$2:$C$17,MATCH(RIGHT('SC-New'!$D55,LEN($D92)-7),'Bulb Weighting'!$B$3:$B$17,0)+1,2)</f>
        <v>0</v>
      </c>
      <c r="I92" s="37">
        <f>VLOOKUP($C92,$D$60:$Z$63,I$32,FALSE)*$D$79*$A92/8760/1000*INDEX('Bulb Weighting'!$B$2:$C$17,MATCH(RIGHT('SC-New'!$D55,LEN($D92)-7),'Bulb Weighting'!$B$3:$B$17,0)+1,2)</f>
        <v>0</v>
      </c>
      <c r="J92" s="37">
        <f>VLOOKUP($C92,$D$60:$Z$63,J$32,FALSE)*$D$79*$A92/8760/1000*INDEX('Bulb Weighting'!$B$2:$C$17,MATCH(RIGHT('SC-New'!$D55,LEN($D92)-7),'Bulb Weighting'!$B$3:$B$17,0)+1,2)</f>
        <v>0</v>
      </c>
      <c r="K92" s="37">
        <f>VLOOKUP($C92,$D$60:$Z$63,K$32,FALSE)*$D$79*$A92/8760/1000*INDEX('Bulb Weighting'!$B$2:$C$17,MATCH(RIGHT('SC-New'!$D55,LEN($D92)-7),'Bulb Weighting'!$B$3:$B$17,0)+1,2)</f>
        <v>0</v>
      </c>
      <c r="L92" s="37">
        <f>VLOOKUP($C92,$D$60:$Z$63,L$32,FALSE)*$D$79*$A92/8760/1000*INDEX('Bulb Weighting'!$B$2:$C$17,MATCH(RIGHT('SC-New'!$D55,LEN($D92)-7),'Bulb Weighting'!$B$3:$B$17,0)+1,2)</f>
        <v>0</v>
      </c>
      <c r="M92" s="37">
        <f>VLOOKUP($C92,$D$60:$Z$63,M$32,FALSE)*$D$79*$A92/8760/1000*INDEX('Bulb Weighting'!$B$2:$C$17,MATCH(RIGHT('SC-New'!$D55,LEN($D92)-7),'Bulb Weighting'!$B$3:$B$17,0)+1,2)</f>
        <v>0</v>
      </c>
      <c r="N92" s="37">
        <f>VLOOKUP($C92,$D$60:$Z$63,N$32,FALSE)*$D$79*$A92/8760/1000*INDEX('Bulb Weighting'!$B$2:$C$17,MATCH(RIGHT('SC-New'!$D55,LEN($D92)-7),'Bulb Weighting'!$B$3:$B$17,0)+1,2)</f>
        <v>0</v>
      </c>
      <c r="O92" s="37">
        <f>VLOOKUP($C92,$D$60:$Z$63,O$32,FALSE)*$D$79*$A92/8760/1000*INDEX('Bulb Weighting'!$B$2:$C$17,MATCH(RIGHT('SC-New'!$D55,LEN($D92)-7),'Bulb Weighting'!$B$3:$B$17,0)+1,2)</f>
        <v>0</v>
      </c>
      <c r="P92" s="37">
        <f>VLOOKUP($C92,$D$60:$Z$63,P$32,FALSE)*$D$79*$A92/8760/1000*INDEX('Bulb Weighting'!$B$2:$C$17,MATCH(RIGHT('SC-New'!$D55,LEN($D92)-7),'Bulb Weighting'!$B$3:$B$17,0)+1,2)</f>
        <v>0</v>
      </c>
      <c r="Q92" s="37">
        <f>VLOOKUP($C92,$D$60:$Z$63,Q$32,FALSE)*$D$79*$A92/8760/1000*INDEX('Bulb Weighting'!$B$2:$C$17,MATCH(RIGHT('SC-New'!$D55,LEN($D92)-7),'Bulb Weighting'!$B$3:$B$17,0)+1,2)</f>
        <v>0</v>
      </c>
      <c r="R92" s="37">
        <f>VLOOKUP($C92,$D$60:$Z$63,R$32,FALSE)*$D$79*$A92/8760/1000*INDEX('Bulb Weighting'!$B$2:$C$17,MATCH(RIGHT('SC-New'!$D55,LEN($D92)-7),'Bulb Weighting'!$B$3:$B$17,0)+1,2)</f>
        <v>0</v>
      </c>
      <c r="S92" s="37">
        <f>VLOOKUP($C92,$D$60:$Z$63,S$32,FALSE)*$D$79*$A92/8760/1000*INDEX('Bulb Weighting'!$B$2:$C$17,MATCH(RIGHT('SC-New'!$D55,LEN($D92)-7),'Bulb Weighting'!$B$3:$B$17,0)+1,2)</f>
        <v>0</v>
      </c>
      <c r="T92" s="37">
        <f>VLOOKUP($C92,$D$60:$Z$63,T$32,FALSE)*$D$79*$A92/8760/1000*INDEX('Bulb Weighting'!$B$2:$C$17,MATCH(RIGHT('SC-New'!$D55,LEN($D92)-7),'Bulb Weighting'!$B$3:$B$17,0)+1,2)</f>
        <v>0</v>
      </c>
      <c r="U92" s="37">
        <f>VLOOKUP($C92,$D$60:$Z$63,U$32,FALSE)*$D$79*$A92/8760/1000*INDEX('Bulb Weighting'!$B$2:$C$17,MATCH(RIGHT('SC-New'!$D55,LEN($D92)-7),'Bulb Weighting'!$B$3:$B$17,0)+1,2)</f>
        <v>0</v>
      </c>
      <c r="V92" s="37">
        <f>VLOOKUP($C92,$D$60:$Z$63,V$32,FALSE)*$D$79*$A92/8760/1000*INDEX('Bulb Weighting'!$B$2:$C$17,MATCH(RIGHT('SC-New'!$D55,LEN($D92)-7),'Bulb Weighting'!$B$3:$B$17,0)+1,2)</f>
        <v>0</v>
      </c>
      <c r="W92" s="37">
        <f>VLOOKUP($C92,$D$60:$Z$63,W$32,FALSE)*$D$79*$A92/8760/1000*INDEX('Bulb Weighting'!$B$2:$C$17,MATCH(RIGHT('SC-New'!$D55,LEN($D92)-7),'Bulb Weighting'!$B$3:$B$17,0)+1,2)</f>
        <v>0</v>
      </c>
      <c r="X92" s="37">
        <f>VLOOKUP($C92,$D$60:$Z$63,X$32,FALSE)*$D$79*$A92/8760/1000*INDEX('Bulb Weighting'!$B$2:$C$17,MATCH(RIGHT('SC-New'!$D55,LEN($D92)-7),'Bulb Weighting'!$B$3:$B$17,0)+1,2)</f>
        <v>0</v>
      </c>
      <c r="Y92" s="448">
        <f>(VLOOKUP($C92,$D$43:$Z$46,$X$68+3,FALSE)+VLOOKUP($C92,$D$51:$Z$54,$X$68+3,FALSE))*$A92*$D$79/8760/1000*INDEX('Bulb Weighting'!$B$2:$C$17,MATCH(RIGHT('SC-New'!$D55,LEN($D92)-7),'Bulb Weighting'!$B$3:$B$17,0)+1,2)</f>
        <v>3.1414170947721445</v>
      </c>
      <c r="Z92" s="32"/>
      <c r="AA92" s="32">
        <f t="shared" si="34"/>
        <v>0.69487900140970071</v>
      </c>
      <c r="AB92" s="37"/>
      <c r="AC92" s="84"/>
    </row>
    <row r="93" spans="1:29" customFormat="1">
      <c r="A93" s="89">
        <f t="shared" si="30"/>
        <v>48.421429568529426</v>
      </c>
      <c r="B93" s="71">
        <f t="shared" si="31"/>
        <v>-0.28395098554769854</v>
      </c>
      <c r="C93" s="1" t="s">
        <v>29</v>
      </c>
      <c r="D93" t="s">
        <v>740</v>
      </c>
      <c r="E93" s="37">
        <f>VLOOKUP($C93,$D$60:$Z$63,E$32,FALSE)*$D$79*$A93/8760/1000*INDEX('Bulb Weighting'!$B$2:$C$17,MATCH(RIGHT('SC-New'!$D56,LEN($D93)-7),'Bulb Weighting'!$B$3:$B$17,0)+1,2)</f>
        <v>6.347806391721696E-3</v>
      </c>
      <c r="F93" s="37">
        <f>VLOOKUP($C93,$D$60:$Z$63,F$32,FALSE)*$D$79*$A93/8760/1000*INDEX('Bulb Weighting'!$B$2:$C$17,MATCH(RIGHT('SC-New'!$D56,LEN($D93)-7),'Bulb Weighting'!$B$3:$B$17,0)+1,2)</f>
        <v>0</v>
      </c>
      <c r="G93" s="37">
        <f>VLOOKUP($C93,$D$60:$Z$63,G$32,FALSE)*$D$79*$A93/8760/1000*INDEX('Bulb Weighting'!$B$2:$C$17,MATCH(RIGHT('SC-New'!$D56,LEN($D93)-7),'Bulb Weighting'!$B$3:$B$17,0)+1,2)</f>
        <v>0</v>
      </c>
      <c r="H93" s="37">
        <f>VLOOKUP($C93,$D$60:$Z$63,H$32,FALSE)*$D$79*$A93/8760/1000*INDEX('Bulb Weighting'!$B$2:$C$17,MATCH(RIGHT('SC-New'!$D56,LEN($D93)-7),'Bulb Weighting'!$B$3:$B$17,0)+1,2)</f>
        <v>0</v>
      </c>
      <c r="I93" s="37">
        <f>VLOOKUP($C93,$D$60:$Z$63,I$32,FALSE)*$D$79*$A93/8760/1000*INDEX('Bulb Weighting'!$B$2:$C$17,MATCH(RIGHT('SC-New'!$D56,LEN($D93)-7),'Bulb Weighting'!$B$3:$B$17,0)+1,2)</f>
        <v>0</v>
      </c>
      <c r="J93" s="37">
        <f>VLOOKUP($C93,$D$60:$Z$63,J$32,FALSE)*$D$79*$A93/8760/1000*INDEX('Bulb Weighting'!$B$2:$C$17,MATCH(RIGHT('SC-New'!$D56,LEN($D93)-7),'Bulb Weighting'!$B$3:$B$17,0)+1,2)</f>
        <v>0</v>
      </c>
      <c r="K93" s="37">
        <f>VLOOKUP($C93,$D$60:$Z$63,K$32,FALSE)*$D$79*$A93/8760/1000*INDEX('Bulb Weighting'!$B$2:$C$17,MATCH(RIGHT('SC-New'!$D56,LEN($D93)-7),'Bulb Weighting'!$B$3:$B$17,0)+1,2)</f>
        <v>0</v>
      </c>
      <c r="L93" s="37">
        <f>VLOOKUP($C93,$D$60:$Z$63,L$32,FALSE)*$D$79*$A93/8760/1000*INDEX('Bulb Weighting'!$B$2:$C$17,MATCH(RIGHT('SC-New'!$D56,LEN($D93)-7),'Bulb Weighting'!$B$3:$B$17,0)+1,2)</f>
        <v>0</v>
      </c>
      <c r="M93" s="37">
        <f>VLOOKUP($C93,$D$60:$Z$63,M$32,FALSE)*$D$79*$A93/8760/1000*INDEX('Bulb Weighting'!$B$2:$C$17,MATCH(RIGHT('SC-New'!$D56,LEN($D93)-7),'Bulb Weighting'!$B$3:$B$17,0)+1,2)</f>
        <v>0</v>
      </c>
      <c r="N93" s="37">
        <f>VLOOKUP($C93,$D$60:$Z$63,N$32,FALSE)*$D$79*$A93/8760/1000*INDEX('Bulb Weighting'!$B$2:$C$17,MATCH(RIGHT('SC-New'!$D56,LEN($D93)-7),'Bulb Weighting'!$B$3:$B$17,0)+1,2)</f>
        <v>0</v>
      </c>
      <c r="O93" s="37">
        <f>VLOOKUP($C93,$D$60:$Z$63,O$32,FALSE)*$D$79*$A93/8760/1000*INDEX('Bulb Weighting'!$B$2:$C$17,MATCH(RIGHT('SC-New'!$D56,LEN($D93)-7),'Bulb Weighting'!$B$3:$B$17,0)+1,2)</f>
        <v>0</v>
      </c>
      <c r="P93" s="37">
        <f>VLOOKUP($C93,$D$60:$Z$63,P$32,FALSE)*$D$79*$A93/8760/1000*INDEX('Bulb Weighting'!$B$2:$C$17,MATCH(RIGHT('SC-New'!$D56,LEN($D93)-7),'Bulb Weighting'!$B$3:$B$17,0)+1,2)</f>
        <v>0</v>
      </c>
      <c r="Q93" s="37">
        <f>VLOOKUP($C93,$D$60:$Z$63,Q$32,FALSE)*$D$79*$A93/8760/1000*INDEX('Bulb Weighting'!$B$2:$C$17,MATCH(RIGHT('SC-New'!$D56,LEN($D93)-7),'Bulb Weighting'!$B$3:$B$17,0)+1,2)</f>
        <v>0</v>
      </c>
      <c r="R93" s="37">
        <f>VLOOKUP($C93,$D$60:$Z$63,R$32,FALSE)*$D$79*$A93/8760/1000*INDEX('Bulb Weighting'!$B$2:$C$17,MATCH(RIGHT('SC-New'!$D56,LEN($D93)-7),'Bulb Weighting'!$B$3:$B$17,0)+1,2)</f>
        <v>0</v>
      </c>
      <c r="S93" s="37">
        <f>VLOOKUP($C93,$D$60:$Z$63,S$32,FALSE)*$D$79*$A93/8760/1000*INDEX('Bulb Weighting'!$B$2:$C$17,MATCH(RIGHT('SC-New'!$D56,LEN($D93)-7),'Bulb Weighting'!$B$3:$B$17,0)+1,2)</f>
        <v>0</v>
      </c>
      <c r="T93" s="37">
        <f>VLOOKUP($C93,$D$60:$Z$63,T$32,FALSE)*$D$79*$A93/8760/1000*INDEX('Bulb Weighting'!$B$2:$C$17,MATCH(RIGHT('SC-New'!$D56,LEN($D93)-7),'Bulb Weighting'!$B$3:$B$17,0)+1,2)</f>
        <v>0</v>
      </c>
      <c r="U93" s="37">
        <f>VLOOKUP($C93,$D$60:$Z$63,U$32,FALSE)*$D$79*$A93/8760/1000*INDEX('Bulb Weighting'!$B$2:$C$17,MATCH(RIGHT('SC-New'!$D56,LEN($D93)-7),'Bulb Weighting'!$B$3:$B$17,0)+1,2)</f>
        <v>0</v>
      </c>
      <c r="V93" s="37">
        <f>VLOOKUP($C93,$D$60:$Z$63,V$32,FALSE)*$D$79*$A93/8760/1000*INDEX('Bulb Weighting'!$B$2:$C$17,MATCH(RIGHT('SC-New'!$D56,LEN($D93)-7),'Bulb Weighting'!$B$3:$B$17,0)+1,2)</f>
        <v>0</v>
      </c>
      <c r="W93" s="37">
        <f>VLOOKUP($C93,$D$60:$Z$63,W$32,FALSE)*$D$79*$A93/8760/1000*INDEX('Bulb Weighting'!$B$2:$C$17,MATCH(RIGHT('SC-New'!$D56,LEN($D93)-7),'Bulb Weighting'!$B$3:$B$17,0)+1,2)</f>
        <v>0</v>
      </c>
      <c r="X93" s="37">
        <f>VLOOKUP($C93,$D$60:$Z$63,X$32,FALSE)*$D$79*$A93/8760/1000*INDEX('Bulb Weighting'!$B$2:$C$17,MATCH(RIGHT('SC-New'!$D56,LEN($D93)-7),'Bulb Weighting'!$B$3:$B$17,0)+1,2)</f>
        <v>0</v>
      </c>
      <c r="Y93" s="448">
        <f>(VLOOKUP($C93,$D$43:$Z$46,$X$68+3,FALSE)+VLOOKUP($C93,$D$51:$Z$54,$X$68+3,FALSE))*$A93*$D$79/8760/1000*INDEX('Bulb Weighting'!$B$2:$C$17,MATCH(RIGHT('SC-New'!$D56,LEN($D93)-7),'Bulb Weighting'!$B$3:$B$17,0)+1,2)</f>
        <v>2.8697237177701312E-2</v>
      </c>
      <c r="Z93" s="32"/>
      <c r="AA93" s="32">
        <f>SUM(E93:X93)</f>
        <v>6.347806391721696E-3</v>
      </c>
      <c r="AB93" s="37"/>
      <c r="AC93" s="84"/>
    </row>
    <row r="94" spans="1:29" customFormat="1">
      <c r="A94" s="89">
        <f t="shared" si="30"/>
        <v>52.157694278074032</v>
      </c>
      <c r="B94" s="71">
        <f t="shared" si="31"/>
        <v>-8.9398321624848585</v>
      </c>
      <c r="C94" s="1" t="s">
        <v>29</v>
      </c>
      <c r="D94" t="s">
        <v>742</v>
      </c>
      <c r="E94" s="37">
        <f>VLOOKUP($C94,$D$60:$Z$63,E$32,FALSE)*$D$79*$A94/8760/1000*INDEX('Bulb Weighting'!$B$2:$C$17,MATCH(RIGHT('SC-New'!$D57,LEN($D94)-7),'Bulb Weighting'!$B$3:$B$17,0)+1,2)</f>
        <v>8.4399521313870005E-2</v>
      </c>
      <c r="F94" s="37">
        <f>VLOOKUP($C94,$D$60:$Z$63,F$32,FALSE)*$D$79*$A94/8760/1000*INDEX('Bulb Weighting'!$B$2:$C$17,MATCH(RIGHT('SC-New'!$D57,LEN($D94)-7),'Bulb Weighting'!$B$3:$B$17,0)+1,2)</f>
        <v>0</v>
      </c>
      <c r="G94" s="37">
        <f>VLOOKUP($C94,$D$60:$Z$63,G$32,FALSE)*$D$79*$A94/8760/1000*INDEX('Bulb Weighting'!$B$2:$C$17,MATCH(RIGHT('SC-New'!$D57,LEN($D94)-7),'Bulb Weighting'!$B$3:$B$17,0)+1,2)</f>
        <v>0</v>
      </c>
      <c r="H94" s="37">
        <f>VLOOKUP($C94,$D$60:$Z$63,H$32,FALSE)*$D$79*$A94/8760/1000*INDEX('Bulb Weighting'!$B$2:$C$17,MATCH(RIGHT('SC-New'!$D57,LEN($D94)-7),'Bulb Weighting'!$B$3:$B$17,0)+1,2)</f>
        <v>0</v>
      </c>
      <c r="I94" s="37">
        <f>VLOOKUP($C94,$D$60:$Z$63,I$32,FALSE)*$D$79*$A94/8760/1000*INDEX('Bulb Weighting'!$B$2:$C$17,MATCH(RIGHT('SC-New'!$D57,LEN($D94)-7),'Bulb Weighting'!$B$3:$B$17,0)+1,2)</f>
        <v>0</v>
      </c>
      <c r="J94" s="37">
        <f>VLOOKUP($C94,$D$60:$Z$63,J$32,FALSE)*$D$79*$A94/8760/1000*INDEX('Bulb Weighting'!$B$2:$C$17,MATCH(RIGHT('SC-New'!$D57,LEN($D94)-7),'Bulb Weighting'!$B$3:$B$17,0)+1,2)</f>
        <v>0</v>
      </c>
      <c r="K94" s="37">
        <f>VLOOKUP($C94,$D$60:$Z$63,K$32,FALSE)*$D$79*$A94/8760/1000*INDEX('Bulb Weighting'!$B$2:$C$17,MATCH(RIGHT('SC-New'!$D57,LEN($D94)-7),'Bulb Weighting'!$B$3:$B$17,0)+1,2)</f>
        <v>0</v>
      </c>
      <c r="L94" s="37">
        <f>VLOOKUP($C94,$D$60:$Z$63,L$32,FALSE)*$D$79*$A94/8760/1000*INDEX('Bulb Weighting'!$B$2:$C$17,MATCH(RIGHT('SC-New'!$D57,LEN($D94)-7),'Bulb Weighting'!$B$3:$B$17,0)+1,2)</f>
        <v>0</v>
      </c>
      <c r="M94" s="37">
        <f>VLOOKUP($C94,$D$60:$Z$63,M$32,FALSE)*$D$79*$A94/8760/1000*INDEX('Bulb Weighting'!$B$2:$C$17,MATCH(RIGHT('SC-New'!$D57,LEN($D94)-7),'Bulb Weighting'!$B$3:$B$17,0)+1,2)</f>
        <v>0</v>
      </c>
      <c r="N94" s="37">
        <f>VLOOKUP($C94,$D$60:$Z$63,N$32,FALSE)*$D$79*$A94/8760/1000*INDEX('Bulb Weighting'!$B$2:$C$17,MATCH(RIGHT('SC-New'!$D57,LEN($D94)-7),'Bulb Weighting'!$B$3:$B$17,0)+1,2)</f>
        <v>0</v>
      </c>
      <c r="O94" s="37">
        <f>VLOOKUP($C94,$D$60:$Z$63,O$32,FALSE)*$D$79*$A94/8760/1000*INDEX('Bulb Weighting'!$B$2:$C$17,MATCH(RIGHT('SC-New'!$D57,LEN($D94)-7),'Bulb Weighting'!$B$3:$B$17,0)+1,2)</f>
        <v>0</v>
      </c>
      <c r="P94" s="37">
        <f>VLOOKUP($C94,$D$60:$Z$63,P$32,FALSE)*$D$79*$A94/8760/1000*INDEX('Bulb Weighting'!$B$2:$C$17,MATCH(RIGHT('SC-New'!$D57,LEN($D94)-7),'Bulb Weighting'!$B$3:$B$17,0)+1,2)</f>
        <v>0</v>
      </c>
      <c r="Q94" s="37">
        <f>VLOOKUP($C94,$D$60:$Z$63,Q$32,FALSE)*$D$79*$A94/8760/1000*INDEX('Bulb Weighting'!$B$2:$C$17,MATCH(RIGHT('SC-New'!$D57,LEN($D94)-7),'Bulb Weighting'!$B$3:$B$17,0)+1,2)</f>
        <v>0</v>
      </c>
      <c r="R94" s="37">
        <f>VLOOKUP($C94,$D$60:$Z$63,R$32,FALSE)*$D$79*$A94/8760/1000*INDEX('Bulb Weighting'!$B$2:$C$17,MATCH(RIGHT('SC-New'!$D57,LEN($D94)-7),'Bulb Weighting'!$B$3:$B$17,0)+1,2)</f>
        <v>0</v>
      </c>
      <c r="S94" s="37">
        <f>VLOOKUP($C94,$D$60:$Z$63,S$32,FALSE)*$D$79*$A94/8760/1000*INDEX('Bulb Weighting'!$B$2:$C$17,MATCH(RIGHT('SC-New'!$D57,LEN($D94)-7),'Bulb Weighting'!$B$3:$B$17,0)+1,2)</f>
        <v>0</v>
      </c>
      <c r="T94" s="37">
        <f>VLOOKUP($C94,$D$60:$Z$63,T$32,FALSE)*$D$79*$A94/8760/1000*INDEX('Bulb Weighting'!$B$2:$C$17,MATCH(RIGHT('SC-New'!$D57,LEN($D94)-7),'Bulb Weighting'!$B$3:$B$17,0)+1,2)</f>
        <v>0</v>
      </c>
      <c r="U94" s="37">
        <f>VLOOKUP($C94,$D$60:$Z$63,U$32,FALSE)*$D$79*$A94/8760/1000*INDEX('Bulb Weighting'!$B$2:$C$17,MATCH(RIGHT('SC-New'!$D57,LEN($D94)-7),'Bulb Weighting'!$B$3:$B$17,0)+1,2)</f>
        <v>0</v>
      </c>
      <c r="V94" s="37">
        <f>VLOOKUP($C94,$D$60:$Z$63,V$32,FALSE)*$D$79*$A94/8760/1000*INDEX('Bulb Weighting'!$B$2:$C$17,MATCH(RIGHT('SC-New'!$D57,LEN($D94)-7),'Bulb Weighting'!$B$3:$B$17,0)+1,2)</f>
        <v>0</v>
      </c>
      <c r="W94" s="37">
        <f>VLOOKUP($C94,$D$60:$Z$63,W$32,FALSE)*$D$79*$A94/8760/1000*INDEX('Bulb Weighting'!$B$2:$C$17,MATCH(RIGHT('SC-New'!$D57,LEN($D94)-7),'Bulb Weighting'!$B$3:$B$17,0)+1,2)</f>
        <v>0</v>
      </c>
      <c r="X94" s="37">
        <f>VLOOKUP($C94,$D$60:$Z$63,X$32,FALSE)*$D$79*$A94/8760/1000*INDEX('Bulb Weighting'!$B$2:$C$17,MATCH(RIGHT('SC-New'!$D57,LEN($D94)-7),'Bulb Weighting'!$B$3:$B$17,0)+1,2)</f>
        <v>0</v>
      </c>
      <c r="Y94" s="448">
        <f>(VLOOKUP($C94,$D$43:$Z$46,$X$68+3,FALSE)+VLOOKUP($C94,$D$51:$Z$54,$X$68+3,FALSE))*$A94*$D$79/8760/1000*INDEX('Bulb Weighting'!$B$2:$C$17,MATCH(RIGHT('SC-New'!$D57,LEN($D94)-7),'Bulb Weighting'!$B$3:$B$17,0)+1,2)</f>
        <v>0.38155434040761022</v>
      </c>
      <c r="Z94" s="32"/>
      <c r="AA94" s="32">
        <f t="shared" ref="AA94:AA96" si="35">SUM(E94:X94)</f>
        <v>8.4399521313870005E-2</v>
      </c>
      <c r="AB94" s="37"/>
      <c r="AC94" s="84"/>
    </row>
    <row r="95" spans="1:29" customFormat="1">
      <c r="A95" s="89">
        <f t="shared" si="30"/>
        <v>46.673278979590322</v>
      </c>
      <c r="B95" s="71">
        <f t="shared" si="31"/>
        <v>-22.011904676498236</v>
      </c>
      <c r="C95" s="1" t="s">
        <v>29</v>
      </c>
      <c r="D95" t="s">
        <v>744</v>
      </c>
      <c r="E95" s="37">
        <f>VLOOKUP($C95,$D$60:$Z$63,E$32,FALSE)*$D$79*$A95/8760/1000*INDEX('Bulb Weighting'!$B$2:$C$17,MATCH(RIGHT('SC-New'!$D58,LEN($D95)-7),'Bulb Weighting'!$B$3:$B$17,0)+1,2)</f>
        <v>0.29204650727574866</v>
      </c>
      <c r="F95" s="37">
        <f>VLOOKUP($C95,$D$60:$Z$63,F$32,FALSE)*$D$79*$A95/8760/1000*INDEX('Bulb Weighting'!$B$2:$C$17,MATCH(RIGHT('SC-New'!$D58,LEN($D95)-7),'Bulb Weighting'!$B$3:$B$17,0)+1,2)</f>
        <v>0</v>
      </c>
      <c r="G95" s="37">
        <f>VLOOKUP($C95,$D$60:$Z$63,G$32,FALSE)*$D$79*$A95/8760/1000*INDEX('Bulb Weighting'!$B$2:$C$17,MATCH(RIGHT('SC-New'!$D58,LEN($D95)-7),'Bulb Weighting'!$B$3:$B$17,0)+1,2)</f>
        <v>0</v>
      </c>
      <c r="H95" s="37">
        <f>VLOOKUP($C95,$D$60:$Z$63,H$32,FALSE)*$D$79*$A95/8760/1000*INDEX('Bulb Weighting'!$B$2:$C$17,MATCH(RIGHT('SC-New'!$D58,LEN($D95)-7),'Bulb Weighting'!$B$3:$B$17,0)+1,2)</f>
        <v>0</v>
      </c>
      <c r="I95" s="37">
        <f>VLOOKUP($C95,$D$60:$Z$63,I$32,FALSE)*$D$79*$A95/8760/1000*INDEX('Bulb Weighting'!$B$2:$C$17,MATCH(RIGHT('SC-New'!$D58,LEN($D95)-7),'Bulb Weighting'!$B$3:$B$17,0)+1,2)</f>
        <v>0</v>
      </c>
      <c r="J95" s="37">
        <f>VLOOKUP($C95,$D$60:$Z$63,J$32,FALSE)*$D$79*$A95/8760/1000*INDEX('Bulb Weighting'!$B$2:$C$17,MATCH(RIGHT('SC-New'!$D58,LEN($D95)-7),'Bulb Weighting'!$B$3:$B$17,0)+1,2)</f>
        <v>0</v>
      </c>
      <c r="K95" s="37">
        <f>VLOOKUP($C95,$D$60:$Z$63,K$32,FALSE)*$D$79*$A95/8760/1000*INDEX('Bulb Weighting'!$B$2:$C$17,MATCH(RIGHT('SC-New'!$D58,LEN($D95)-7),'Bulb Weighting'!$B$3:$B$17,0)+1,2)</f>
        <v>0</v>
      </c>
      <c r="L95" s="37">
        <f>VLOOKUP($C95,$D$60:$Z$63,L$32,FALSE)*$D$79*$A95/8760/1000*INDEX('Bulb Weighting'!$B$2:$C$17,MATCH(RIGHT('SC-New'!$D58,LEN($D95)-7),'Bulb Weighting'!$B$3:$B$17,0)+1,2)</f>
        <v>0</v>
      </c>
      <c r="M95" s="37">
        <f>VLOOKUP($C95,$D$60:$Z$63,M$32,FALSE)*$D$79*$A95/8760/1000*INDEX('Bulb Weighting'!$B$2:$C$17,MATCH(RIGHT('SC-New'!$D58,LEN($D95)-7),'Bulb Weighting'!$B$3:$B$17,0)+1,2)</f>
        <v>0</v>
      </c>
      <c r="N95" s="37">
        <f>VLOOKUP($C95,$D$60:$Z$63,N$32,FALSE)*$D$79*$A95/8760/1000*INDEX('Bulb Weighting'!$B$2:$C$17,MATCH(RIGHT('SC-New'!$D58,LEN($D95)-7),'Bulb Weighting'!$B$3:$B$17,0)+1,2)</f>
        <v>0</v>
      </c>
      <c r="O95" s="37">
        <f>VLOOKUP($C95,$D$60:$Z$63,O$32,FALSE)*$D$79*$A95/8760/1000*INDEX('Bulb Weighting'!$B$2:$C$17,MATCH(RIGHT('SC-New'!$D58,LEN($D95)-7),'Bulb Weighting'!$B$3:$B$17,0)+1,2)</f>
        <v>0</v>
      </c>
      <c r="P95" s="37">
        <f>VLOOKUP($C95,$D$60:$Z$63,P$32,FALSE)*$D$79*$A95/8760/1000*INDEX('Bulb Weighting'!$B$2:$C$17,MATCH(RIGHT('SC-New'!$D58,LEN($D95)-7),'Bulb Weighting'!$B$3:$B$17,0)+1,2)</f>
        <v>0</v>
      </c>
      <c r="Q95" s="37">
        <f>VLOOKUP($C95,$D$60:$Z$63,Q$32,FALSE)*$D$79*$A95/8760/1000*INDEX('Bulb Weighting'!$B$2:$C$17,MATCH(RIGHT('SC-New'!$D58,LEN($D95)-7),'Bulb Weighting'!$B$3:$B$17,0)+1,2)</f>
        <v>0</v>
      </c>
      <c r="R95" s="37">
        <f>VLOOKUP($C95,$D$60:$Z$63,R$32,FALSE)*$D$79*$A95/8760/1000*INDEX('Bulb Weighting'!$B$2:$C$17,MATCH(RIGHT('SC-New'!$D58,LEN($D95)-7),'Bulb Weighting'!$B$3:$B$17,0)+1,2)</f>
        <v>0</v>
      </c>
      <c r="S95" s="37">
        <f>VLOOKUP($C95,$D$60:$Z$63,S$32,FALSE)*$D$79*$A95/8760/1000*INDEX('Bulb Weighting'!$B$2:$C$17,MATCH(RIGHT('SC-New'!$D58,LEN($D95)-7),'Bulb Weighting'!$B$3:$B$17,0)+1,2)</f>
        <v>0</v>
      </c>
      <c r="T95" s="37">
        <f>VLOOKUP($C95,$D$60:$Z$63,T$32,FALSE)*$D$79*$A95/8760/1000*INDEX('Bulb Weighting'!$B$2:$C$17,MATCH(RIGHT('SC-New'!$D58,LEN($D95)-7),'Bulb Weighting'!$B$3:$B$17,0)+1,2)</f>
        <v>0</v>
      </c>
      <c r="U95" s="37">
        <f>VLOOKUP($C95,$D$60:$Z$63,U$32,FALSE)*$D$79*$A95/8760/1000*INDEX('Bulb Weighting'!$B$2:$C$17,MATCH(RIGHT('SC-New'!$D58,LEN($D95)-7),'Bulb Weighting'!$B$3:$B$17,0)+1,2)</f>
        <v>0</v>
      </c>
      <c r="V95" s="37">
        <f>VLOOKUP($C95,$D$60:$Z$63,V$32,FALSE)*$D$79*$A95/8760/1000*INDEX('Bulb Weighting'!$B$2:$C$17,MATCH(RIGHT('SC-New'!$D58,LEN($D95)-7),'Bulb Weighting'!$B$3:$B$17,0)+1,2)</f>
        <v>0</v>
      </c>
      <c r="W95" s="37">
        <f>VLOOKUP($C95,$D$60:$Z$63,W$32,FALSE)*$D$79*$A95/8760/1000*INDEX('Bulb Weighting'!$B$2:$C$17,MATCH(RIGHT('SC-New'!$D58,LEN($D95)-7),'Bulb Weighting'!$B$3:$B$17,0)+1,2)</f>
        <v>0</v>
      </c>
      <c r="X95" s="37">
        <f>VLOOKUP($C95,$D$60:$Z$63,X$32,FALSE)*$D$79*$A95/8760/1000*INDEX('Bulb Weighting'!$B$2:$C$17,MATCH(RIGHT('SC-New'!$D58,LEN($D95)-7),'Bulb Weighting'!$B$3:$B$17,0)+1,2)</f>
        <v>0</v>
      </c>
      <c r="Y95" s="448">
        <f>(VLOOKUP($C95,$D$43:$Z$46,$X$68+3,FALSE)+VLOOKUP($C95,$D$51:$Z$54,$X$68+3,FALSE))*$A95*$D$79/8760/1000*INDEX('Bulb Weighting'!$B$2:$C$17,MATCH(RIGHT('SC-New'!$D58,LEN($D95)-7),'Bulb Weighting'!$B$3:$B$17,0)+1,2)</f>
        <v>1.3202872565775112</v>
      </c>
      <c r="Z95" s="32"/>
      <c r="AA95" s="32">
        <f t="shared" si="35"/>
        <v>0.29204650727574866</v>
      </c>
      <c r="AB95" s="37"/>
      <c r="AC95" s="84"/>
    </row>
    <row r="96" spans="1:29" customFormat="1">
      <c r="A96" s="89">
        <f t="shared" si="30"/>
        <v>19.236292058718274</v>
      </c>
      <c r="B96" s="71">
        <f t="shared" si="31"/>
        <v>-15.059976945801358</v>
      </c>
      <c r="C96" s="1" t="str">
        <f>C14</f>
        <v>Multifamily - Low Rise</v>
      </c>
      <c r="D96" t="s">
        <v>716</v>
      </c>
      <c r="E96" s="37">
        <f>VLOOKUP($C96,$D$60:$Z$63,E$32,FALSE)*$D$79*$A96/8760/1000*INDEX('Bulb Weighting'!$B$2:$C$17,MATCH(RIGHT('SC-New'!$D59,LEN($D96)-7),'Bulb Weighting'!$B$3:$B$17,0)+1,2)</f>
        <v>8.9146087532912449E-2</v>
      </c>
      <c r="F96" s="37">
        <f>VLOOKUP($C96,$D$60:$Z$63,F$32,FALSE)*$D$79*$A96/8760/1000*INDEX('Bulb Weighting'!$B$2:$C$17,MATCH(RIGHT('SC-New'!$D59,LEN($D96)-7),'Bulb Weighting'!$B$3:$B$17,0)+1,2)</f>
        <v>0</v>
      </c>
      <c r="G96" s="37">
        <f>VLOOKUP($C96,$D$60:$Z$63,G$32,FALSE)*$D$79*$A96/8760/1000*INDEX('Bulb Weighting'!$B$2:$C$17,MATCH(RIGHT('SC-New'!$D59,LEN($D96)-7),'Bulb Weighting'!$B$3:$B$17,0)+1,2)</f>
        <v>0</v>
      </c>
      <c r="H96" s="37">
        <f>VLOOKUP($C96,$D$60:$Z$63,H$32,FALSE)*$D$79*$A96/8760/1000*INDEX('Bulb Weighting'!$B$2:$C$17,MATCH(RIGHT('SC-New'!$D59,LEN($D96)-7),'Bulb Weighting'!$B$3:$B$17,0)+1,2)</f>
        <v>0</v>
      </c>
      <c r="I96" s="37">
        <f>VLOOKUP($C96,$D$60:$Z$63,I$32,FALSE)*$D$79*$A96/8760/1000*INDEX('Bulb Weighting'!$B$2:$C$17,MATCH(RIGHT('SC-New'!$D59,LEN($D96)-7),'Bulb Weighting'!$B$3:$B$17,0)+1,2)</f>
        <v>0</v>
      </c>
      <c r="J96" s="37">
        <f>VLOOKUP($C96,$D$60:$Z$63,J$32,FALSE)*$D$79*$A96/8760/1000*INDEX('Bulb Weighting'!$B$2:$C$17,MATCH(RIGHT('SC-New'!$D59,LEN($D96)-7),'Bulb Weighting'!$B$3:$B$17,0)+1,2)</f>
        <v>0</v>
      </c>
      <c r="K96" s="37">
        <f>VLOOKUP($C96,$D$60:$Z$63,K$32,FALSE)*$D$79*$A96/8760/1000*INDEX('Bulb Weighting'!$B$2:$C$17,MATCH(RIGHT('SC-New'!$D59,LEN($D96)-7),'Bulb Weighting'!$B$3:$B$17,0)+1,2)</f>
        <v>0</v>
      </c>
      <c r="L96" s="37">
        <f>VLOOKUP($C96,$D$60:$Z$63,L$32,FALSE)*$D$79*$A96/8760/1000*INDEX('Bulb Weighting'!$B$2:$C$17,MATCH(RIGHT('SC-New'!$D59,LEN($D96)-7),'Bulb Weighting'!$B$3:$B$17,0)+1,2)</f>
        <v>0</v>
      </c>
      <c r="M96" s="37">
        <f>VLOOKUP($C96,$D$60:$Z$63,M$32,FALSE)*$D$79*$A96/8760/1000*INDEX('Bulb Weighting'!$B$2:$C$17,MATCH(RIGHT('SC-New'!$D59,LEN($D96)-7),'Bulb Weighting'!$B$3:$B$17,0)+1,2)</f>
        <v>0</v>
      </c>
      <c r="N96" s="37">
        <f>VLOOKUP($C96,$D$60:$Z$63,N$32,FALSE)*$D$79*$A96/8760/1000*INDEX('Bulb Weighting'!$B$2:$C$17,MATCH(RIGHT('SC-New'!$D59,LEN($D96)-7),'Bulb Weighting'!$B$3:$B$17,0)+1,2)</f>
        <v>0</v>
      </c>
      <c r="O96" s="37">
        <f>VLOOKUP($C96,$D$60:$Z$63,O$32,FALSE)*$D$79*$A96/8760/1000*INDEX('Bulb Weighting'!$B$2:$C$17,MATCH(RIGHT('SC-New'!$D59,LEN($D96)-7),'Bulb Weighting'!$B$3:$B$17,0)+1,2)</f>
        <v>0</v>
      </c>
      <c r="P96" s="37">
        <f>VLOOKUP($C96,$D$60:$Z$63,P$32,FALSE)*$D$79*$A96/8760/1000*INDEX('Bulb Weighting'!$B$2:$C$17,MATCH(RIGHT('SC-New'!$D59,LEN($D96)-7),'Bulb Weighting'!$B$3:$B$17,0)+1,2)</f>
        <v>0</v>
      </c>
      <c r="Q96" s="37">
        <f>VLOOKUP($C96,$D$60:$Z$63,Q$32,FALSE)*$D$79*$A96/8760/1000*INDEX('Bulb Weighting'!$B$2:$C$17,MATCH(RIGHT('SC-New'!$D59,LEN($D96)-7),'Bulb Weighting'!$B$3:$B$17,0)+1,2)</f>
        <v>0</v>
      </c>
      <c r="R96" s="37">
        <f>VLOOKUP($C96,$D$60:$Z$63,R$32,FALSE)*$D$79*$A96/8760/1000*INDEX('Bulb Weighting'!$B$2:$C$17,MATCH(RIGHT('SC-New'!$D59,LEN($D96)-7),'Bulb Weighting'!$B$3:$B$17,0)+1,2)</f>
        <v>0</v>
      </c>
      <c r="S96" s="37">
        <f>VLOOKUP($C96,$D$60:$Z$63,S$32,FALSE)*$D$79*$A96/8760/1000*INDEX('Bulb Weighting'!$B$2:$C$17,MATCH(RIGHT('SC-New'!$D59,LEN($D96)-7),'Bulb Weighting'!$B$3:$B$17,0)+1,2)</f>
        <v>0</v>
      </c>
      <c r="T96" s="37">
        <f>VLOOKUP($C96,$D$60:$Z$63,T$32,FALSE)*$D$79*$A96/8760/1000*INDEX('Bulb Weighting'!$B$2:$C$17,MATCH(RIGHT('SC-New'!$D59,LEN($D96)-7),'Bulb Weighting'!$B$3:$B$17,0)+1,2)</f>
        <v>0</v>
      </c>
      <c r="U96" s="37">
        <f>VLOOKUP($C96,$D$60:$Z$63,U$32,FALSE)*$D$79*$A96/8760/1000*INDEX('Bulb Weighting'!$B$2:$C$17,MATCH(RIGHT('SC-New'!$D59,LEN($D96)-7),'Bulb Weighting'!$B$3:$B$17,0)+1,2)</f>
        <v>0</v>
      </c>
      <c r="V96" s="37">
        <f>VLOOKUP($C96,$D$60:$Z$63,V$32,FALSE)*$D$79*$A96/8760/1000*INDEX('Bulb Weighting'!$B$2:$C$17,MATCH(RIGHT('SC-New'!$D59,LEN($D96)-7),'Bulb Weighting'!$B$3:$B$17,0)+1,2)</f>
        <v>0</v>
      </c>
      <c r="W96" s="37">
        <f>VLOOKUP($C96,$D$60:$Z$63,W$32,FALSE)*$D$79*$A96/8760/1000*INDEX('Bulb Weighting'!$B$2:$C$17,MATCH(RIGHT('SC-New'!$D59,LEN($D96)-7),'Bulb Weighting'!$B$3:$B$17,0)+1,2)</f>
        <v>0</v>
      </c>
      <c r="X96" s="37">
        <f>VLOOKUP($C96,$D$60:$Z$63,X$32,FALSE)*$D$79*$A96/8760/1000*INDEX('Bulb Weighting'!$B$2:$C$17,MATCH(RIGHT('SC-New'!$D59,LEN($D96)-7),'Bulb Weighting'!$B$3:$B$17,0)+1,2)</f>
        <v>0</v>
      </c>
      <c r="Y96" s="448">
        <f>(VLOOKUP($C96,$D$43:$Z$46,$X$68+3,FALSE)+VLOOKUP($C96,$D$51:$Z$54,$X$68+3,FALSE))*$A96*$D$79/8760/1000*INDEX('Bulb Weighting'!$B$2:$C$17,MATCH(RIGHT('SC-New'!$D59,LEN($D96)-7),'Bulb Weighting'!$B$3:$B$17,0)+1,2)</f>
        <v>0.4030126723354972</v>
      </c>
      <c r="Z96" s="32"/>
      <c r="AA96" s="32">
        <f t="shared" si="35"/>
        <v>8.9146087532912449E-2</v>
      </c>
      <c r="AB96" s="37"/>
      <c r="AC96" s="84"/>
    </row>
    <row r="97" spans="1:29" customFormat="1">
      <c r="A97" s="89">
        <f t="shared" si="30"/>
        <v>14.492020906444102</v>
      </c>
      <c r="B97" s="71">
        <f t="shared" si="31"/>
        <v>-3.5286913755547569</v>
      </c>
      <c r="C97" s="1" t="s">
        <v>32</v>
      </c>
      <c r="D97" t="s">
        <v>718</v>
      </c>
      <c r="E97" s="37">
        <f>VLOOKUP($C97,$D$60:$Z$63,E$32,FALSE)*$D$79*$A97/8760/1000*INDEX('Bulb Weighting'!$B$2:$C$17,MATCH(RIGHT('SC-New'!$D60,LEN($D97)-7),'Bulb Weighting'!$B$3:$B$17,0)+1,2)</f>
        <v>1.8420096313201361E-2</v>
      </c>
      <c r="F97" s="37">
        <f>VLOOKUP($C97,$D$60:$Z$63,F$32,FALSE)*$D$79*$A97/8760/1000*INDEX('Bulb Weighting'!$B$2:$C$17,MATCH(RIGHT('SC-New'!$D60,LEN($D97)-7),'Bulb Weighting'!$B$3:$B$17,0)+1,2)</f>
        <v>0</v>
      </c>
      <c r="G97" s="37">
        <f>VLOOKUP($C97,$D$60:$Z$63,G$32,FALSE)*$D$79*$A97/8760/1000*INDEX('Bulb Weighting'!$B$2:$C$17,MATCH(RIGHT('SC-New'!$D60,LEN($D97)-7),'Bulb Weighting'!$B$3:$B$17,0)+1,2)</f>
        <v>0</v>
      </c>
      <c r="H97" s="37">
        <f>VLOOKUP($C97,$D$60:$Z$63,H$32,FALSE)*$D$79*$A97/8760/1000*INDEX('Bulb Weighting'!$B$2:$C$17,MATCH(RIGHT('SC-New'!$D60,LEN($D97)-7),'Bulb Weighting'!$B$3:$B$17,0)+1,2)</f>
        <v>0</v>
      </c>
      <c r="I97" s="37">
        <f>VLOOKUP($C97,$D$60:$Z$63,I$32,FALSE)*$D$79*$A97/8760/1000*INDEX('Bulb Weighting'!$B$2:$C$17,MATCH(RIGHT('SC-New'!$D60,LEN($D97)-7),'Bulb Weighting'!$B$3:$B$17,0)+1,2)</f>
        <v>0</v>
      </c>
      <c r="J97" s="37">
        <f>VLOOKUP($C97,$D$60:$Z$63,J$32,FALSE)*$D$79*$A97/8760/1000*INDEX('Bulb Weighting'!$B$2:$C$17,MATCH(RIGHT('SC-New'!$D60,LEN($D97)-7),'Bulb Weighting'!$B$3:$B$17,0)+1,2)</f>
        <v>0</v>
      </c>
      <c r="K97" s="37">
        <f>VLOOKUP($C97,$D$60:$Z$63,K$32,FALSE)*$D$79*$A97/8760/1000*INDEX('Bulb Weighting'!$B$2:$C$17,MATCH(RIGHT('SC-New'!$D60,LEN($D97)-7),'Bulb Weighting'!$B$3:$B$17,0)+1,2)</f>
        <v>0</v>
      </c>
      <c r="L97" s="37">
        <f>VLOOKUP($C97,$D$60:$Z$63,L$32,FALSE)*$D$79*$A97/8760/1000*INDEX('Bulb Weighting'!$B$2:$C$17,MATCH(RIGHT('SC-New'!$D60,LEN($D97)-7),'Bulb Weighting'!$B$3:$B$17,0)+1,2)</f>
        <v>0</v>
      </c>
      <c r="M97" s="37">
        <f>VLOOKUP($C97,$D$60:$Z$63,M$32,FALSE)*$D$79*$A97/8760/1000*INDEX('Bulb Weighting'!$B$2:$C$17,MATCH(RIGHT('SC-New'!$D60,LEN($D97)-7),'Bulb Weighting'!$B$3:$B$17,0)+1,2)</f>
        <v>0</v>
      </c>
      <c r="N97" s="37">
        <f>VLOOKUP($C97,$D$60:$Z$63,N$32,FALSE)*$D$79*$A97/8760/1000*INDEX('Bulb Weighting'!$B$2:$C$17,MATCH(RIGHT('SC-New'!$D60,LEN($D97)-7),'Bulb Weighting'!$B$3:$B$17,0)+1,2)</f>
        <v>0</v>
      </c>
      <c r="O97" s="37">
        <f>VLOOKUP($C97,$D$60:$Z$63,O$32,FALSE)*$D$79*$A97/8760/1000*INDEX('Bulb Weighting'!$B$2:$C$17,MATCH(RIGHT('SC-New'!$D60,LEN($D97)-7),'Bulb Weighting'!$B$3:$B$17,0)+1,2)</f>
        <v>0</v>
      </c>
      <c r="P97" s="37">
        <f>VLOOKUP($C97,$D$60:$Z$63,P$32,FALSE)*$D$79*$A97/8760/1000*INDEX('Bulb Weighting'!$B$2:$C$17,MATCH(RIGHT('SC-New'!$D60,LEN($D97)-7),'Bulb Weighting'!$B$3:$B$17,0)+1,2)</f>
        <v>0</v>
      </c>
      <c r="Q97" s="37">
        <f>VLOOKUP($C97,$D$60:$Z$63,Q$32,FALSE)*$D$79*$A97/8760/1000*INDEX('Bulb Weighting'!$B$2:$C$17,MATCH(RIGHT('SC-New'!$D60,LEN($D97)-7),'Bulb Weighting'!$B$3:$B$17,0)+1,2)</f>
        <v>0</v>
      </c>
      <c r="R97" s="37">
        <f>VLOOKUP($C97,$D$60:$Z$63,R$32,FALSE)*$D$79*$A97/8760/1000*INDEX('Bulb Weighting'!$B$2:$C$17,MATCH(RIGHT('SC-New'!$D60,LEN($D97)-7),'Bulb Weighting'!$B$3:$B$17,0)+1,2)</f>
        <v>0</v>
      </c>
      <c r="S97" s="37">
        <f>VLOOKUP($C97,$D$60:$Z$63,S$32,FALSE)*$D$79*$A97/8760/1000*INDEX('Bulb Weighting'!$B$2:$C$17,MATCH(RIGHT('SC-New'!$D60,LEN($D97)-7),'Bulb Weighting'!$B$3:$B$17,0)+1,2)</f>
        <v>0</v>
      </c>
      <c r="T97" s="37">
        <f>VLOOKUP($C97,$D$60:$Z$63,T$32,FALSE)*$D$79*$A97/8760/1000*INDEX('Bulb Weighting'!$B$2:$C$17,MATCH(RIGHT('SC-New'!$D60,LEN($D97)-7),'Bulb Weighting'!$B$3:$B$17,0)+1,2)</f>
        <v>0</v>
      </c>
      <c r="U97" s="37">
        <f>VLOOKUP($C97,$D$60:$Z$63,U$32,FALSE)*$D$79*$A97/8760/1000*INDEX('Bulb Weighting'!$B$2:$C$17,MATCH(RIGHT('SC-New'!$D60,LEN($D97)-7),'Bulb Weighting'!$B$3:$B$17,0)+1,2)</f>
        <v>0</v>
      </c>
      <c r="V97" s="37">
        <f>VLOOKUP($C97,$D$60:$Z$63,V$32,FALSE)*$D$79*$A97/8760/1000*INDEX('Bulb Weighting'!$B$2:$C$17,MATCH(RIGHT('SC-New'!$D60,LEN($D97)-7),'Bulb Weighting'!$B$3:$B$17,0)+1,2)</f>
        <v>0</v>
      </c>
      <c r="W97" s="37">
        <f>VLOOKUP($C97,$D$60:$Z$63,W$32,FALSE)*$D$79*$A97/8760/1000*INDEX('Bulb Weighting'!$B$2:$C$17,MATCH(RIGHT('SC-New'!$D60,LEN($D97)-7),'Bulb Weighting'!$B$3:$B$17,0)+1,2)</f>
        <v>0</v>
      </c>
      <c r="X97" s="37">
        <f>VLOOKUP($C97,$D$60:$Z$63,X$32,FALSE)*$D$79*$A97/8760/1000*INDEX('Bulb Weighting'!$B$2:$C$17,MATCH(RIGHT('SC-New'!$D60,LEN($D97)-7),'Bulb Weighting'!$B$3:$B$17,0)+1,2)</f>
        <v>0</v>
      </c>
      <c r="Y97" s="448">
        <f>(VLOOKUP($C97,$D$43:$Z$46,$X$68+3,FALSE)+VLOOKUP($C97,$D$51:$Z$54,$X$68+3,FALSE))*$A97*$D$79/8760/1000*INDEX('Bulb Weighting'!$B$2:$C$17,MATCH(RIGHT('SC-New'!$D60,LEN($D97)-7),'Bulb Weighting'!$B$3:$B$17,0)+1,2)</f>
        <v>8.3273786268183395E-2</v>
      </c>
      <c r="Z97" s="32"/>
      <c r="AA97" s="32">
        <f>SUM(E97:X97)</f>
        <v>1.8420096313201361E-2</v>
      </c>
      <c r="AB97" s="37"/>
      <c r="AC97" s="84"/>
    </row>
    <row r="98" spans="1:29" customFormat="1">
      <c r="A98" s="89">
        <f t="shared" si="30"/>
        <v>7.1768930642853626</v>
      </c>
      <c r="B98" s="71">
        <f t="shared" si="31"/>
        <v>355.22288385759038</v>
      </c>
      <c r="C98" s="1" t="s">
        <v>32</v>
      </c>
      <c r="D98" t="s">
        <v>720</v>
      </c>
      <c r="E98" s="37">
        <f>VLOOKUP($C98,$D$60:$Z$63,E$32,FALSE)*$D$79*$A98/8760/1000*INDEX('Bulb Weighting'!$B$2:$C$17,MATCH(RIGHT('SC-New'!$D61,LEN($D98)-7),'Bulb Weighting'!$B$3:$B$17,0)+1,2)</f>
        <v>1.792190213743319E-4</v>
      </c>
      <c r="F98" s="37">
        <f>VLOOKUP($C98,$D$60:$Z$63,F$32,FALSE)*$D$79*$A98/8760/1000*INDEX('Bulb Weighting'!$B$2:$C$17,MATCH(RIGHT('SC-New'!$D61,LEN($D98)-7),'Bulb Weighting'!$B$3:$B$17,0)+1,2)</f>
        <v>0</v>
      </c>
      <c r="G98" s="37">
        <f>VLOOKUP($C98,$D$60:$Z$63,G$32,FALSE)*$D$79*$A98/8760/1000*INDEX('Bulb Weighting'!$B$2:$C$17,MATCH(RIGHT('SC-New'!$D61,LEN($D98)-7),'Bulb Weighting'!$B$3:$B$17,0)+1,2)</f>
        <v>0</v>
      </c>
      <c r="H98" s="37">
        <f>VLOOKUP($C98,$D$60:$Z$63,H$32,FALSE)*$D$79*$A98/8760/1000*INDEX('Bulb Weighting'!$B$2:$C$17,MATCH(RIGHT('SC-New'!$D61,LEN($D98)-7),'Bulb Weighting'!$B$3:$B$17,0)+1,2)</f>
        <v>0</v>
      </c>
      <c r="I98" s="37">
        <f>VLOOKUP($C98,$D$60:$Z$63,I$32,FALSE)*$D$79*$A98/8760/1000*INDEX('Bulb Weighting'!$B$2:$C$17,MATCH(RIGHT('SC-New'!$D61,LEN($D98)-7),'Bulb Weighting'!$B$3:$B$17,0)+1,2)</f>
        <v>0</v>
      </c>
      <c r="J98" s="37">
        <f>VLOOKUP($C98,$D$60:$Z$63,J$32,FALSE)*$D$79*$A98/8760/1000*INDEX('Bulb Weighting'!$B$2:$C$17,MATCH(RIGHT('SC-New'!$D61,LEN($D98)-7),'Bulb Weighting'!$B$3:$B$17,0)+1,2)</f>
        <v>0</v>
      </c>
      <c r="K98" s="37">
        <f>VLOOKUP($C98,$D$60:$Z$63,K$32,FALSE)*$D$79*$A98/8760/1000*INDEX('Bulb Weighting'!$B$2:$C$17,MATCH(RIGHT('SC-New'!$D61,LEN($D98)-7),'Bulb Weighting'!$B$3:$B$17,0)+1,2)</f>
        <v>0</v>
      </c>
      <c r="L98" s="37">
        <f>VLOOKUP($C98,$D$60:$Z$63,L$32,FALSE)*$D$79*$A98/8760/1000*INDEX('Bulb Weighting'!$B$2:$C$17,MATCH(RIGHT('SC-New'!$D61,LEN($D98)-7),'Bulb Weighting'!$B$3:$B$17,0)+1,2)</f>
        <v>0</v>
      </c>
      <c r="M98" s="37">
        <f>VLOOKUP($C98,$D$60:$Z$63,M$32,FALSE)*$D$79*$A98/8760/1000*INDEX('Bulb Weighting'!$B$2:$C$17,MATCH(RIGHT('SC-New'!$D61,LEN($D98)-7),'Bulb Weighting'!$B$3:$B$17,0)+1,2)</f>
        <v>0</v>
      </c>
      <c r="N98" s="37">
        <f>VLOOKUP($C98,$D$60:$Z$63,N$32,FALSE)*$D$79*$A98/8760/1000*INDEX('Bulb Weighting'!$B$2:$C$17,MATCH(RIGHT('SC-New'!$D61,LEN($D98)-7),'Bulb Weighting'!$B$3:$B$17,0)+1,2)</f>
        <v>0</v>
      </c>
      <c r="O98" s="37">
        <f>VLOOKUP($C98,$D$60:$Z$63,O$32,FALSE)*$D$79*$A98/8760/1000*INDEX('Bulb Weighting'!$B$2:$C$17,MATCH(RIGHT('SC-New'!$D61,LEN($D98)-7),'Bulb Weighting'!$B$3:$B$17,0)+1,2)</f>
        <v>0</v>
      </c>
      <c r="P98" s="37">
        <f>VLOOKUP($C98,$D$60:$Z$63,P$32,FALSE)*$D$79*$A98/8760/1000*INDEX('Bulb Weighting'!$B$2:$C$17,MATCH(RIGHT('SC-New'!$D61,LEN($D98)-7),'Bulb Weighting'!$B$3:$B$17,0)+1,2)</f>
        <v>0</v>
      </c>
      <c r="Q98" s="37">
        <f>VLOOKUP($C98,$D$60:$Z$63,Q$32,FALSE)*$D$79*$A98/8760/1000*INDEX('Bulb Weighting'!$B$2:$C$17,MATCH(RIGHT('SC-New'!$D61,LEN($D98)-7),'Bulb Weighting'!$B$3:$B$17,0)+1,2)</f>
        <v>0</v>
      </c>
      <c r="R98" s="37">
        <f>VLOOKUP($C98,$D$60:$Z$63,R$32,FALSE)*$D$79*$A98/8760/1000*INDEX('Bulb Weighting'!$B$2:$C$17,MATCH(RIGHT('SC-New'!$D61,LEN($D98)-7),'Bulb Weighting'!$B$3:$B$17,0)+1,2)</f>
        <v>0</v>
      </c>
      <c r="S98" s="37">
        <f>VLOOKUP($C98,$D$60:$Z$63,S$32,FALSE)*$D$79*$A98/8760/1000*INDEX('Bulb Weighting'!$B$2:$C$17,MATCH(RIGHT('SC-New'!$D61,LEN($D98)-7),'Bulb Weighting'!$B$3:$B$17,0)+1,2)</f>
        <v>0</v>
      </c>
      <c r="T98" s="37">
        <f>VLOOKUP($C98,$D$60:$Z$63,T$32,FALSE)*$D$79*$A98/8760/1000*INDEX('Bulb Weighting'!$B$2:$C$17,MATCH(RIGHT('SC-New'!$D61,LEN($D98)-7),'Bulb Weighting'!$B$3:$B$17,0)+1,2)</f>
        <v>0</v>
      </c>
      <c r="U98" s="37">
        <f>VLOOKUP($C98,$D$60:$Z$63,U$32,FALSE)*$D$79*$A98/8760/1000*INDEX('Bulb Weighting'!$B$2:$C$17,MATCH(RIGHT('SC-New'!$D61,LEN($D98)-7),'Bulb Weighting'!$B$3:$B$17,0)+1,2)</f>
        <v>0</v>
      </c>
      <c r="V98" s="37">
        <f>VLOOKUP($C98,$D$60:$Z$63,V$32,FALSE)*$D$79*$A98/8760/1000*INDEX('Bulb Weighting'!$B$2:$C$17,MATCH(RIGHT('SC-New'!$D61,LEN($D98)-7),'Bulb Weighting'!$B$3:$B$17,0)+1,2)</f>
        <v>0</v>
      </c>
      <c r="W98" s="37">
        <f>VLOOKUP($C98,$D$60:$Z$63,W$32,FALSE)*$D$79*$A98/8760/1000*INDEX('Bulb Weighting'!$B$2:$C$17,MATCH(RIGHT('SC-New'!$D61,LEN($D98)-7),'Bulb Weighting'!$B$3:$B$17,0)+1,2)</f>
        <v>0</v>
      </c>
      <c r="X98" s="37">
        <f>VLOOKUP($C98,$D$60:$Z$63,X$32,FALSE)*$D$79*$A98/8760/1000*INDEX('Bulb Weighting'!$B$2:$C$17,MATCH(RIGHT('SC-New'!$D61,LEN($D98)-7),'Bulb Weighting'!$B$3:$B$17,0)+1,2)</f>
        <v>0</v>
      </c>
      <c r="Y98" s="448">
        <f>(VLOOKUP($C98,$D$43:$Z$46,$X$68+3,FALSE)+VLOOKUP($C98,$D$51:$Z$54,$X$68+3,FALSE))*$A98*$D$79/8760/1000*INDEX('Bulb Weighting'!$B$2:$C$17,MATCH(RIGHT('SC-New'!$D61,LEN($D98)-7),'Bulb Weighting'!$B$3:$B$17,0)+1,2)</f>
        <v>8.1021544227340213E-4</v>
      </c>
      <c r="Z98" s="32"/>
      <c r="AA98" s="32">
        <f t="shared" ref="AA98:AA100" si="36">SUM(E98:X98)</f>
        <v>1.792190213743319E-4</v>
      </c>
      <c r="AB98" s="37"/>
      <c r="AC98" s="84"/>
    </row>
    <row r="99" spans="1:29" customFormat="1">
      <c r="A99" s="89">
        <f t="shared" si="30"/>
        <v>1.835623194306955</v>
      </c>
      <c r="B99" s="71">
        <f t="shared" si="31"/>
        <v>45.354656455601045</v>
      </c>
      <c r="C99" s="1" t="s">
        <v>32</v>
      </c>
      <c r="D99" t="s">
        <v>722</v>
      </c>
      <c r="E99" s="37">
        <f>VLOOKUP($C99,$D$60:$Z$63,E$32,FALSE)*$D$79*$A99/8760/1000*INDEX('Bulb Weighting'!$B$2:$C$17,MATCH(RIGHT('SC-New'!$D62,LEN($D99)-7),'Bulb Weighting'!$B$3:$B$17,0)+1,2)</f>
        <v>7.1035680531391088E-3</v>
      </c>
      <c r="F99" s="37">
        <f>VLOOKUP($C99,$D$60:$Z$63,F$32,FALSE)*$D$79*$A99/8760/1000*INDEX('Bulb Weighting'!$B$2:$C$17,MATCH(RIGHT('SC-New'!$D62,LEN($D99)-7),'Bulb Weighting'!$B$3:$B$17,0)+1,2)</f>
        <v>0</v>
      </c>
      <c r="G99" s="37">
        <f>VLOOKUP($C99,$D$60:$Z$63,G$32,FALSE)*$D$79*$A99/8760/1000*INDEX('Bulb Weighting'!$B$2:$C$17,MATCH(RIGHT('SC-New'!$D62,LEN($D99)-7),'Bulb Weighting'!$B$3:$B$17,0)+1,2)</f>
        <v>0</v>
      </c>
      <c r="H99" s="37">
        <f>VLOOKUP($C99,$D$60:$Z$63,H$32,FALSE)*$D$79*$A99/8760/1000*INDEX('Bulb Weighting'!$B$2:$C$17,MATCH(RIGHT('SC-New'!$D62,LEN($D99)-7),'Bulb Weighting'!$B$3:$B$17,0)+1,2)</f>
        <v>0</v>
      </c>
      <c r="I99" s="37">
        <f>VLOOKUP($C99,$D$60:$Z$63,I$32,FALSE)*$D$79*$A99/8760/1000*INDEX('Bulb Weighting'!$B$2:$C$17,MATCH(RIGHT('SC-New'!$D62,LEN($D99)-7),'Bulb Weighting'!$B$3:$B$17,0)+1,2)</f>
        <v>0</v>
      </c>
      <c r="J99" s="37">
        <f>VLOOKUP($C99,$D$60:$Z$63,J$32,FALSE)*$D$79*$A99/8760/1000*INDEX('Bulb Weighting'!$B$2:$C$17,MATCH(RIGHT('SC-New'!$D62,LEN($D99)-7),'Bulb Weighting'!$B$3:$B$17,0)+1,2)</f>
        <v>0</v>
      </c>
      <c r="K99" s="37">
        <f>VLOOKUP($C99,$D$60:$Z$63,K$32,FALSE)*$D$79*$A99/8760/1000*INDEX('Bulb Weighting'!$B$2:$C$17,MATCH(RIGHT('SC-New'!$D62,LEN($D99)-7),'Bulb Weighting'!$B$3:$B$17,0)+1,2)</f>
        <v>0</v>
      </c>
      <c r="L99" s="37">
        <f>VLOOKUP($C99,$D$60:$Z$63,L$32,FALSE)*$D$79*$A99/8760/1000*INDEX('Bulb Weighting'!$B$2:$C$17,MATCH(RIGHT('SC-New'!$D62,LEN($D99)-7),'Bulb Weighting'!$B$3:$B$17,0)+1,2)</f>
        <v>0</v>
      </c>
      <c r="M99" s="37">
        <f>VLOOKUP($C99,$D$60:$Z$63,M$32,FALSE)*$D$79*$A99/8760/1000*INDEX('Bulb Weighting'!$B$2:$C$17,MATCH(RIGHT('SC-New'!$D62,LEN($D99)-7),'Bulb Weighting'!$B$3:$B$17,0)+1,2)</f>
        <v>0</v>
      </c>
      <c r="N99" s="37">
        <f>VLOOKUP($C99,$D$60:$Z$63,N$32,FALSE)*$D$79*$A99/8760/1000*INDEX('Bulb Weighting'!$B$2:$C$17,MATCH(RIGHT('SC-New'!$D62,LEN($D99)-7),'Bulb Weighting'!$B$3:$B$17,0)+1,2)</f>
        <v>0</v>
      </c>
      <c r="O99" s="37">
        <f>VLOOKUP($C99,$D$60:$Z$63,O$32,FALSE)*$D$79*$A99/8760/1000*INDEX('Bulb Weighting'!$B$2:$C$17,MATCH(RIGHT('SC-New'!$D62,LEN($D99)-7),'Bulb Weighting'!$B$3:$B$17,0)+1,2)</f>
        <v>0</v>
      </c>
      <c r="P99" s="37">
        <f>VLOOKUP($C99,$D$60:$Z$63,P$32,FALSE)*$D$79*$A99/8760/1000*INDEX('Bulb Weighting'!$B$2:$C$17,MATCH(RIGHT('SC-New'!$D62,LEN($D99)-7),'Bulb Weighting'!$B$3:$B$17,0)+1,2)</f>
        <v>0</v>
      </c>
      <c r="Q99" s="37">
        <f>VLOOKUP($C99,$D$60:$Z$63,Q$32,FALSE)*$D$79*$A99/8760/1000*INDEX('Bulb Weighting'!$B$2:$C$17,MATCH(RIGHT('SC-New'!$D62,LEN($D99)-7),'Bulb Weighting'!$B$3:$B$17,0)+1,2)</f>
        <v>0</v>
      </c>
      <c r="R99" s="37">
        <f>VLOOKUP($C99,$D$60:$Z$63,R$32,FALSE)*$D$79*$A99/8760/1000*INDEX('Bulb Weighting'!$B$2:$C$17,MATCH(RIGHT('SC-New'!$D62,LEN($D99)-7),'Bulb Weighting'!$B$3:$B$17,0)+1,2)</f>
        <v>0</v>
      </c>
      <c r="S99" s="37">
        <f>VLOOKUP($C99,$D$60:$Z$63,S$32,FALSE)*$D$79*$A99/8760/1000*INDEX('Bulb Weighting'!$B$2:$C$17,MATCH(RIGHT('SC-New'!$D62,LEN($D99)-7),'Bulb Weighting'!$B$3:$B$17,0)+1,2)</f>
        <v>0</v>
      </c>
      <c r="T99" s="37">
        <f>VLOOKUP($C99,$D$60:$Z$63,T$32,FALSE)*$D$79*$A99/8760/1000*INDEX('Bulb Weighting'!$B$2:$C$17,MATCH(RIGHT('SC-New'!$D62,LEN($D99)-7),'Bulb Weighting'!$B$3:$B$17,0)+1,2)</f>
        <v>0</v>
      </c>
      <c r="U99" s="37">
        <f>VLOOKUP($C99,$D$60:$Z$63,U$32,FALSE)*$D$79*$A99/8760/1000*INDEX('Bulb Weighting'!$B$2:$C$17,MATCH(RIGHT('SC-New'!$D62,LEN($D99)-7),'Bulb Weighting'!$B$3:$B$17,0)+1,2)</f>
        <v>0</v>
      </c>
      <c r="V99" s="37">
        <f>VLOOKUP($C99,$D$60:$Z$63,V$32,FALSE)*$D$79*$A99/8760/1000*INDEX('Bulb Weighting'!$B$2:$C$17,MATCH(RIGHT('SC-New'!$D62,LEN($D99)-7),'Bulb Weighting'!$B$3:$B$17,0)+1,2)</f>
        <v>0</v>
      </c>
      <c r="W99" s="37">
        <f>VLOOKUP($C99,$D$60:$Z$63,W$32,FALSE)*$D$79*$A99/8760/1000*INDEX('Bulb Weighting'!$B$2:$C$17,MATCH(RIGHT('SC-New'!$D62,LEN($D99)-7),'Bulb Weighting'!$B$3:$B$17,0)+1,2)</f>
        <v>0</v>
      </c>
      <c r="X99" s="37">
        <f>VLOOKUP($C99,$D$60:$Z$63,X$32,FALSE)*$D$79*$A99/8760/1000*INDEX('Bulb Weighting'!$B$2:$C$17,MATCH(RIGHT('SC-New'!$D62,LEN($D99)-7),'Bulb Weighting'!$B$3:$B$17,0)+1,2)</f>
        <v>0</v>
      </c>
      <c r="Y99" s="448">
        <f>(VLOOKUP($C99,$D$43:$Z$46,$X$68+3,FALSE)+VLOOKUP($C99,$D$51:$Z$54,$X$68+3,FALSE))*$A99*$D$79/8760/1000*INDEX('Bulb Weighting'!$B$2:$C$17,MATCH(RIGHT('SC-New'!$D62,LEN($D99)-7),'Bulb Weighting'!$B$3:$B$17,0)+1,2)</f>
        <v>3.2113893311983104E-2</v>
      </c>
      <c r="Z99" s="32"/>
      <c r="AA99" s="447">
        <f t="shared" si="36"/>
        <v>7.1035680531391088E-3</v>
      </c>
      <c r="AB99" s="37"/>
      <c r="AC99" s="84"/>
    </row>
    <row r="100" spans="1:29" customFormat="1">
      <c r="A100" s="89">
        <f t="shared" si="30"/>
        <v>7.1645689261628798</v>
      </c>
      <c r="B100" s="71">
        <f t="shared" si="31"/>
        <v>56.611757463143533</v>
      </c>
      <c r="C100" s="1" t="s">
        <v>32</v>
      </c>
      <c r="D100" t="s">
        <v>724</v>
      </c>
      <c r="E100" s="37">
        <f>VLOOKUP($C100,$D$60:$Z$63,E$32,FALSE)*$D$79*$A100/8760/1000*INDEX('Bulb Weighting'!$B$2:$C$17,MATCH(RIGHT('SC-New'!$D63,LEN($D100)-7),'Bulb Weighting'!$B$3:$B$17,0)+1,2)</f>
        <v>0.21394461599713518</v>
      </c>
      <c r="F100" s="37">
        <f>VLOOKUP($C100,$D$60:$Z$63,F$32,FALSE)*$D$79*$A100/8760/1000*INDEX('Bulb Weighting'!$B$2:$C$17,MATCH(RIGHT('SC-New'!$D63,LEN($D100)-7),'Bulb Weighting'!$B$3:$B$17,0)+1,2)</f>
        <v>0</v>
      </c>
      <c r="G100" s="37">
        <f>VLOOKUP($C100,$D$60:$Z$63,G$32,FALSE)*$D$79*$A100/8760/1000*INDEX('Bulb Weighting'!$B$2:$C$17,MATCH(RIGHT('SC-New'!$D63,LEN($D100)-7),'Bulb Weighting'!$B$3:$B$17,0)+1,2)</f>
        <v>0</v>
      </c>
      <c r="H100" s="37">
        <f>VLOOKUP($C100,$D$60:$Z$63,H$32,FALSE)*$D$79*$A100/8760/1000*INDEX('Bulb Weighting'!$B$2:$C$17,MATCH(RIGHT('SC-New'!$D63,LEN($D100)-7),'Bulb Weighting'!$B$3:$B$17,0)+1,2)</f>
        <v>0</v>
      </c>
      <c r="I100" s="37">
        <f>VLOOKUP($C100,$D$60:$Z$63,I$32,FALSE)*$D$79*$A100/8760/1000*INDEX('Bulb Weighting'!$B$2:$C$17,MATCH(RIGHT('SC-New'!$D63,LEN($D100)-7),'Bulb Weighting'!$B$3:$B$17,0)+1,2)</f>
        <v>0</v>
      </c>
      <c r="J100" s="37">
        <f>VLOOKUP($C100,$D$60:$Z$63,J$32,FALSE)*$D$79*$A100/8760/1000*INDEX('Bulb Weighting'!$B$2:$C$17,MATCH(RIGHT('SC-New'!$D63,LEN($D100)-7),'Bulb Weighting'!$B$3:$B$17,0)+1,2)</f>
        <v>0</v>
      </c>
      <c r="K100" s="37">
        <f>VLOOKUP($C100,$D$60:$Z$63,K$32,FALSE)*$D$79*$A100/8760/1000*INDEX('Bulb Weighting'!$B$2:$C$17,MATCH(RIGHT('SC-New'!$D63,LEN($D100)-7),'Bulb Weighting'!$B$3:$B$17,0)+1,2)</f>
        <v>0</v>
      </c>
      <c r="L100" s="37">
        <f>VLOOKUP($C100,$D$60:$Z$63,L$32,FALSE)*$D$79*$A100/8760/1000*INDEX('Bulb Weighting'!$B$2:$C$17,MATCH(RIGHT('SC-New'!$D63,LEN($D100)-7),'Bulb Weighting'!$B$3:$B$17,0)+1,2)</f>
        <v>0</v>
      </c>
      <c r="M100" s="37">
        <f>VLOOKUP($C100,$D$60:$Z$63,M$32,FALSE)*$D$79*$A100/8760/1000*INDEX('Bulb Weighting'!$B$2:$C$17,MATCH(RIGHT('SC-New'!$D63,LEN($D100)-7),'Bulb Weighting'!$B$3:$B$17,0)+1,2)</f>
        <v>0</v>
      </c>
      <c r="N100" s="37">
        <f>VLOOKUP($C100,$D$60:$Z$63,N$32,FALSE)*$D$79*$A100/8760/1000*INDEX('Bulb Weighting'!$B$2:$C$17,MATCH(RIGHT('SC-New'!$D63,LEN($D100)-7),'Bulb Weighting'!$B$3:$B$17,0)+1,2)</f>
        <v>0</v>
      </c>
      <c r="O100" s="37">
        <f>VLOOKUP($C100,$D$60:$Z$63,O$32,FALSE)*$D$79*$A100/8760/1000*INDEX('Bulb Weighting'!$B$2:$C$17,MATCH(RIGHT('SC-New'!$D63,LEN($D100)-7),'Bulb Weighting'!$B$3:$B$17,0)+1,2)</f>
        <v>0</v>
      </c>
      <c r="P100" s="37">
        <f>VLOOKUP($C100,$D$60:$Z$63,P$32,FALSE)*$D$79*$A100/8760/1000*INDEX('Bulb Weighting'!$B$2:$C$17,MATCH(RIGHT('SC-New'!$D63,LEN($D100)-7),'Bulb Weighting'!$B$3:$B$17,0)+1,2)</f>
        <v>0</v>
      </c>
      <c r="Q100" s="37">
        <f>VLOOKUP($C100,$D$60:$Z$63,Q$32,FALSE)*$D$79*$A100/8760/1000*INDEX('Bulb Weighting'!$B$2:$C$17,MATCH(RIGHT('SC-New'!$D63,LEN($D100)-7),'Bulb Weighting'!$B$3:$B$17,0)+1,2)</f>
        <v>0</v>
      </c>
      <c r="R100" s="37">
        <f>VLOOKUP($C100,$D$60:$Z$63,R$32,FALSE)*$D$79*$A100/8760/1000*INDEX('Bulb Weighting'!$B$2:$C$17,MATCH(RIGHT('SC-New'!$D63,LEN($D100)-7),'Bulb Weighting'!$B$3:$B$17,0)+1,2)</f>
        <v>0</v>
      </c>
      <c r="S100" s="37">
        <f>VLOOKUP($C100,$D$60:$Z$63,S$32,FALSE)*$D$79*$A100/8760/1000*INDEX('Bulb Weighting'!$B$2:$C$17,MATCH(RIGHT('SC-New'!$D63,LEN($D100)-7),'Bulb Weighting'!$B$3:$B$17,0)+1,2)</f>
        <v>0</v>
      </c>
      <c r="T100" s="37">
        <f>VLOOKUP($C100,$D$60:$Z$63,T$32,FALSE)*$D$79*$A100/8760/1000*INDEX('Bulb Weighting'!$B$2:$C$17,MATCH(RIGHT('SC-New'!$D63,LEN($D100)-7),'Bulb Weighting'!$B$3:$B$17,0)+1,2)</f>
        <v>0</v>
      </c>
      <c r="U100" s="37">
        <f>VLOOKUP($C100,$D$60:$Z$63,U$32,FALSE)*$D$79*$A100/8760/1000*INDEX('Bulb Weighting'!$B$2:$C$17,MATCH(RIGHT('SC-New'!$D63,LEN($D100)-7),'Bulb Weighting'!$B$3:$B$17,0)+1,2)</f>
        <v>0</v>
      </c>
      <c r="V100" s="37">
        <f>VLOOKUP($C100,$D$60:$Z$63,V$32,FALSE)*$D$79*$A100/8760/1000*INDEX('Bulb Weighting'!$B$2:$C$17,MATCH(RIGHT('SC-New'!$D63,LEN($D100)-7),'Bulb Weighting'!$B$3:$B$17,0)+1,2)</f>
        <v>0</v>
      </c>
      <c r="W100" s="37">
        <f>VLOOKUP($C100,$D$60:$Z$63,W$32,FALSE)*$D$79*$A100/8760/1000*INDEX('Bulb Weighting'!$B$2:$C$17,MATCH(RIGHT('SC-New'!$D63,LEN($D100)-7),'Bulb Weighting'!$B$3:$B$17,0)+1,2)</f>
        <v>0</v>
      </c>
      <c r="X100" s="37">
        <f>VLOOKUP($C100,$D$60:$Z$63,X$32,FALSE)*$D$79*$A100/8760/1000*INDEX('Bulb Weighting'!$B$2:$C$17,MATCH(RIGHT('SC-New'!$D63,LEN($D100)-7),'Bulb Weighting'!$B$3:$B$17,0)+1,2)</f>
        <v>0</v>
      </c>
      <c r="Y100" s="448">
        <f>(VLOOKUP($C100,$D$43:$Z$46,$X$68+3,FALSE)+VLOOKUP($C100,$D$51:$Z$54,$X$68+3,FALSE))*$A100*$D$79/8760/1000*INDEX('Bulb Weighting'!$B$2:$C$17,MATCH(RIGHT('SC-New'!$D63,LEN($D100)-7),'Bulb Weighting'!$B$3:$B$17,0)+1,2)</f>
        <v>0.96720331549002847</v>
      </c>
      <c r="Z100" s="32"/>
      <c r="AA100" s="447">
        <f t="shared" si="36"/>
        <v>0.21394461599713518</v>
      </c>
      <c r="AB100" s="37"/>
      <c r="AC100" s="84"/>
    </row>
    <row r="101" spans="1:29" customFormat="1">
      <c r="A101" s="89">
        <f t="shared" si="30"/>
        <v>13.386672313322151</v>
      </c>
      <c r="B101" s="71">
        <f t="shared" si="31"/>
        <v>91.063681093838966</v>
      </c>
      <c r="C101" s="1" t="s">
        <v>32</v>
      </c>
      <c r="D101" t="s">
        <v>726</v>
      </c>
      <c r="E101" s="37">
        <f>VLOOKUP($C101,$D$60:$Z$63,E$32,FALSE)*$D$79*$A101/8760/1000*INDEX('Bulb Weighting'!$B$2:$C$17,MATCH(RIGHT('SC-New'!$D64,LEN($D101)-7),'Bulb Weighting'!$B$3:$B$17,0)+1,2)</f>
        <v>3.9855170601088973E-2</v>
      </c>
      <c r="F101" s="37">
        <f>VLOOKUP($C101,$D$60:$Z$63,F$32,FALSE)*$D$79*$A101/8760/1000*INDEX('Bulb Weighting'!$B$2:$C$17,MATCH(RIGHT('SC-New'!$D64,LEN($D101)-7),'Bulb Weighting'!$B$3:$B$17,0)+1,2)</f>
        <v>0</v>
      </c>
      <c r="G101" s="37">
        <f>VLOOKUP($C101,$D$60:$Z$63,G$32,FALSE)*$D$79*$A101/8760/1000*INDEX('Bulb Weighting'!$B$2:$C$17,MATCH(RIGHT('SC-New'!$D64,LEN($D101)-7),'Bulb Weighting'!$B$3:$B$17,0)+1,2)</f>
        <v>0</v>
      </c>
      <c r="H101" s="37">
        <f>VLOOKUP($C101,$D$60:$Z$63,H$32,FALSE)*$D$79*$A101/8760/1000*INDEX('Bulb Weighting'!$B$2:$C$17,MATCH(RIGHT('SC-New'!$D64,LEN($D101)-7),'Bulb Weighting'!$B$3:$B$17,0)+1,2)</f>
        <v>0</v>
      </c>
      <c r="I101" s="37">
        <f>VLOOKUP($C101,$D$60:$Z$63,I$32,FALSE)*$D$79*$A101/8760/1000*INDEX('Bulb Weighting'!$B$2:$C$17,MATCH(RIGHT('SC-New'!$D64,LEN($D101)-7),'Bulb Weighting'!$B$3:$B$17,0)+1,2)</f>
        <v>0</v>
      </c>
      <c r="J101" s="37">
        <f>VLOOKUP($C101,$D$60:$Z$63,J$32,FALSE)*$D$79*$A101/8760/1000*INDEX('Bulb Weighting'!$B$2:$C$17,MATCH(RIGHT('SC-New'!$D64,LEN($D101)-7),'Bulb Weighting'!$B$3:$B$17,0)+1,2)</f>
        <v>0</v>
      </c>
      <c r="K101" s="37">
        <f>VLOOKUP($C101,$D$60:$Z$63,K$32,FALSE)*$D$79*$A101/8760/1000*INDEX('Bulb Weighting'!$B$2:$C$17,MATCH(RIGHT('SC-New'!$D64,LEN($D101)-7),'Bulb Weighting'!$B$3:$B$17,0)+1,2)</f>
        <v>0</v>
      </c>
      <c r="L101" s="37">
        <f>VLOOKUP($C101,$D$60:$Z$63,L$32,FALSE)*$D$79*$A101/8760/1000*INDEX('Bulb Weighting'!$B$2:$C$17,MATCH(RIGHT('SC-New'!$D64,LEN($D101)-7),'Bulb Weighting'!$B$3:$B$17,0)+1,2)</f>
        <v>0</v>
      </c>
      <c r="M101" s="37">
        <f>VLOOKUP($C101,$D$60:$Z$63,M$32,FALSE)*$D$79*$A101/8760/1000*INDEX('Bulb Weighting'!$B$2:$C$17,MATCH(RIGHT('SC-New'!$D64,LEN($D101)-7),'Bulb Weighting'!$B$3:$B$17,0)+1,2)</f>
        <v>0</v>
      </c>
      <c r="N101" s="37">
        <f>VLOOKUP($C101,$D$60:$Z$63,N$32,FALSE)*$D$79*$A101/8760/1000*INDEX('Bulb Weighting'!$B$2:$C$17,MATCH(RIGHT('SC-New'!$D64,LEN($D101)-7),'Bulb Weighting'!$B$3:$B$17,0)+1,2)</f>
        <v>0</v>
      </c>
      <c r="O101" s="37">
        <f>VLOOKUP($C101,$D$60:$Z$63,O$32,FALSE)*$D$79*$A101/8760/1000*INDEX('Bulb Weighting'!$B$2:$C$17,MATCH(RIGHT('SC-New'!$D64,LEN($D101)-7),'Bulb Weighting'!$B$3:$B$17,0)+1,2)</f>
        <v>0</v>
      </c>
      <c r="P101" s="37">
        <f>VLOOKUP($C101,$D$60:$Z$63,P$32,FALSE)*$D$79*$A101/8760/1000*INDEX('Bulb Weighting'!$B$2:$C$17,MATCH(RIGHT('SC-New'!$D64,LEN($D101)-7),'Bulb Weighting'!$B$3:$B$17,0)+1,2)</f>
        <v>0</v>
      </c>
      <c r="Q101" s="37">
        <f>VLOOKUP($C101,$D$60:$Z$63,Q$32,FALSE)*$D$79*$A101/8760/1000*INDEX('Bulb Weighting'!$B$2:$C$17,MATCH(RIGHT('SC-New'!$D64,LEN($D101)-7),'Bulb Weighting'!$B$3:$B$17,0)+1,2)</f>
        <v>0</v>
      </c>
      <c r="R101" s="37">
        <f>VLOOKUP($C101,$D$60:$Z$63,R$32,FALSE)*$D$79*$A101/8760/1000*INDEX('Bulb Weighting'!$B$2:$C$17,MATCH(RIGHT('SC-New'!$D64,LEN($D101)-7),'Bulb Weighting'!$B$3:$B$17,0)+1,2)</f>
        <v>0</v>
      </c>
      <c r="S101" s="37">
        <f>VLOOKUP($C101,$D$60:$Z$63,S$32,FALSE)*$D$79*$A101/8760/1000*INDEX('Bulb Weighting'!$B$2:$C$17,MATCH(RIGHT('SC-New'!$D64,LEN($D101)-7),'Bulb Weighting'!$B$3:$B$17,0)+1,2)</f>
        <v>0</v>
      </c>
      <c r="T101" s="37">
        <f>VLOOKUP($C101,$D$60:$Z$63,T$32,FALSE)*$D$79*$A101/8760/1000*INDEX('Bulb Weighting'!$B$2:$C$17,MATCH(RIGHT('SC-New'!$D64,LEN($D101)-7),'Bulb Weighting'!$B$3:$B$17,0)+1,2)</f>
        <v>0</v>
      </c>
      <c r="U101" s="37">
        <f>VLOOKUP($C101,$D$60:$Z$63,U$32,FALSE)*$D$79*$A101/8760/1000*INDEX('Bulb Weighting'!$B$2:$C$17,MATCH(RIGHT('SC-New'!$D64,LEN($D101)-7),'Bulb Weighting'!$B$3:$B$17,0)+1,2)</f>
        <v>0</v>
      </c>
      <c r="V101" s="37">
        <f>VLOOKUP($C101,$D$60:$Z$63,V$32,FALSE)*$D$79*$A101/8760/1000*INDEX('Bulb Weighting'!$B$2:$C$17,MATCH(RIGHT('SC-New'!$D64,LEN($D101)-7),'Bulb Weighting'!$B$3:$B$17,0)+1,2)</f>
        <v>0</v>
      </c>
      <c r="W101" s="37">
        <f>VLOOKUP($C101,$D$60:$Z$63,W$32,FALSE)*$D$79*$A101/8760/1000*INDEX('Bulb Weighting'!$B$2:$C$17,MATCH(RIGHT('SC-New'!$D64,LEN($D101)-7),'Bulb Weighting'!$B$3:$B$17,0)+1,2)</f>
        <v>0</v>
      </c>
      <c r="X101" s="37">
        <f>VLOOKUP($C101,$D$60:$Z$63,X$32,FALSE)*$D$79*$A101/8760/1000*INDEX('Bulb Weighting'!$B$2:$C$17,MATCH(RIGHT('SC-New'!$D64,LEN($D101)-7),'Bulb Weighting'!$B$3:$B$17,0)+1,2)</f>
        <v>0</v>
      </c>
      <c r="Y101" s="448">
        <f>(VLOOKUP($C101,$D$43:$Z$46,$X$68+3,FALSE)+VLOOKUP($C101,$D$51:$Z$54,$X$68+3,FALSE))*$A101*$D$79/8760/1000*INDEX('Bulb Weighting'!$B$2:$C$17,MATCH(RIGHT('SC-New'!$D64,LEN($D101)-7),'Bulb Weighting'!$B$3:$B$17,0)+1,2)</f>
        <v>0.18017772013159772</v>
      </c>
      <c r="Z101" s="32"/>
      <c r="AA101" s="447">
        <f>SUM(E101:X101)</f>
        <v>3.9855170601088973E-2</v>
      </c>
      <c r="AB101" s="37"/>
      <c r="AC101" s="84"/>
    </row>
    <row r="102" spans="1:29" customFormat="1">
      <c r="A102" s="89">
        <f t="shared" si="30"/>
        <v>14.33449498481688</v>
      </c>
      <c r="B102" s="71">
        <f t="shared" si="31"/>
        <v>-37.397069706053522</v>
      </c>
      <c r="C102" s="1" t="s">
        <v>32</v>
      </c>
      <c r="D102" t="s">
        <v>728</v>
      </c>
      <c r="E102" s="37">
        <f>VLOOKUP($C102,$D$60:$Z$63,E$32,FALSE)*$D$79*$A102/8760/1000*INDEX('Bulb Weighting'!$B$2:$C$17,MATCH(RIGHT('SC-New'!$D65,LEN($D102)-7),'Bulb Weighting'!$B$3:$B$17,0)+1,2)</f>
        <v>3.6475052955057659E-2</v>
      </c>
      <c r="F102" s="37">
        <f>VLOOKUP($C102,$D$60:$Z$63,F$32,FALSE)*$D$79*$A102/8760/1000*INDEX('Bulb Weighting'!$B$2:$C$17,MATCH(RIGHT('SC-New'!$D65,LEN($D102)-7),'Bulb Weighting'!$B$3:$B$17,0)+1,2)</f>
        <v>0</v>
      </c>
      <c r="G102" s="37">
        <f>VLOOKUP($C102,$D$60:$Z$63,G$32,FALSE)*$D$79*$A102/8760/1000*INDEX('Bulb Weighting'!$B$2:$C$17,MATCH(RIGHT('SC-New'!$D65,LEN($D102)-7),'Bulb Weighting'!$B$3:$B$17,0)+1,2)</f>
        <v>0</v>
      </c>
      <c r="H102" s="37">
        <f>VLOOKUP($C102,$D$60:$Z$63,H$32,FALSE)*$D$79*$A102/8760/1000*INDEX('Bulb Weighting'!$B$2:$C$17,MATCH(RIGHT('SC-New'!$D65,LEN($D102)-7),'Bulb Weighting'!$B$3:$B$17,0)+1,2)</f>
        <v>0</v>
      </c>
      <c r="I102" s="37">
        <f>VLOOKUP($C102,$D$60:$Z$63,I$32,FALSE)*$D$79*$A102/8760/1000*INDEX('Bulb Weighting'!$B$2:$C$17,MATCH(RIGHT('SC-New'!$D65,LEN($D102)-7),'Bulb Weighting'!$B$3:$B$17,0)+1,2)</f>
        <v>0</v>
      </c>
      <c r="J102" s="37">
        <f>VLOOKUP($C102,$D$60:$Z$63,J$32,FALSE)*$D$79*$A102/8760/1000*INDEX('Bulb Weighting'!$B$2:$C$17,MATCH(RIGHT('SC-New'!$D65,LEN($D102)-7),'Bulb Weighting'!$B$3:$B$17,0)+1,2)</f>
        <v>0</v>
      </c>
      <c r="K102" s="37">
        <f>VLOOKUP($C102,$D$60:$Z$63,K$32,FALSE)*$D$79*$A102/8760/1000*INDEX('Bulb Weighting'!$B$2:$C$17,MATCH(RIGHT('SC-New'!$D65,LEN($D102)-7),'Bulb Weighting'!$B$3:$B$17,0)+1,2)</f>
        <v>0</v>
      </c>
      <c r="L102" s="37">
        <f>VLOOKUP($C102,$D$60:$Z$63,L$32,FALSE)*$D$79*$A102/8760/1000*INDEX('Bulb Weighting'!$B$2:$C$17,MATCH(RIGHT('SC-New'!$D65,LEN($D102)-7),'Bulb Weighting'!$B$3:$B$17,0)+1,2)</f>
        <v>0</v>
      </c>
      <c r="M102" s="37">
        <f>VLOOKUP($C102,$D$60:$Z$63,M$32,FALSE)*$D$79*$A102/8760/1000*INDEX('Bulb Weighting'!$B$2:$C$17,MATCH(RIGHT('SC-New'!$D65,LEN($D102)-7),'Bulb Weighting'!$B$3:$B$17,0)+1,2)</f>
        <v>0</v>
      </c>
      <c r="N102" s="37">
        <f>VLOOKUP($C102,$D$60:$Z$63,N$32,FALSE)*$D$79*$A102/8760/1000*INDEX('Bulb Weighting'!$B$2:$C$17,MATCH(RIGHT('SC-New'!$D65,LEN($D102)-7),'Bulb Weighting'!$B$3:$B$17,0)+1,2)</f>
        <v>0</v>
      </c>
      <c r="O102" s="37">
        <f>VLOOKUP($C102,$D$60:$Z$63,O$32,FALSE)*$D$79*$A102/8760/1000*INDEX('Bulb Weighting'!$B$2:$C$17,MATCH(RIGHT('SC-New'!$D65,LEN($D102)-7),'Bulb Weighting'!$B$3:$B$17,0)+1,2)</f>
        <v>0</v>
      </c>
      <c r="P102" s="37">
        <f>VLOOKUP($C102,$D$60:$Z$63,P$32,FALSE)*$D$79*$A102/8760/1000*INDEX('Bulb Weighting'!$B$2:$C$17,MATCH(RIGHT('SC-New'!$D65,LEN($D102)-7),'Bulb Weighting'!$B$3:$B$17,0)+1,2)</f>
        <v>0</v>
      </c>
      <c r="Q102" s="37">
        <f>VLOOKUP($C102,$D$60:$Z$63,Q$32,FALSE)*$D$79*$A102/8760/1000*INDEX('Bulb Weighting'!$B$2:$C$17,MATCH(RIGHT('SC-New'!$D65,LEN($D102)-7),'Bulb Weighting'!$B$3:$B$17,0)+1,2)</f>
        <v>0</v>
      </c>
      <c r="R102" s="37">
        <f>VLOOKUP($C102,$D$60:$Z$63,R$32,FALSE)*$D$79*$A102/8760/1000*INDEX('Bulb Weighting'!$B$2:$C$17,MATCH(RIGHT('SC-New'!$D65,LEN($D102)-7),'Bulb Weighting'!$B$3:$B$17,0)+1,2)</f>
        <v>0</v>
      </c>
      <c r="S102" s="37">
        <f>VLOOKUP($C102,$D$60:$Z$63,S$32,FALSE)*$D$79*$A102/8760/1000*INDEX('Bulb Weighting'!$B$2:$C$17,MATCH(RIGHT('SC-New'!$D65,LEN($D102)-7),'Bulb Weighting'!$B$3:$B$17,0)+1,2)</f>
        <v>0</v>
      </c>
      <c r="T102" s="37">
        <f>VLOOKUP($C102,$D$60:$Z$63,T$32,FALSE)*$D$79*$A102/8760/1000*INDEX('Bulb Weighting'!$B$2:$C$17,MATCH(RIGHT('SC-New'!$D65,LEN($D102)-7),'Bulb Weighting'!$B$3:$B$17,0)+1,2)</f>
        <v>0</v>
      </c>
      <c r="U102" s="37">
        <f>VLOOKUP($C102,$D$60:$Z$63,U$32,FALSE)*$D$79*$A102/8760/1000*INDEX('Bulb Weighting'!$B$2:$C$17,MATCH(RIGHT('SC-New'!$D65,LEN($D102)-7),'Bulb Weighting'!$B$3:$B$17,0)+1,2)</f>
        <v>0</v>
      </c>
      <c r="V102" s="37">
        <f>VLOOKUP($C102,$D$60:$Z$63,V$32,FALSE)*$D$79*$A102/8760/1000*INDEX('Bulb Weighting'!$B$2:$C$17,MATCH(RIGHT('SC-New'!$D65,LEN($D102)-7),'Bulb Weighting'!$B$3:$B$17,0)+1,2)</f>
        <v>0</v>
      </c>
      <c r="W102" s="37">
        <f>VLOOKUP($C102,$D$60:$Z$63,W$32,FALSE)*$D$79*$A102/8760/1000*INDEX('Bulb Weighting'!$B$2:$C$17,MATCH(RIGHT('SC-New'!$D65,LEN($D102)-7),'Bulb Weighting'!$B$3:$B$17,0)+1,2)</f>
        <v>0</v>
      </c>
      <c r="X102" s="37">
        <f>VLOOKUP($C102,$D$60:$Z$63,X$32,FALSE)*$D$79*$A102/8760/1000*INDEX('Bulb Weighting'!$B$2:$C$17,MATCH(RIGHT('SC-New'!$D65,LEN($D102)-7),'Bulb Weighting'!$B$3:$B$17,0)+1,2)</f>
        <v>0</v>
      </c>
      <c r="Y102" s="448">
        <f>(VLOOKUP($C102,$D$43:$Z$46,$X$68+3,FALSE)+VLOOKUP($C102,$D$51:$Z$54,$X$68+3,FALSE))*$A102*$D$79/8760/1000*INDEX('Bulb Weighting'!$B$2:$C$17,MATCH(RIGHT('SC-New'!$D65,LEN($D102)-7),'Bulb Weighting'!$B$3:$B$17,0)+1,2)</f>
        <v>0.16489684485109232</v>
      </c>
      <c r="Z102" s="32"/>
      <c r="AA102" s="32">
        <f t="shared" ref="AA102:AA104" si="37">SUM(E102:X102)</f>
        <v>3.6475052955057659E-2</v>
      </c>
      <c r="AB102" s="37"/>
      <c r="AC102" s="84"/>
    </row>
    <row r="103" spans="1:29" customFormat="1">
      <c r="A103" s="89">
        <f t="shared" si="30"/>
        <v>9.8723739493112301</v>
      </c>
      <c r="B103" s="71">
        <f t="shared" si="31"/>
        <v>-94.996719014918995</v>
      </c>
      <c r="C103" s="1" t="s">
        <v>32</v>
      </c>
      <c r="D103" t="s">
        <v>730</v>
      </c>
      <c r="E103" s="37">
        <f>VLOOKUP($C103,$D$60:$Z$63,E$32,FALSE)*$D$79*$A103/8760/1000*INDEX('Bulb Weighting'!$B$2:$C$17,MATCH(RIGHT('SC-New'!$D66,LEN($D103)-7),'Bulb Weighting'!$B$3:$B$17,0)+1,2)</f>
        <v>1.5318080573544156E-2</v>
      </c>
      <c r="F103" s="37">
        <f>VLOOKUP($C103,$D$60:$Z$63,F$32,FALSE)*$D$79*$A103/8760/1000*INDEX('Bulb Weighting'!$B$2:$C$17,MATCH(RIGHT('SC-New'!$D66,LEN($D103)-7),'Bulb Weighting'!$B$3:$B$17,0)+1,2)</f>
        <v>0</v>
      </c>
      <c r="G103" s="37">
        <f>VLOOKUP($C103,$D$60:$Z$63,G$32,FALSE)*$D$79*$A103/8760/1000*INDEX('Bulb Weighting'!$B$2:$C$17,MATCH(RIGHT('SC-New'!$D66,LEN($D103)-7),'Bulb Weighting'!$B$3:$B$17,0)+1,2)</f>
        <v>0</v>
      </c>
      <c r="H103" s="37">
        <f>VLOOKUP($C103,$D$60:$Z$63,H$32,FALSE)*$D$79*$A103/8760/1000*INDEX('Bulb Weighting'!$B$2:$C$17,MATCH(RIGHT('SC-New'!$D66,LEN($D103)-7),'Bulb Weighting'!$B$3:$B$17,0)+1,2)</f>
        <v>0</v>
      </c>
      <c r="I103" s="37">
        <f>VLOOKUP($C103,$D$60:$Z$63,I$32,FALSE)*$D$79*$A103/8760/1000*INDEX('Bulb Weighting'!$B$2:$C$17,MATCH(RIGHT('SC-New'!$D66,LEN($D103)-7),'Bulb Weighting'!$B$3:$B$17,0)+1,2)</f>
        <v>0</v>
      </c>
      <c r="J103" s="37">
        <f>VLOOKUP($C103,$D$60:$Z$63,J$32,FALSE)*$D$79*$A103/8760/1000*INDEX('Bulb Weighting'!$B$2:$C$17,MATCH(RIGHT('SC-New'!$D66,LEN($D103)-7),'Bulb Weighting'!$B$3:$B$17,0)+1,2)</f>
        <v>0</v>
      </c>
      <c r="K103" s="37">
        <f>VLOOKUP($C103,$D$60:$Z$63,K$32,FALSE)*$D$79*$A103/8760/1000*INDEX('Bulb Weighting'!$B$2:$C$17,MATCH(RIGHT('SC-New'!$D66,LEN($D103)-7),'Bulb Weighting'!$B$3:$B$17,0)+1,2)</f>
        <v>0</v>
      </c>
      <c r="L103" s="37">
        <f>VLOOKUP($C103,$D$60:$Z$63,L$32,FALSE)*$D$79*$A103/8760/1000*INDEX('Bulb Weighting'!$B$2:$C$17,MATCH(RIGHT('SC-New'!$D66,LEN($D103)-7),'Bulb Weighting'!$B$3:$B$17,0)+1,2)</f>
        <v>0</v>
      </c>
      <c r="M103" s="37">
        <f>VLOOKUP($C103,$D$60:$Z$63,M$32,FALSE)*$D$79*$A103/8760/1000*INDEX('Bulb Weighting'!$B$2:$C$17,MATCH(RIGHT('SC-New'!$D66,LEN($D103)-7),'Bulb Weighting'!$B$3:$B$17,0)+1,2)</f>
        <v>0</v>
      </c>
      <c r="N103" s="37">
        <f>VLOOKUP($C103,$D$60:$Z$63,N$32,FALSE)*$D$79*$A103/8760/1000*INDEX('Bulb Weighting'!$B$2:$C$17,MATCH(RIGHT('SC-New'!$D66,LEN($D103)-7),'Bulb Weighting'!$B$3:$B$17,0)+1,2)</f>
        <v>0</v>
      </c>
      <c r="O103" s="37">
        <f>VLOOKUP($C103,$D$60:$Z$63,O$32,FALSE)*$D$79*$A103/8760/1000*INDEX('Bulb Weighting'!$B$2:$C$17,MATCH(RIGHT('SC-New'!$D66,LEN($D103)-7),'Bulb Weighting'!$B$3:$B$17,0)+1,2)</f>
        <v>0</v>
      </c>
      <c r="P103" s="37">
        <f>VLOOKUP($C103,$D$60:$Z$63,P$32,FALSE)*$D$79*$A103/8760/1000*INDEX('Bulb Weighting'!$B$2:$C$17,MATCH(RIGHT('SC-New'!$D66,LEN($D103)-7),'Bulb Weighting'!$B$3:$B$17,0)+1,2)</f>
        <v>0</v>
      </c>
      <c r="Q103" s="37">
        <f>VLOOKUP($C103,$D$60:$Z$63,Q$32,FALSE)*$D$79*$A103/8760/1000*INDEX('Bulb Weighting'!$B$2:$C$17,MATCH(RIGHT('SC-New'!$D66,LEN($D103)-7),'Bulb Weighting'!$B$3:$B$17,0)+1,2)</f>
        <v>0</v>
      </c>
      <c r="R103" s="37">
        <f>VLOOKUP($C103,$D$60:$Z$63,R$32,FALSE)*$D$79*$A103/8760/1000*INDEX('Bulb Weighting'!$B$2:$C$17,MATCH(RIGHT('SC-New'!$D66,LEN($D103)-7),'Bulb Weighting'!$B$3:$B$17,0)+1,2)</f>
        <v>0</v>
      </c>
      <c r="S103" s="37">
        <f>VLOOKUP($C103,$D$60:$Z$63,S$32,FALSE)*$D$79*$A103/8760/1000*INDEX('Bulb Weighting'!$B$2:$C$17,MATCH(RIGHT('SC-New'!$D66,LEN($D103)-7),'Bulb Weighting'!$B$3:$B$17,0)+1,2)</f>
        <v>0</v>
      </c>
      <c r="T103" s="37">
        <f>VLOOKUP($C103,$D$60:$Z$63,T$32,FALSE)*$D$79*$A103/8760/1000*INDEX('Bulb Weighting'!$B$2:$C$17,MATCH(RIGHT('SC-New'!$D66,LEN($D103)-7),'Bulb Weighting'!$B$3:$B$17,0)+1,2)</f>
        <v>0</v>
      </c>
      <c r="U103" s="37">
        <f>VLOOKUP($C103,$D$60:$Z$63,U$32,FALSE)*$D$79*$A103/8760/1000*INDEX('Bulb Weighting'!$B$2:$C$17,MATCH(RIGHT('SC-New'!$D66,LEN($D103)-7),'Bulb Weighting'!$B$3:$B$17,0)+1,2)</f>
        <v>0</v>
      </c>
      <c r="V103" s="37">
        <f>VLOOKUP($C103,$D$60:$Z$63,V$32,FALSE)*$D$79*$A103/8760/1000*INDEX('Bulb Weighting'!$B$2:$C$17,MATCH(RIGHT('SC-New'!$D66,LEN($D103)-7),'Bulb Weighting'!$B$3:$B$17,0)+1,2)</f>
        <v>0</v>
      </c>
      <c r="W103" s="37">
        <f>VLOOKUP($C103,$D$60:$Z$63,W$32,FALSE)*$D$79*$A103/8760/1000*INDEX('Bulb Weighting'!$B$2:$C$17,MATCH(RIGHT('SC-New'!$D66,LEN($D103)-7),'Bulb Weighting'!$B$3:$B$17,0)+1,2)</f>
        <v>0</v>
      </c>
      <c r="X103" s="37">
        <f>VLOOKUP($C103,$D$60:$Z$63,X$32,FALSE)*$D$79*$A103/8760/1000*INDEX('Bulb Weighting'!$B$2:$C$17,MATCH(RIGHT('SC-New'!$D66,LEN($D103)-7),'Bulb Weighting'!$B$3:$B$17,0)+1,2)</f>
        <v>0</v>
      </c>
      <c r="Y103" s="448">
        <f>(VLOOKUP($C103,$D$43:$Z$46,$X$68+3,FALSE)+VLOOKUP($C103,$D$51:$Z$54,$X$68+3,FALSE))*$A103*$D$79/8760/1000*INDEX('Bulb Weighting'!$B$2:$C$17,MATCH(RIGHT('SC-New'!$D66,LEN($D103)-7),'Bulb Weighting'!$B$3:$B$17,0)+1,2)</f>
        <v>6.9250157329846962E-2</v>
      </c>
      <c r="Z103" s="32"/>
      <c r="AA103" s="32">
        <f t="shared" si="37"/>
        <v>1.5318080573544156E-2</v>
      </c>
      <c r="AB103" s="37"/>
      <c r="AC103" s="84"/>
    </row>
    <row r="104" spans="1:29" customFormat="1">
      <c r="A104" s="89">
        <f t="shared" si="30"/>
        <v>10.681196090262945</v>
      </c>
      <c r="B104" s="71">
        <f t="shared" si="31"/>
        <v>-99.87829920820603</v>
      </c>
      <c r="C104" s="1" t="s">
        <v>32</v>
      </c>
      <c r="D104" t="s">
        <v>732</v>
      </c>
      <c r="E104" s="37">
        <f>VLOOKUP($C104,$D$60:$Z$63,E$32,FALSE)*$D$79*$A104/8760/1000*INDEX('Bulb Weighting'!$B$2:$C$17,MATCH(RIGHT('SC-New'!$D67,LEN($D104)-7),'Bulb Weighting'!$B$3:$B$17,0)+1,2)</f>
        <v>1.2487934066347346E-3</v>
      </c>
      <c r="F104" s="37">
        <f>VLOOKUP($C104,$D$60:$Z$63,F$32,FALSE)*$D$79*$A104/8760/1000*INDEX('Bulb Weighting'!$B$2:$C$17,MATCH(RIGHT('SC-New'!$D67,LEN($D104)-7),'Bulb Weighting'!$B$3:$B$17,0)+1,2)</f>
        <v>0</v>
      </c>
      <c r="G104" s="37">
        <f>VLOOKUP($C104,$D$60:$Z$63,G$32,FALSE)*$D$79*$A104/8760/1000*INDEX('Bulb Weighting'!$B$2:$C$17,MATCH(RIGHT('SC-New'!$D67,LEN($D104)-7),'Bulb Weighting'!$B$3:$B$17,0)+1,2)</f>
        <v>0</v>
      </c>
      <c r="H104" s="37">
        <f>VLOOKUP($C104,$D$60:$Z$63,H$32,FALSE)*$D$79*$A104/8760/1000*INDEX('Bulb Weighting'!$B$2:$C$17,MATCH(RIGHT('SC-New'!$D67,LEN($D104)-7),'Bulb Weighting'!$B$3:$B$17,0)+1,2)</f>
        <v>0</v>
      </c>
      <c r="I104" s="37">
        <f>VLOOKUP($C104,$D$60:$Z$63,I$32,FALSE)*$D$79*$A104/8760/1000*INDEX('Bulb Weighting'!$B$2:$C$17,MATCH(RIGHT('SC-New'!$D67,LEN($D104)-7),'Bulb Weighting'!$B$3:$B$17,0)+1,2)</f>
        <v>0</v>
      </c>
      <c r="J104" s="37">
        <f>VLOOKUP($C104,$D$60:$Z$63,J$32,FALSE)*$D$79*$A104/8760/1000*INDEX('Bulb Weighting'!$B$2:$C$17,MATCH(RIGHT('SC-New'!$D67,LEN($D104)-7),'Bulb Weighting'!$B$3:$B$17,0)+1,2)</f>
        <v>0</v>
      </c>
      <c r="K104" s="37">
        <f>VLOOKUP($C104,$D$60:$Z$63,K$32,FALSE)*$D$79*$A104/8760/1000*INDEX('Bulb Weighting'!$B$2:$C$17,MATCH(RIGHT('SC-New'!$D67,LEN($D104)-7),'Bulb Weighting'!$B$3:$B$17,0)+1,2)</f>
        <v>0</v>
      </c>
      <c r="L104" s="37">
        <f>VLOOKUP($C104,$D$60:$Z$63,L$32,FALSE)*$D$79*$A104/8760/1000*INDEX('Bulb Weighting'!$B$2:$C$17,MATCH(RIGHT('SC-New'!$D67,LEN($D104)-7),'Bulb Weighting'!$B$3:$B$17,0)+1,2)</f>
        <v>0</v>
      </c>
      <c r="M104" s="37">
        <f>VLOOKUP($C104,$D$60:$Z$63,M$32,FALSE)*$D$79*$A104/8760/1000*INDEX('Bulb Weighting'!$B$2:$C$17,MATCH(RIGHT('SC-New'!$D67,LEN($D104)-7),'Bulb Weighting'!$B$3:$B$17,0)+1,2)</f>
        <v>0</v>
      </c>
      <c r="N104" s="37">
        <f>VLOOKUP($C104,$D$60:$Z$63,N$32,FALSE)*$D$79*$A104/8760/1000*INDEX('Bulb Weighting'!$B$2:$C$17,MATCH(RIGHT('SC-New'!$D67,LEN($D104)-7),'Bulb Weighting'!$B$3:$B$17,0)+1,2)</f>
        <v>0</v>
      </c>
      <c r="O104" s="37">
        <f>VLOOKUP($C104,$D$60:$Z$63,O$32,FALSE)*$D$79*$A104/8760/1000*INDEX('Bulb Weighting'!$B$2:$C$17,MATCH(RIGHT('SC-New'!$D67,LEN($D104)-7),'Bulb Weighting'!$B$3:$B$17,0)+1,2)</f>
        <v>0</v>
      </c>
      <c r="P104" s="37">
        <f>VLOOKUP($C104,$D$60:$Z$63,P$32,FALSE)*$D$79*$A104/8760/1000*INDEX('Bulb Weighting'!$B$2:$C$17,MATCH(RIGHT('SC-New'!$D67,LEN($D104)-7),'Bulb Weighting'!$B$3:$B$17,0)+1,2)</f>
        <v>0</v>
      </c>
      <c r="Q104" s="37">
        <f>VLOOKUP($C104,$D$60:$Z$63,Q$32,FALSE)*$D$79*$A104/8760/1000*INDEX('Bulb Weighting'!$B$2:$C$17,MATCH(RIGHT('SC-New'!$D67,LEN($D104)-7),'Bulb Weighting'!$B$3:$B$17,0)+1,2)</f>
        <v>0</v>
      </c>
      <c r="R104" s="37">
        <f>VLOOKUP($C104,$D$60:$Z$63,R$32,FALSE)*$D$79*$A104/8760/1000*INDEX('Bulb Weighting'!$B$2:$C$17,MATCH(RIGHT('SC-New'!$D67,LEN($D104)-7),'Bulb Weighting'!$B$3:$B$17,0)+1,2)</f>
        <v>0</v>
      </c>
      <c r="S104" s="37">
        <f>VLOOKUP($C104,$D$60:$Z$63,S$32,FALSE)*$D$79*$A104/8760/1000*INDEX('Bulb Weighting'!$B$2:$C$17,MATCH(RIGHT('SC-New'!$D67,LEN($D104)-7),'Bulb Weighting'!$B$3:$B$17,0)+1,2)</f>
        <v>0</v>
      </c>
      <c r="T104" s="37">
        <f>VLOOKUP($C104,$D$60:$Z$63,T$32,FALSE)*$D$79*$A104/8760/1000*INDEX('Bulb Weighting'!$B$2:$C$17,MATCH(RIGHT('SC-New'!$D67,LEN($D104)-7),'Bulb Weighting'!$B$3:$B$17,0)+1,2)</f>
        <v>0</v>
      </c>
      <c r="U104" s="37">
        <f>VLOOKUP($C104,$D$60:$Z$63,U$32,FALSE)*$D$79*$A104/8760/1000*INDEX('Bulb Weighting'!$B$2:$C$17,MATCH(RIGHT('SC-New'!$D67,LEN($D104)-7),'Bulb Weighting'!$B$3:$B$17,0)+1,2)</f>
        <v>0</v>
      </c>
      <c r="V104" s="37">
        <f>VLOOKUP($C104,$D$60:$Z$63,V$32,FALSE)*$D$79*$A104/8760/1000*INDEX('Bulb Weighting'!$B$2:$C$17,MATCH(RIGHT('SC-New'!$D67,LEN($D104)-7),'Bulb Weighting'!$B$3:$B$17,0)+1,2)</f>
        <v>0</v>
      </c>
      <c r="W104" s="37">
        <f>VLOOKUP($C104,$D$60:$Z$63,W$32,FALSE)*$D$79*$A104/8760/1000*INDEX('Bulb Weighting'!$B$2:$C$17,MATCH(RIGHT('SC-New'!$D67,LEN($D104)-7),'Bulb Weighting'!$B$3:$B$17,0)+1,2)</f>
        <v>0</v>
      </c>
      <c r="X104" s="37">
        <f>VLOOKUP($C104,$D$60:$Z$63,X$32,FALSE)*$D$79*$A104/8760/1000*INDEX('Bulb Weighting'!$B$2:$C$17,MATCH(RIGHT('SC-New'!$D67,LEN($D104)-7),'Bulb Weighting'!$B$3:$B$17,0)+1,2)</f>
        <v>0</v>
      </c>
      <c r="Y104" s="448">
        <f>(VLOOKUP($C104,$D$43:$Z$46,$X$68+3,FALSE)+VLOOKUP($C104,$D$51:$Z$54,$X$68+3,FALSE))*$A104*$D$79/8760/1000*INDEX('Bulb Weighting'!$B$2:$C$17,MATCH(RIGHT('SC-New'!$D67,LEN($D104)-7),'Bulb Weighting'!$B$3:$B$17,0)+1,2)</f>
        <v>5.6455597988751263E-3</v>
      </c>
      <c r="Z104" s="32"/>
      <c r="AA104" s="32">
        <f t="shared" si="37"/>
        <v>1.2487934066347346E-3</v>
      </c>
      <c r="AB104" s="37"/>
      <c r="AC104" s="84"/>
    </row>
    <row r="105" spans="1:29" customFormat="1">
      <c r="A105" s="89">
        <f t="shared" si="30"/>
        <v>20.374790406766845</v>
      </c>
      <c r="B105" s="71">
        <f t="shared" si="31"/>
        <v>-38.377975660533203</v>
      </c>
      <c r="C105" s="1" t="s">
        <v>32</v>
      </c>
      <c r="D105" t="s">
        <v>734</v>
      </c>
      <c r="E105" s="37">
        <f>VLOOKUP($C105,$D$60:$Z$63,E$32,FALSE)*$D$79*$A105/8760/1000*INDEX('Bulb Weighting'!$B$2:$C$17,MATCH(RIGHT('SC-New'!$D68,LEN($D105)-7),'Bulb Weighting'!$B$3:$B$17,0)+1,2)</f>
        <v>1.6490799564354074E-2</v>
      </c>
      <c r="F105" s="37">
        <f>VLOOKUP($C105,$D$60:$Z$63,F$32,FALSE)*$D$79*$A105/8760/1000*INDEX('Bulb Weighting'!$B$2:$C$17,MATCH(RIGHT('SC-New'!$D68,LEN($D105)-7),'Bulb Weighting'!$B$3:$B$17,0)+1,2)</f>
        <v>0</v>
      </c>
      <c r="G105" s="37">
        <f>VLOOKUP($C105,$D$60:$Z$63,G$32,FALSE)*$D$79*$A105/8760/1000*INDEX('Bulb Weighting'!$B$2:$C$17,MATCH(RIGHT('SC-New'!$D68,LEN($D105)-7),'Bulb Weighting'!$B$3:$B$17,0)+1,2)</f>
        <v>0</v>
      </c>
      <c r="H105" s="37">
        <f>VLOOKUP($C105,$D$60:$Z$63,H$32,FALSE)*$D$79*$A105/8760/1000*INDEX('Bulb Weighting'!$B$2:$C$17,MATCH(RIGHT('SC-New'!$D68,LEN($D105)-7),'Bulb Weighting'!$B$3:$B$17,0)+1,2)</f>
        <v>0</v>
      </c>
      <c r="I105" s="37">
        <f>VLOOKUP($C105,$D$60:$Z$63,I$32,FALSE)*$D$79*$A105/8760/1000*INDEX('Bulb Weighting'!$B$2:$C$17,MATCH(RIGHT('SC-New'!$D68,LEN($D105)-7),'Bulb Weighting'!$B$3:$B$17,0)+1,2)</f>
        <v>0</v>
      </c>
      <c r="J105" s="37">
        <f>VLOOKUP($C105,$D$60:$Z$63,J$32,FALSE)*$D$79*$A105/8760/1000*INDEX('Bulb Weighting'!$B$2:$C$17,MATCH(RIGHT('SC-New'!$D68,LEN($D105)-7),'Bulb Weighting'!$B$3:$B$17,0)+1,2)</f>
        <v>0</v>
      </c>
      <c r="K105" s="37">
        <f>VLOOKUP($C105,$D$60:$Z$63,K$32,FALSE)*$D$79*$A105/8760/1000*INDEX('Bulb Weighting'!$B$2:$C$17,MATCH(RIGHT('SC-New'!$D68,LEN($D105)-7),'Bulb Weighting'!$B$3:$B$17,0)+1,2)</f>
        <v>0</v>
      </c>
      <c r="L105" s="37">
        <f>VLOOKUP($C105,$D$60:$Z$63,L$32,FALSE)*$D$79*$A105/8760/1000*INDEX('Bulb Weighting'!$B$2:$C$17,MATCH(RIGHT('SC-New'!$D68,LEN($D105)-7),'Bulb Weighting'!$B$3:$B$17,0)+1,2)</f>
        <v>0</v>
      </c>
      <c r="M105" s="37">
        <f>VLOOKUP($C105,$D$60:$Z$63,M$32,FALSE)*$D$79*$A105/8760/1000*INDEX('Bulb Weighting'!$B$2:$C$17,MATCH(RIGHT('SC-New'!$D68,LEN($D105)-7),'Bulb Weighting'!$B$3:$B$17,0)+1,2)</f>
        <v>0</v>
      </c>
      <c r="N105" s="37">
        <f>VLOOKUP($C105,$D$60:$Z$63,N$32,FALSE)*$D$79*$A105/8760/1000*INDEX('Bulb Weighting'!$B$2:$C$17,MATCH(RIGHT('SC-New'!$D68,LEN($D105)-7),'Bulb Weighting'!$B$3:$B$17,0)+1,2)</f>
        <v>0</v>
      </c>
      <c r="O105" s="37">
        <f>VLOOKUP($C105,$D$60:$Z$63,O$32,FALSE)*$D$79*$A105/8760/1000*INDEX('Bulb Weighting'!$B$2:$C$17,MATCH(RIGHT('SC-New'!$D68,LEN($D105)-7),'Bulb Weighting'!$B$3:$B$17,0)+1,2)</f>
        <v>0</v>
      </c>
      <c r="P105" s="37">
        <f>VLOOKUP($C105,$D$60:$Z$63,P$32,FALSE)*$D$79*$A105/8760/1000*INDEX('Bulb Weighting'!$B$2:$C$17,MATCH(RIGHT('SC-New'!$D68,LEN($D105)-7),'Bulb Weighting'!$B$3:$B$17,0)+1,2)</f>
        <v>0</v>
      </c>
      <c r="Q105" s="37">
        <f>VLOOKUP($C105,$D$60:$Z$63,Q$32,FALSE)*$D$79*$A105/8760/1000*INDEX('Bulb Weighting'!$B$2:$C$17,MATCH(RIGHT('SC-New'!$D68,LEN($D105)-7),'Bulb Weighting'!$B$3:$B$17,0)+1,2)</f>
        <v>0</v>
      </c>
      <c r="R105" s="37">
        <f>VLOOKUP($C105,$D$60:$Z$63,R$32,FALSE)*$D$79*$A105/8760/1000*INDEX('Bulb Weighting'!$B$2:$C$17,MATCH(RIGHT('SC-New'!$D68,LEN($D105)-7),'Bulb Weighting'!$B$3:$B$17,0)+1,2)</f>
        <v>0</v>
      </c>
      <c r="S105" s="37">
        <f>VLOOKUP($C105,$D$60:$Z$63,S$32,FALSE)*$D$79*$A105/8760/1000*INDEX('Bulb Weighting'!$B$2:$C$17,MATCH(RIGHT('SC-New'!$D68,LEN($D105)-7),'Bulb Weighting'!$B$3:$B$17,0)+1,2)</f>
        <v>0</v>
      </c>
      <c r="T105" s="37">
        <f>VLOOKUP($C105,$D$60:$Z$63,T$32,FALSE)*$D$79*$A105/8760/1000*INDEX('Bulb Weighting'!$B$2:$C$17,MATCH(RIGHT('SC-New'!$D68,LEN($D105)-7),'Bulb Weighting'!$B$3:$B$17,0)+1,2)</f>
        <v>0</v>
      </c>
      <c r="U105" s="37">
        <f>VLOOKUP($C105,$D$60:$Z$63,U$32,FALSE)*$D$79*$A105/8760/1000*INDEX('Bulb Weighting'!$B$2:$C$17,MATCH(RIGHT('SC-New'!$D68,LEN($D105)-7),'Bulb Weighting'!$B$3:$B$17,0)+1,2)</f>
        <v>0</v>
      </c>
      <c r="V105" s="37">
        <f>VLOOKUP($C105,$D$60:$Z$63,V$32,FALSE)*$D$79*$A105/8760/1000*INDEX('Bulb Weighting'!$B$2:$C$17,MATCH(RIGHT('SC-New'!$D68,LEN($D105)-7),'Bulb Weighting'!$B$3:$B$17,0)+1,2)</f>
        <v>0</v>
      </c>
      <c r="W105" s="37">
        <f>VLOOKUP($C105,$D$60:$Z$63,W$32,FALSE)*$D$79*$A105/8760/1000*INDEX('Bulb Weighting'!$B$2:$C$17,MATCH(RIGHT('SC-New'!$D68,LEN($D105)-7),'Bulb Weighting'!$B$3:$B$17,0)+1,2)</f>
        <v>0</v>
      </c>
      <c r="X105" s="37">
        <f>VLOOKUP($C105,$D$60:$Z$63,X$32,FALSE)*$D$79*$A105/8760/1000*INDEX('Bulb Weighting'!$B$2:$C$17,MATCH(RIGHT('SC-New'!$D68,LEN($D105)-7),'Bulb Weighting'!$B$3:$B$17,0)+1,2)</f>
        <v>0</v>
      </c>
      <c r="Y105" s="448">
        <f>(VLOOKUP($C105,$D$43:$Z$46,$X$68+3,FALSE)+VLOOKUP($C105,$D$51:$Z$54,$X$68+3,FALSE))*$A105*$D$79/8760/1000*INDEX('Bulb Weighting'!$B$2:$C$17,MATCH(RIGHT('SC-New'!$D68,LEN($D105)-7),'Bulb Weighting'!$B$3:$B$17,0)+1,2)</f>
        <v>7.4551799022314971E-2</v>
      </c>
      <c r="Z105" s="32"/>
      <c r="AA105" s="32">
        <f>SUM(E105:X105)</f>
        <v>1.6490799564354074E-2</v>
      </c>
      <c r="AB105" s="37"/>
      <c r="AC105" s="84"/>
    </row>
    <row r="106" spans="1:29" customFormat="1">
      <c r="A106" s="89">
        <f t="shared" si="30"/>
        <v>15.536210538971808</v>
      </c>
      <c r="B106" s="71">
        <f t="shared" si="31"/>
        <v>-47.72588478334999</v>
      </c>
      <c r="C106" s="1" t="s">
        <v>32</v>
      </c>
      <c r="D106" t="s">
        <v>736</v>
      </c>
      <c r="E106" s="37">
        <f>VLOOKUP($C106,$D$60:$Z$63,E$32,FALSE)*$D$79*$A106/8760/1000*INDEX('Bulb Weighting'!$B$2:$C$17,MATCH(RIGHT('SC-New'!$D69,LEN($D106)-7),'Bulb Weighting'!$B$3:$B$17,0)+1,2)</f>
        <v>0.12706240094819746</v>
      </c>
      <c r="F106" s="37">
        <f>VLOOKUP($C106,$D$60:$Z$63,F$32,FALSE)*$D$79*$A106/8760/1000*INDEX('Bulb Weighting'!$B$2:$C$17,MATCH(RIGHT('SC-New'!$D69,LEN($D106)-7),'Bulb Weighting'!$B$3:$B$17,0)+1,2)</f>
        <v>0</v>
      </c>
      <c r="G106" s="37">
        <f>VLOOKUP($C106,$D$60:$Z$63,G$32,FALSE)*$D$79*$A106/8760/1000*INDEX('Bulb Weighting'!$B$2:$C$17,MATCH(RIGHT('SC-New'!$D69,LEN($D106)-7),'Bulb Weighting'!$B$3:$B$17,0)+1,2)</f>
        <v>0</v>
      </c>
      <c r="H106" s="37">
        <f>VLOOKUP($C106,$D$60:$Z$63,H$32,FALSE)*$D$79*$A106/8760/1000*INDEX('Bulb Weighting'!$B$2:$C$17,MATCH(RIGHT('SC-New'!$D69,LEN($D106)-7),'Bulb Weighting'!$B$3:$B$17,0)+1,2)</f>
        <v>0</v>
      </c>
      <c r="I106" s="37">
        <f>VLOOKUP($C106,$D$60:$Z$63,I$32,FALSE)*$D$79*$A106/8760/1000*INDEX('Bulb Weighting'!$B$2:$C$17,MATCH(RIGHT('SC-New'!$D69,LEN($D106)-7),'Bulb Weighting'!$B$3:$B$17,0)+1,2)</f>
        <v>0</v>
      </c>
      <c r="J106" s="37">
        <f>VLOOKUP($C106,$D$60:$Z$63,J$32,FALSE)*$D$79*$A106/8760/1000*INDEX('Bulb Weighting'!$B$2:$C$17,MATCH(RIGHT('SC-New'!$D69,LEN($D106)-7),'Bulb Weighting'!$B$3:$B$17,0)+1,2)</f>
        <v>0</v>
      </c>
      <c r="K106" s="37">
        <f>VLOOKUP($C106,$D$60:$Z$63,K$32,FALSE)*$D$79*$A106/8760/1000*INDEX('Bulb Weighting'!$B$2:$C$17,MATCH(RIGHT('SC-New'!$D69,LEN($D106)-7),'Bulb Weighting'!$B$3:$B$17,0)+1,2)</f>
        <v>0</v>
      </c>
      <c r="L106" s="37">
        <f>VLOOKUP($C106,$D$60:$Z$63,L$32,FALSE)*$D$79*$A106/8760/1000*INDEX('Bulb Weighting'!$B$2:$C$17,MATCH(RIGHT('SC-New'!$D69,LEN($D106)-7),'Bulb Weighting'!$B$3:$B$17,0)+1,2)</f>
        <v>0</v>
      </c>
      <c r="M106" s="37">
        <f>VLOOKUP($C106,$D$60:$Z$63,M$32,FALSE)*$D$79*$A106/8760/1000*INDEX('Bulb Weighting'!$B$2:$C$17,MATCH(RIGHT('SC-New'!$D69,LEN($D106)-7),'Bulb Weighting'!$B$3:$B$17,0)+1,2)</f>
        <v>0</v>
      </c>
      <c r="N106" s="37">
        <f>VLOOKUP($C106,$D$60:$Z$63,N$32,FALSE)*$D$79*$A106/8760/1000*INDEX('Bulb Weighting'!$B$2:$C$17,MATCH(RIGHT('SC-New'!$D69,LEN($D106)-7),'Bulb Weighting'!$B$3:$B$17,0)+1,2)</f>
        <v>0</v>
      </c>
      <c r="O106" s="37">
        <f>VLOOKUP($C106,$D$60:$Z$63,O$32,FALSE)*$D$79*$A106/8760/1000*INDEX('Bulb Weighting'!$B$2:$C$17,MATCH(RIGHT('SC-New'!$D69,LEN($D106)-7),'Bulb Weighting'!$B$3:$B$17,0)+1,2)</f>
        <v>0</v>
      </c>
      <c r="P106" s="37">
        <f>VLOOKUP($C106,$D$60:$Z$63,P$32,FALSE)*$D$79*$A106/8760/1000*INDEX('Bulb Weighting'!$B$2:$C$17,MATCH(RIGHT('SC-New'!$D69,LEN($D106)-7),'Bulb Weighting'!$B$3:$B$17,0)+1,2)</f>
        <v>0</v>
      </c>
      <c r="Q106" s="37">
        <f>VLOOKUP($C106,$D$60:$Z$63,Q$32,FALSE)*$D$79*$A106/8760/1000*INDEX('Bulb Weighting'!$B$2:$C$17,MATCH(RIGHT('SC-New'!$D69,LEN($D106)-7),'Bulb Weighting'!$B$3:$B$17,0)+1,2)</f>
        <v>0</v>
      </c>
      <c r="R106" s="37">
        <f>VLOOKUP($C106,$D$60:$Z$63,R$32,FALSE)*$D$79*$A106/8760/1000*INDEX('Bulb Weighting'!$B$2:$C$17,MATCH(RIGHT('SC-New'!$D69,LEN($D106)-7),'Bulb Weighting'!$B$3:$B$17,0)+1,2)</f>
        <v>0</v>
      </c>
      <c r="S106" s="37">
        <f>VLOOKUP($C106,$D$60:$Z$63,S$32,FALSE)*$D$79*$A106/8760/1000*INDEX('Bulb Weighting'!$B$2:$C$17,MATCH(RIGHT('SC-New'!$D69,LEN($D106)-7),'Bulb Weighting'!$B$3:$B$17,0)+1,2)</f>
        <v>0</v>
      </c>
      <c r="T106" s="37">
        <f>VLOOKUP($C106,$D$60:$Z$63,T$32,FALSE)*$D$79*$A106/8760/1000*INDEX('Bulb Weighting'!$B$2:$C$17,MATCH(RIGHT('SC-New'!$D69,LEN($D106)-7),'Bulb Weighting'!$B$3:$B$17,0)+1,2)</f>
        <v>0</v>
      </c>
      <c r="U106" s="37">
        <f>VLOOKUP($C106,$D$60:$Z$63,U$32,FALSE)*$D$79*$A106/8760/1000*INDEX('Bulb Weighting'!$B$2:$C$17,MATCH(RIGHT('SC-New'!$D69,LEN($D106)-7),'Bulb Weighting'!$B$3:$B$17,0)+1,2)</f>
        <v>0</v>
      </c>
      <c r="V106" s="37">
        <f>VLOOKUP($C106,$D$60:$Z$63,V$32,FALSE)*$D$79*$A106/8760/1000*INDEX('Bulb Weighting'!$B$2:$C$17,MATCH(RIGHT('SC-New'!$D69,LEN($D106)-7),'Bulb Weighting'!$B$3:$B$17,0)+1,2)</f>
        <v>0</v>
      </c>
      <c r="W106" s="37">
        <f>VLOOKUP($C106,$D$60:$Z$63,W$32,FALSE)*$D$79*$A106/8760/1000*INDEX('Bulb Weighting'!$B$2:$C$17,MATCH(RIGHT('SC-New'!$D69,LEN($D106)-7),'Bulb Weighting'!$B$3:$B$17,0)+1,2)</f>
        <v>0</v>
      </c>
      <c r="X106" s="37">
        <f>VLOOKUP($C106,$D$60:$Z$63,X$32,FALSE)*$D$79*$A106/8760/1000*INDEX('Bulb Weighting'!$B$2:$C$17,MATCH(RIGHT('SC-New'!$D69,LEN($D106)-7),'Bulb Weighting'!$B$3:$B$17,0)+1,2)</f>
        <v>0</v>
      </c>
      <c r="Y106" s="448">
        <f>(VLOOKUP($C106,$D$43:$Z$46,$X$68+3,FALSE)+VLOOKUP($C106,$D$51:$Z$54,$X$68+3,FALSE))*$A106*$D$79/8760/1000*INDEX('Bulb Weighting'!$B$2:$C$17,MATCH(RIGHT('SC-New'!$D69,LEN($D106)-7),'Bulb Weighting'!$B$3:$B$17,0)+1,2)</f>
        <v>0.57442518428631784</v>
      </c>
      <c r="Z106" s="32"/>
      <c r="AA106" s="32">
        <f t="shared" ref="AA106:AA108" si="38">SUM(E106:X106)</f>
        <v>0.12706240094819746</v>
      </c>
      <c r="AB106" s="37"/>
      <c r="AC106" s="84"/>
    </row>
    <row r="107" spans="1:29" customFormat="1">
      <c r="A107" s="89">
        <f t="shared" si="30"/>
        <v>83.173238448682625</v>
      </c>
      <c r="B107" s="71">
        <f t="shared" si="31"/>
        <v>-27.334459272113147</v>
      </c>
      <c r="C107" s="1" t="s">
        <v>32</v>
      </c>
      <c r="D107" t="s">
        <v>738</v>
      </c>
      <c r="E107" s="37">
        <f>VLOOKUP($C107,$D$60:$Z$63,E$32,FALSE)*$D$79*$A107/8760/1000*INDEX('Bulb Weighting'!$B$2:$C$17,MATCH(RIGHT('SC-New'!$D70,LEN($D107)-7),'Bulb Weighting'!$B$3:$B$17,0)+1,2)</f>
        <v>5.5899453324655159E-2</v>
      </c>
      <c r="F107" s="37">
        <f>VLOOKUP($C107,$D$60:$Z$63,F$32,FALSE)*$D$79*$A107/8760/1000*INDEX('Bulb Weighting'!$B$2:$C$17,MATCH(RIGHT('SC-New'!$D70,LEN($D107)-7),'Bulb Weighting'!$B$3:$B$17,0)+1,2)</f>
        <v>0</v>
      </c>
      <c r="G107" s="37">
        <f>VLOOKUP($C107,$D$60:$Z$63,G$32,FALSE)*$D$79*$A107/8760/1000*INDEX('Bulb Weighting'!$B$2:$C$17,MATCH(RIGHT('SC-New'!$D70,LEN($D107)-7),'Bulb Weighting'!$B$3:$B$17,0)+1,2)</f>
        <v>0</v>
      </c>
      <c r="H107" s="37">
        <f>VLOOKUP($C107,$D$60:$Z$63,H$32,FALSE)*$D$79*$A107/8760/1000*INDEX('Bulb Weighting'!$B$2:$C$17,MATCH(RIGHT('SC-New'!$D70,LEN($D107)-7),'Bulb Weighting'!$B$3:$B$17,0)+1,2)</f>
        <v>0</v>
      </c>
      <c r="I107" s="37">
        <f>VLOOKUP($C107,$D$60:$Z$63,I$32,FALSE)*$D$79*$A107/8760/1000*INDEX('Bulb Weighting'!$B$2:$C$17,MATCH(RIGHT('SC-New'!$D70,LEN($D107)-7),'Bulb Weighting'!$B$3:$B$17,0)+1,2)</f>
        <v>0</v>
      </c>
      <c r="J107" s="37">
        <f>VLOOKUP($C107,$D$60:$Z$63,J$32,FALSE)*$D$79*$A107/8760/1000*INDEX('Bulb Weighting'!$B$2:$C$17,MATCH(RIGHT('SC-New'!$D70,LEN($D107)-7),'Bulb Weighting'!$B$3:$B$17,0)+1,2)</f>
        <v>0</v>
      </c>
      <c r="K107" s="37">
        <f>VLOOKUP($C107,$D$60:$Z$63,K$32,FALSE)*$D$79*$A107/8760/1000*INDEX('Bulb Weighting'!$B$2:$C$17,MATCH(RIGHT('SC-New'!$D70,LEN($D107)-7),'Bulb Weighting'!$B$3:$B$17,0)+1,2)</f>
        <v>0</v>
      </c>
      <c r="L107" s="37">
        <f>VLOOKUP($C107,$D$60:$Z$63,L$32,FALSE)*$D$79*$A107/8760/1000*INDEX('Bulb Weighting'!$B$2:$C$17,MATCH(RIGHT('SC-New'!$D70,LEN($D107)-7),'Bulb Weighting'!$B$3:$B$17,0)+1,2)</f>
        <v>0</v>
      </c>
      <c r="M107" s="37">
        <f>VLOOKUP($C107,$D$60:$Z$63,M$32,FALSE)*$D$79*$A107/8760/1000*INDEX('Bulb Weighting'!$B$2:$C$17,MATCH(RIGHT('SC-New'!$D70,LEN($D107)-7),'Bulb Weighting'!$B$3:$B$17,0)+1,2)</f>
        <v>0</v>
      </c>
      <c r="N107" s="37">
        <f>VLOOKUP($C107,$D$60:$Z$63,N$32,FALSE)*$D$79*$A107/8760/1000*INDEX('Bulb Weighting'!$B$2:$C$17,MATCH(RIGHT('SC-New'!$D70,LEN($D107)-7),'Bulb Weighting'!$B$3:$B$17,0)+1,2)</f>
        <v>0</v>
      </c>
      <c r="O107" s="37">
        <f>VLOOKUP($C107,$D$60:$Z$63,O$32,FALSE)*$D$79*$A107/8760/1000*INDEX('Bulb Weighting'!$B$2:$C$17,MATCH(RIGHT('SC-New'!$D70,LEN($D107)-7),'Bulb Weighting'!$B$3:$B$17,0)+1,2)</f>
        <v>0</v>
      </c>
      <c r="P107" s="37">
        <f>VLOOKUP($C107,$D$60:$Z$63,P$32,FALSE)*$D$79*$A107/8760/1000*INDEX('Bulb Weighting'!$B$2:$C$17,MATCH(RIGHT('SC-New'!$D70,LEN($D107)-7),'Bulb Weighting'!$B$3:$B$17,0)+1,2)</f>
        <v>0</v>
      </c>
      <c r="Q107" s="37">
        <f>VLOOKUP($C107,$D$60:$Z$63,Q$32,FALSE)*$D$79*$A107/8760/1000*INDEX('Bulb Weighting'!$B$2:$C$17,MATCH(RIGHT('SC-New'!$D70,LEN($D107)-7),'Bulb Weighting'!$B$3:$B$17,0)+1,2)</f>
        <v>0</v>
      </c>
      <c r="R107" s="37">
        <f>VLOOKUP($C107,$D$60:$Z$63,R$32,FALSE)*$D$79*$A107/8760/1000*INDEX('Bulb Weighting'!$B$2:$C$17,MATCH(RIGHT('SC-New'!$D70,LEN($D107)-7),'Bulb Weighting'!$B$3:$B$17,0)+1,2)</f>
        <v>0</v>
      </c>
      <c r="S107" s="37">
        <f>VLOOKUP($C107,$D$60:$Z$63,S$32,FALSE)*$D$79*$A107/8760/1000*INDEX('Bulb Weighting'!$B$2:$C$17,MATCH(RIGHT('SC-New'!$D70,LEN($D107)-7),'Bulb Weighting'!$B$3:$B$17,0)+1,2)</f>
        <v>0</v>
      </c>
      <c r="T107" s="37">
        <f>VLOOKUP($C107,$D$60:$Z$63,T$32,FALSE)*$D$79*$A107/8760/1000*INDEX('Bulb Weighting'!$B$2:$C$17,MATCH(RIGHT('SC-New'!$D70,LEN($D107)-7),'Bulb Weighting'!$B$3:$B$17,0)+1,2)</f>
        <v>0</v>
      </c>
      <c r="U107" s="37">
        <f>VLOOKUP($C107,$D$60:$Z$63,U$32,FALSE)*$D$79*$A107/8760/1000*INDEX('Bulb Weighting'!$B$2:$C$17,MATCH(RIGHT('SC-New'!$D70,LEN($D107)-7),'Bulb Weighting'!$B$3:$B$17,0)+1,2)</f>
        <v>0</v>
      </c>
      <c r="V107" s="37">
        <f>VLOOKUP($C107,$D$60:$Z$63,V$32,FALSE)*$D$79*$A107/8760/1000*INDEX('Bulb Weighting'!$B$2:$C$17,MATCH(RIGHT('SC-New'!$D70,LEN($D107)-7),'Bulb Weighting'!$B$3:$B$17,0)+1,2)</f>
        <v>0</v>
      </c>
      <c r="W107" s="37">
        <f>VLOOKUP($C107,$D$60:$Z$63,W$32,FALSE)*$D$79*$A107/8760/1000*INDEX('Bulb Weighting'!$B$2:$C$17,MATCH(RIGHT('SC-New'!$D70,LEN($D107)-7),'Bulb Weighting'!$B$3:$B$17,0)+1,2)</f>
        <v>0</v>
      </c>
      <c r="X107" s="37">
        <f>VLOOKUP($C107,$D$60:$Z$63,X$32,FALSE)*$D$79*$A107/8760/1000*INDEX('Bulb Weighting'!$B$2:$C$17,MATCH(RIGHT('SC-New'!$D70,LEN($D107)-7),'Bulb Weighting'!$B$3:$B$17,0)+1,2)</f>
        <v>0</v>
      </c>
      <c r="Y107" s="448">
        <f>(VLOOKUP($C107,$D$43:$Z$46,$X$68+3,FALSE)+VLOOKUP($C107,$D$51:$Z$54,$X$68+3,FALSE))*$A107*$D$79/8760/1000*INDEX('Bulb Weighting'!$B$2:$C$17,MATCH(RIGHT('SC-New'!$D70,LEN($D107)-7),'Bulb Weighting'!$B$3:$B$17,0)+1,2)</f>
        <v>0.2527109006118225</v>
      </c>
      <c r="Z107" s="32"/>
      <c r="AA107" s="32">
        <f t="shared" si="38"/>
        <v>5.5899453324655159E-2</v>
      </c>
      <c r="AB107" s="37"/>
      <c r="AC107" s="84"/>
    </row>
    <row r="108" spans="1:29" customFormat="1">
      <c r="A108" s="89">
        <f t="shared" si="30"/>
        <v>48.421429568529426</v>
      </c>
      <c r="B108" s="71">
        <f t="shared" si="31"/>
        <v>-0.28395098554769854</v>
      </c>
      <c r="C108" s="1" t="s">
        <v>32</v>
      </c>
      <c r="D108" t="s">
        <v>740</v>
      </c>
      <c r="E108" s="37">
        <f>VLOOKUP($C108,$D$60:$Z$63,E$32,FALSE)*$D$79*$A108/8760/1000*INDEX('Bulb Weighting'!$B$2:$C$17,MATCH(RIGHT('SC-New'!$D71,LEN($D108)-7),'Bulb Weighting'!$B$3:$B$17,0)+1,2)</f>
        <v>5.1064848180493757E-4</v>
      </c>
      <c r="F108" s="37">
        <f>VLOOKUP($C108,$D$60:$Z$63,F$32,FALSE)*$D$79*$A108/8760/1000*INDEX('Bulb Weighting'!$B$2:$C$17,MATCH(RIGHT('SC-New'!$D71,LEN($D108)-7),'Bulb Weighting'!$B$3:$B$17,0)+1,2)</f>
        <v>0</v>
      </c>
      <c r="G108" s="37">
        <f>VLOOKUP($C108,$D$60:$Z$63,G$32,FALSE)*$D$79*$A108/8760/1000*INDEX('Bulb Weighting'!$B$2:$C$17,MATCH(RIGHT('SC-New'!$D71,LEN($D108)-7),'Bulb Weighting'!$B$3:$B$17,0)+1,2)</f>
        <v>0</v>
      </c>
      <c r="H108" s="37">
        <f>VLOOKUP($C108,$D$60:$Z$63,H$32,FALSE)*$D$79*$A108/8760/1000*INDEX('Bulb Weighting'!$B$2:$C$17,MATCH(RIGHT('SC-New'!$D71,LEN($D108)-7),'Bulb Weighting'!$B$3:$B$17,0)+1,2)</f>
        <v>0</v>
      </c>
      <c r="I108" s="37">
        <f>VLOOKUP($C108,$D$60:$Z$63,I$32,FALSE)*$D$79*$A108/8760/1000*INDEX('Bulb Weighting'!$B$2:$C$17,MATCH(RIGHT('SC-New'!$D71,LEN($D108)-7),'Bulb Weighting'!$B$3:$B$17,0)+1,2)</f>
        <v>0</v>
      </c>
      <c r="J108" s="37">
        <f>VLOOKUP($C108,$D$60:$Z$63,J$32,FALSE)*$D$79*$A108/8760/1000*INDEX('Bulb Weighting'!$B$2:$C$17,MATCH(RIGHT('SC-New'!$D71,LEN($D108)-7),'Bulb Weighting'!$B$3:$B$17,0)+1,2)</f>
        <v>0</v>
      </c>
      <c r="K108" s="37">
        <f>VLOOKUP($C108,$D$60:$Z$63,K$32,FALSE)*$D$79*$A108/8760/1000*INDEX('Bulb Weighting'!$B$2:$C$17,MATCH(RIGHT('SC-New'!$D71,LEN($D108)-7),'Bulb Weighting'!$B$3:$B$17,0)+1,2)</f>
        <v>0</v>
      </c>
      <c r="L108" s="37">
        <f>VLOOKUP($C108,$D$60:$Z$63,L$32,FALSE)*$D$79*$A108/8760/1000*INDEX('Bulb Weighting'!$B$2:$C$17,MATCH(RIGHT('SC-New'!$D71,LEN($D108)-7),'Bulb Weighting'!$B$3:$B$17,0)+1,2)</f>
        <v>0</v>
      </c>
      <c r="M108" s="37">
        <f>VLOOKUP($C108,$D$60:$Z$63,M$32,FALSE)*$D$79*$A108/8760/1000*INDEX('Bulb Weighting'!$B$2:$C$17,MATCH(RIGHT('SC-New'!$D71,LEN($D108)-7),'Bulb Weighting'!$B$3:$B$17,0)+1,2)</f>
        <v>0</v>
      </c>
      <c r="N108" s="37">
        <f>VLOOKUP($C108,$D$60:$Z$63,N$32,FALSE)*$D$79*$A108/8760/1000*INDEX('Bulb Weighting'!$B$2:$C$17,MATCH(RIGHT('SC-New'!$D71,LEN($D108)-7),'Bulb Weighting'!$B$3:$B$17,0)+1,2)</f>
        <v>0</v>
      </c>
      <c r="O108" s="37">
        <f>VLOOKUP($C108,$D$60:$Z$63,O$32,FALSE)*$D$79*$A108/8760/1000*INDEX('Bulb Weighting'!$B$2:$C$17,MATCH(RIGHT('SC-New'!$D71,LEN($D108)-7),'Bulb Weighting'!$B$3:$B$17,0)+1,2)</f>
        <v>0</v>
      </c>
      <c r="P108" s="37">
        <f>VLOOKUP($C108,$D$60:$Z$63,P$32,FALSE)*$D$79*$A108/8760/1000*INDEX('Bulb Weighting'!$B$2:$C$17,MATCH(RIGHT('SC-New'!$D71,LEN($D108)-7),'Bulb Weighting'!$B$3:$B$17,0)+1,2)</f>
        <v>0</v>
      </c>
      <c r="Q108" s="37">
        <f>VLOOKUP($C108,$D$60:$Z$63,Q$32,FALSE)*$D$79*$A108/8760/1000*INDEX('Bulb Weighting'!$B$2:$C$17,MATCH(RIGHT('SC-New'!$D71,LEN($D108)-7),'Bulb Weighting'!$B$3:$B$17,0)+1,2)</f>
        <v>0</v>
      </c>
      <c r="R108" s="37">
        <f>VLOOKUP($C108,$D$60:$Z$63,R$32,FALSE)*$D$79*$A108/8760/1000*INDEX('Bulb Weighting'!$B$2:$C$17,MATCH(RIGHT('SC-New'!$D71,LEN($D108)-7),'Bulb Weighting'!$B$3:$B$17,0)+1,2)</f>
        <v>0</v>
      </c>
      <c r="S108" s="37">
        <f>VLOOKUP($C108,$D$60:$Z$63,S$32,FALSE)*$D$79*$A108/8760/1000*INDEX('Bulb Weighting'!$B$2:$C$17,MATCH(RIGHT('SC-New'!$D71,LEN($D108)-7),'Bulb Weighting'!$B$3:$B$17,0)+1,2)</f>
        <v>0</v>
      </c>
      <c r="T108" s="37">
        <f>VLOOKUP($C108,$D$60:$Z$63,T$32,FALSE)*$D$79*$A108/8760/1000*INDEX('Bulb Weighting'!$B$2:$C$17,MATCH(RIGHT('SC-New'!$D71,LEN($D108)-7),'Bulb Weighting'!$B$3:$B$17,0)+1,2)</f>
        <v>0</v>
      </c>
      <c r="U108" s="37">
        <f>VLOOKUP($C108,$D$60:$Z$63,U$32,FALSE)*$D$79*$A108/8760/1000*INDEX('Bulb Weighting'!$B$2:$C$17,MATCH(RIGHT('SC-New'!$D71,LEN($D108)-7),'Bulb Weighting'!$B$3:$B$17,0)+1,2)</f>
        <v>0</v>
      </c>
      <c r="V108" s="37">
        <f>VLOOKUP($C108,$D$60:$Z$63,V$32,FALSE)*$D$79*$A108/8760/1000*INDEX('Bulb Weighting'!$B$2:$C$17,MATCH(RIGHT('SC-New'!$D71,LEN($D108)-7),'Bulb Weighting'!$B$3:$B$17,0)+1,2)</f>
        <v>0</v>
      </c>
      <c r="W108" s="37">
        <f>VLOOKUP($C108,$D$60:$Z$63,W$32,FALSE)*$D$79*$A108/8760/1000*INDEX('Bulb Weighting'!$B$2:$C$17,MATCH(RIGHT('SC-New'!$D71,LEN($D108)-7),'Bulb Weighting'!$B$3:$B$17,0)+1,2)</f>
        <v>0</v>
      </c>
      <c r="X108" s="37">
        <f>VLOOKUP($C108,$D$60:$Z$63,X$32,FALSE)*$D$79*$A108/8760/1000*INDEX('Bulb Weighting'!$B$2:$C$17,MATCH(RIGHT('SC-New'!$D71,LEN($D108)-7),'Bulb Weighting'!$B$3:$B$17,0)+1,2)</f>
        <v>0</v>
      </c>
      <c r="Y108" s="448">
        <f>(VLOOKUP($C108,$D$43:$Z$46,$X$68+3,FALSE)+VLOOKUP($C108,$D$51:$Z$54,$X$68+3,FALSE))*$A108*$D$79/8760/1000*INDEX('Bulb Weighting'!$B$2:$C$17,MATCH(RIGHT('SC-New'!$D71,LEN($D108)-7),'Bulb Weighting'!$B$3:$B$17,0)+1,2)</f>
        <v>2.3085456128435528E-3</v>
      </c>
      <c r="Z108" s="32"/>
      <c r="AA108" s="32">
        <f t="shared" si="38"/>
        <v>5.1064848180493757E-4</v>
      </c>
      <c r="AB108" s="37"/>
      <c r="AC108" s="84"/>
    </row>
    <row r="109" spans="1:29" customFormat="1">
      <c r="A109" s="89">
        <f t="shared" si="30"/>
        <v>52.157694278074032</v>
      </c>
      <c r="B109" s="71">
        <f t="shared" si="31"/>
        <v>-8.9398321624848585</v>
      </c>
      <c r="C109" s="1" t="s">
        <v>32</v>
      </c>
      <c r="D109" t="s">
        <v>742</v>
      </c>
      <c r="E109" s="37">
        <f>VLOOKUP($C109,$D$60:$Z$63,E$32,FALSE)*$D$79*$A109/8760/1000*INDEX('Bulb Weighting'!$B$2:$C$17,MATCH(RIGHT('SC-New'!$D72,LEN($D109)-7),'Bulb Weighting'!$B$3:$B$17,0)+1,2)</f>
        <v>6.7895088105076416E-3</v>
      </c>
      <c r="F109" s="37">
        <f>VLOOKUP($C109,$D$60:$Z$63,F$32,FALSE)*$D$79*$A109/8760/1000*INDEX('Bulb Weighting'!$B$2:$C$17,MATCH(RIGHT('SC-New'!$D72,LEN($D109)-7),'Bulb Weighting'!$B$3:$B$17,0)+1,2)</f>
        <v>0</v>
      </c>
      <c r="G109" s="37">
        <f>VLOOKUP($C109,$D$60:$Z$63,G$32,FALSE)*$D$79*$A109/8760/1000*INDEX('Bulb Weighting'!$B$2:$C$17,MATCH(RIGHT('SC-New'!$D72,LEN($D109)-7),'Bulb Weighting'!$B$3:$B$17,0)+1,2)</f>
        <v>0</v>
      </c>
      <c r="H109" s="37">
        <f>VLOOKUP($C109,$D$60:$Z$63,H$32,FALSE)*$D$79*$A109/8760/1000*INDEX('Bulb Weighting'!$B$2:$C$17,MATCH(RIGHT('SC-New'!$D72,LEN($D109)-7),'Bulb Weighting'!$B$3:$B$17,0)+1,2)</f>
        <v>0</v>
      </c>
      <c r="I109" s="37">
        <f>VLOOKUP($C109,$D$60:$Z$63,I$32,FALSE)*$D$79*$A109/8760/1000*INDEX('Bulb Weighting'!$B$2:$C$17,MATCH(RIGHT('SC-New'!$D72,LEN($D109)-7),'Bulb Weighting'!$B$3:$B$17,0)+1,2)</f>
        <v>0</v>
      </c>
      <c r="J109" s="37">
        <f>VLOOKUP($C109,$D$60:$Z$63,J$32,FALSE)*$D$79*$A109/8760/1000*INDEX('Bulb Weighting'!$B$2:$C$17,MATCH(RIGHT('SC-New'!$D72,LEN($D109)-7),'Bulb Weighting'!$B$3:$B$17,0)+1,2)</f>
        <v>0</v>
      </c>
      <c r="K109" s="37">
        <f>VLOOKUP($C109,$D$60:$Z$63,K$32,FALSE)*$D$79*$A109/8760/1000*INDEX('Bulb Weighting'!$B$2:$C$17,MATCH(RIGHT('SC-New'!$D72,LEN($D109)-7),'Bulb Weighting'!$B$3:$B$17,0)+1,2)</f>
        <v>0</v>
      </c>
      <c r="L109" s="37">
        <f>VLOOKUP($C109,$D$60:$Z$63,L$32,FALSE)*$D$79*$A109/8760/1000*INDEX('Bulb Weighting'!$B$2:$C$17,MATCH(RIGHT('SC-New'!$D72,LEN($D109)-7),'Bulb Weighting'!$B$3:$B$17,0)+1,2)</f>
        <v>0</v>
      </c>
      <c r="M109" s="37">
        <f>VLOOKUP($C109,$D$60:$Z$63,M$32,FALSE)*$D$79*$A109/8760/1000*INDEX('Bulb Weighting'!$B$2:$C$17,MATCH(RIGHT('SC-New'!$D72,LEN($D109)-7),'Bulb Weighting'!$B$3:$B$17,0)+1,2)</f>
        <v>0</v>
      </c>
      <c r="N109" s="37">
        <f>VLOOKUP($C109,$D$60:$Z$63,N$32,FALSE)*$D$79*$A109/8760/1000*INDEX('Bulb Weighting'!$B$2:$C$17,MATCH(RIGHT('SC-New'!$D72,LEN($D109)-7),'Bulb Weighting'!$B$3:$B$17,0)+1,2)</f>
        <v>0</v>
      </c>
      <c r="O109" s="37">
        <f>VLOOKUP($C109,$D$60:$Z$63,O$32,FALSE)*$D$79*$A109/8760/1000*INDEX('Bulb Weighting'!$B$2:$C$17,MATCH(RIGHT('SC-New'!$D72,LEN($D109)-7),'Bulb Weighting'!$B$3:$B$17,0)+1,2)</f>
        <v>0</v>
      </c>
      <c r="P109" s="37">
        <f>VLOOKUP($C109,$D$60:$Z$63,P$32,FALSE)*$D$79*$A109/8760/1000*INDEX('Bulb Weighting'!$B$2:$C$17,MATCH(RIGHT('SC-New'!$D72,LEN($D109)-7),'Bulb Weighting'!$B$3:$B$17,0)+1,2)</f>
        <v>0</v>
      </c>
      <c r="Q109" s="37">
        <f>VLOOKUP($C109,$D$60:$Z$63,Q$32,FALSE)*$D$79*$A109/8760/1000*INDEX('Bulb Weighting'!$B$2:$C$17,MATCH(RIGHT('SC-New'!$D72,LEN($D109)-7),'Bulb Weighting'!$B$3:$B$17,0)+1,2)</f>
        <v>0</v>
      </c>
      <c r="R109" s="37">
        <f>VLOOKUP($C109,$D$60:$Z$63,R$32,FALSE)*$D$79*$A109/8760/1000*INDEX('Bulb Weighting'!$B$2:$C$17,MATCH(RIGHT('SC-New'!$D72,LEN($D109)-7),'Bulb Weighting'!$B$3:$B$17,0)+1,2)</f>
        <v>0</v>
      </c>
      <c r="S109" s="37">
        <f>VLOOKUP($C109,$D$60:$Z$63,S$32,FALSE)*$D$79*$A109/8760/1000*INDEX('Bulb Weighting'!$B$2:$C$17,MATCH(RIGHT('SC-New'!$D72,LEN($D109)-7),'Bulb Weighting'!$B$3:$B$17,0)+1,2)</f>
        <v>0</v>
      </c>
      <c r="T109" s="37">
        <f>VLOOKUP($C109,$D$60:$Z$63,T$32,FALSE)*$D$79*$A109/8760/1000*INDEX('Bulb Weighting'!$B$2:$C$17,MATCH(RIGHT('SC-New'!$D72,LEN($D109)-7),'Bulb Weighting'!$B$3:$B$17,0)+1,2)</f>
        <v>0</v>
      </c>
      <c r="U109" s="37">
        <f>VLOOKUP($C109,$D$60:$Z$63,U$32,FALSE)*$D$79*$A109/8760/1000*INDEX('Bulb Weighting'!$B$2:$C$17,MATCH(RIGHT('SC-New'!$D72,LEN($D109)-7),'Bulb Weighting'!$B$3:$B$17,0)+1,2)</f>
        <v>0</v>
      </c>
      <c r="V109" s="37">
        <f>VLOOKUP($C109,$D$60:$Z$63,V$32,FALSE)*$D$79*$A109/8760/1000*INDEX('Bulb Weighting'!$B$2:$C$17,MATCH(RIGHT('SC-New'!$D72,LEN($D109)-7),'Bulb Weighting'!$B$3:$B$17,0)+1,2)</f>
        <v>0</v>
      </c>
      <c r="W109" s="37">
        <f>VLOOKUP($C109,$D$60:$Z$63,W$32,FALSE)*$D$79*$A109/8760/1000*INDEX('Bulb Weighting'!$B$2:$C$17,MATCH(RIGHT('SC-New'!$D72,LEN($D109)-7),'Bulb Weighting'!$B$3:$B$17,0)+1,2)</f>
        <v>0</v>
      </c>
      <c r="X109" s="37">
        <f>VLOOKUP($C109,$D$60:$Z$63,X$32,FALSE)*$D$79*$A109/8760/1000*INDEX('Bulb Weighting'!$B$2:$C$17,MATCH(RIGHT('SC-New'!$D72,LEN($D109)-7),'Bulb Weighting'!$B$3:$B$17,0)+1,2)</f>
        <v>0</v>
      </c>
      <c r="Y109" s="448">
        <f>(VLOOKUP($C109,$D$43:$Z$46,$X$68+3,FALSE)+VLOOKUP($C109,$D$51:$Z$54,$X$68+3,FALSE))*$A109*$D$79/8760/1000*INDEX('Bulb Weighting'!$B$2:$C$17,MATCH(RIGHT('SC-New'!$D72,LEN($D109)-7),'Bulb Weighting'!$B$3:$B$17,0)+1,2)</f>
        <v>3.0694090624648777E-2</v>
      </c>
      <c r="Z109" s="32"/>
      <c r="AA109" s="32">
        <f>SUM(E109:X109)</f>
        <v>6.7895088105076416E-3</v>
      </c>
      <c r="AB109" s="37"/>
      <c r="AC109" s="84"/>
    </row>
    <row r="110" spans="1:29" customFormat="1">
      <c r="A110" s="89">
        <f t="shared" si="30"/>
        <v>46.673278979590322</v>
      </c>
      <c r="B110" s="71">
        <f t="shared" si="31"/>
        <v>-22.011904676498236</v>
      </c>
      <c r="C110" s="1" t="s">
        <v>32</v>
      </c>
      <c r="D110" t="s">
        <v>744</v>
      </c>
      <c r="E110" s="37">
        <f>VLOOKUP($C110,$D$60:$Z$63,E$32,FALSE)*$D$79*$A110/8760/1000*INDEX('Bulb Weighting'!$B$2:$C$17,MATCH(RIGHT('SC-New'!$D73,LEN($D110)-7),'Bulb Weighting'!$B$3:$B$17,0)+1,2)</f>
        <v>2.3493644316449729E-2</v>
      </c>
      <c r="F110" s="37">
        <f>VLOOKUP($C110,$D$60:$Z$63,F$32,FALSE)*$D$79*$A110/8760/1000*INDEX('Bulb Weighting'!$B$2:$C$17,MATCH(RIGHT('SC-New'!$D73,LEN($D110)-7),'Bulb Weighting'!$B$3:$B$17,0)+1,2)</f>
        <v>0</v>
      </c>
      <c r="G110" s="37">
        <f>VLOOKUP($C110,$D$60:$Z$63,G$32,FALSE)*$D$79*$A110/8760/1000*INDEX('Bulb Weighting'!$B$2:$C$17,MATCH(RIGHT('SC-New'!$D73,LEN($D110)-7),'Bulb Weighting'!$B$3:$B$17,0)+1,2)</f>
        <v>0</v>
      </c>
      <c r="H110" s="37">
        <f>VLOOKUP($C110,$D$60:$Z$63,H$32,FALSE)*$D$79*$A110/8760/1000*INDEX('Bulb Weighting'!$B$2:$C$17,MATCH(RIGHT('SC-New'!$D73,LEN($D110)-7),'Bulb Weighting'!$B$3:$B$17,0)+1,2)</f>
        <v>0</v>
      </c>
      <c r="I110" s="37">
        <f>VLOOKUP($C110,$D$60:$Z$63,I$32,FALSE)*$D$79*$A110/8760/1000*INDEX('Bulb Weighting'!$B$2:$C$17,MATCH(RIGHT('SC-New'!$D73,LEN($D110)-7),'Bulb Weighting'!$B$3:$B$17,0)+1,2)</f>
        <v>0</v>
      </c>
      <c r="J110" s="37">
        <f>VLOOKUP($C110,$D$60:$Z$63,J$32,FALSE)*$D$79*$A110/8760/1000*INDEX('Bulb Weighting'!$B$2:$C$17,MATCH(RIGHT('SC-New'!$D73,LEN($D110)-7),'Bulb Weighting'!$B$3:$B$17,0)+1,2)</f>
        <v>0</v>
      </c>
      <c r="K110" s="37">
        <f>VLOOKUP($C110,$D$60:$Z$63,K$32,FALSE)*$D$79*$A110/8760/1000*INDEX('Bulb Weighting'!$B$2:$C$17,MATCH(RIGHT('SC-New'!$D73,LEN($D110)-7),'Bulb Weighting'!$B$3:$B$17,0)+1,2)</f>
        <v>0</v>
      </c>
      <c r="L110" s="37">
        <f>VLOOKUP($C110,$D$60:$Z$63,L$32,FALSE)*$D$79*$A110/8760/1000*INDEX('Bulb Weighting'!$B$2:$C$17,MATCH(RIGHT('SC-New'!$D73,LEN($D110)-7),'Bulb Weighting'!$B$3:$B$17,0)+1,2)</f>
        <v>0</v>
      </c>
      <c r="M110" s="37">
        <f>VLOOKUP($C110,$D$60:$Z$63,M$32,FALSE)*$D$79*$A110/8760/1000*INDEX('Bulb Weighting'!$B$2:$C$17,MATCH(RIGHT('SC-New'!$D73,LEN($D110)-7),'Bulb Weighting'!$B$3:$B$17,0)+1,2)</f>
        <v>0</v>
      </c>
      <c r="N110" s="37">
        <f>VLOOKUP($C110,$D$60:$Z$63,N$32,FALSE)*$D$79*$A110/8760/1000*INDEX('Bulb Weighting'!$B$2:$C$17,MATCH(RIGHT('SC-New'!$D73,LEN($D110)-7),'Bulb Weighting'!$B$3:$B$17,0)+1,2)</f>
        <v>0</v>
      </c>
      <c r="O110" s="37">
        <f>VLOOKUP($C110,$D$60:$Z$63,O$32,FALSE)*$D$79*$A110/8760/1000*INDEX('Bulb Weighting'!$B$2:$C$17,MATCH(RIGHT('SC-New'!$D73,LEN($D110)-7),'Bulb Weighting'!$B$3:$B$17,0)+1,2)</f>
        <v>0</v>
      </c>
      <c r="P110" s="37">
        <f>VLOOKUP($C110,$D$60:$Z$63,P$32,FALSE)*$D$79*$A110/8760/1000*INDEX('Bulb Weighting'!$B$2:$C$17,MATCH(RIGHT('SC-New'!$D73,LEN($D110)-7),'Bulb Weighting'!$B$3:$B$17,0)+1,2)</f>
        <v>0</v>
      </c>
      <c r="Q110" s="37">
        <f>VLOOKUP($C110,$D$60:$Z$63,Q$32,FALSE)*$D$79*$A110/8760/1000*INDEX('Bulb Weighting'!$B$2:$C$17,MATCH(RIGHT('SC-New'!$D73,LEN($D110)-7),'Bulb Weighting'!$B$3:$B$17,0)+1,2)</f>
        <v>0</v>
      </c>
      <c r="R110" s="37">
        <f>VLOOKUP($C110,$D$60:$Z$63,R$32,FALSE)*$D$79*$A110/8760/1000*INDEX('Bulb Weighting'!$B$2:$C$17,MATCH(RIGHT('SC-New'!$D73,LEN($D110)-7),'Bulb Weighting'!$B$3:$B$17,0)+1,2)</f>
        <v>0</v>
      </c>
      <c r="S110" s="37">
        <f>VLOOKUP($C110,$D$60:$Z$63,S$32,FALSE)*$D$79*$A110/8760/1000*INDEX('Bulb Weighting'!$B$2:$C$17,MATCH(RIGHT('SC-New'!$D73,LEN($D110)-7),'Bulb Weighting'!$B$3:$B$17,0)+1,2)</f>
        <v>0</v>
      </c>
      <c r="T110" s="37">
        <f>VLOOKUP($C110,$D$60:$Z$63,T$32,FALSE)*$D$79*$A110/8760/1000*INDEX('Bulb Weighting'!$B$2:$C$17,MATCH(RIGHT('SC-New'!$D73,LEN($D110)-7),'Bulb Weighting'!$B$3:$B$17,0)+1,2)</f>
        <v>0</v>
      </c>
      <c r="U110" s="37">
        <f>VLOOKUP($C110,$D$60:$Z$63,U$32,FALSE)*$D$79*$A110/8760/1000*INDEX('Bulb Weighting'!$B$2:$C$17,MATCH(RIGHT('SC-New'!$D73,LEN($D110)-7),'Bulb Weighting'!$B$3:$B$17,0)+1,2)</f>
        <v>0</v>
      </c>
      <c r="V110" s="37">
        <f>VLOOKUP($C110,$D$60:$Z$63,V$32,FALSE)*$D$79*$A110/8760/1000*INDEX('Bulb Weighting'!$B$2:$C$17,MATCH(RIGHT('SC-New'!$D73,LEN($D110)-7),'Bulb Weighting'!$B$3:$B$17,0)+1,2)</f>
        <v>0</v>
      </c>
      <c r="W110" s="37">
        <f>VLOOKUP($C110,$D$60:$Z$63,W$32,FALSE)*$D$79*$A110/8760/1000*INDEX('Bulb Weighting'!$B$2:$C$17,MATCH(RIGHT('SC-New'!$D73,LEN($D110)-7),'Bulb Weighting'!$B$3:$B$17,0)+1,2)</f>
        <v>0</v>
      </c>
      <c r="X110" s="37">
        <f>VLOOKUP($C110,$D$60:$Z$63,X$32,FALSE)*$D$79*$A110/8760/1000*INDEX('Bulb Weighting'!$B$2:$C$17,MATCH(RIGHT('SC-New'!$D73,LEN($D110)-7),'Bulb Weighting'!$B$3:$B$17,0)+1,2)</f>
        <v>0</v>
      </c>
      <c r="Y110" s="448">
        <f>(VLOOKUP($C110,$D$43:$Z$46,$X$68+3,FALSE)+VLOOKUP($C110,$D$51:$Z$54,$X$68+3,FALSE))*$A110*$D$79/8760/1000*INDEX('Bulb Weighting'!$B$2:$C$17,MATCH(RIGHT('SC-New'!$D73,LEN($D110)-7),'Bulb Weighting'!$B$3:$B$17,0)+1,2)</f>
        <v>0.10621034126008531</v>
      </c>
      <c r="Z110" s="32"/>
      <c r="AA110" s="32">
        <f t="shared" ref="AA110:AA112" si="39">SUM(E110:X110)</f>
        <v>2.3493644316449729E-2</v>
      </c>
      <c r="AB110" s="37"/>
      <c r="AC110" s="84"/>
    </row>
    <row r="111" spans="1:29" customFormat="1">
      <c r="A111" s="89">
        <f t="shared" si="30"/>
        <v>19.236292058718274</v>
      </c>
      <c r="B111" s="71">
        <f t="shared" si="31"/>
        <v>-15.059976945801358</v>
      </c>
      <c r="C111" s="1" t="str">
        <f>C15</f>
        <v>Multifamily - High Rise</v>
      </c>
      <c r="D111" t="s">
        <v>716</v>
      </c>
      <c r="E111" s="37">
        <f>VLOOKUP($C111,$D$60:$Z$63,E$32,FALSE)*$D$79*$A111/8760/1000*INDEX('Bulb Weighting'!$B$2:$C$17,MATCH(RIGHT('SC-New'!$D74,LEN($D111)-7),'Bulb Weighting'!$B$3:$B$17,0)+1,2)</f>
        <v>2.0324982406339516E-2</v>
      </c>
      <c r="F111" s="37">
        <f>VLOOKUP($C111,$D$60:$Z$63,F$32,FALSE)*$D$79*$A111/8760/1000*INDEX('Bulb Weighting'!$B$2:$C$17,MATCH(RIGHT('SC-New'!$D74,LEN($D111)-7),'Bulb Weighting'!$B$3:$B$17,0)+1,2)</f>
        <v>0</v>
      </c>
      <c r="G111" s="37">
        <f>VLOOKUP($C111,$D$60:$Z$63,G$32,FALSE)*$D$79*$A111/8760/1000*INDEX('Bulb Weighting'!$B$2:$C$17,MATCH(RIGHT('SC-New'!$D74,LEN($D111)-7),'Bulb Weighting'!$B$3:$B$17,0)+1,2)</f>
        <v>0</v>
      </c>
      <c r="H111" s="37">
        <f>VLOOKUP($C111,$D$60:$Z$63,H$32,FALSE)*$D$79*$A111/8760/1000*INDEX('Bulb Weighting'!$B$2:$C$17,MATCH(RIGHT('SC-New'!$D74,LEN($D111)-7),'Bulb Weighting'!$B$3:$B$17,0)+1,2)</f>
        <v>0</v>
      </c>
      <c r="I111" s="37">
        <f>VLOOKUP($C111,$D$60:$Z$63,I$32,FALSE)*$D$79*$A111/8760/1000*INDEX('Bulb Weighting'!$B$2:$C$17,MATCH(RIGHT('SC-New'!$D74,LEN($D111)-7),'Bulb Weighting'!$B$3:$B$17,0)+1,2)</f>
        <v>0</v>
      </c>
      <c r="J111" s="37">
        <f>VLOOKUP($C111,$D$60:$Z$63,J$32,FALSE)*$D$79*$A111/8760/1000*INDEX('Bulb Weighting'!$B$2:$C$17,MATCH(RIGHT('SC-New'!$D74,LEN($D111)-7),'Bulb Weighting'!$B$3:$B$17,0)+1,2)</f>
        <v>0</v>
      </c>
      <c r="K111" s="37">
        <f>VLOOKUP($C111,$D$60:$Z$63,K$32,FALSE)*$D$79*$A111/8760/1000*INDEX('Bulb Weighting'!$B$2:$C$17,MATCH(RIGHT('SC-New'!$D74,LEN($D111)-7),'Bulb Weighting'!$B$3:$B$17,0)+1,2)</f>
        <v>0</v>
      </c>
      <c r="L111" s="37">
        <f>VLOOKUP($C111,$D$60:$Z$63,L$32,FALSE)*$D$79*$A111/8760/1000*INDEX('Bulb Weighting'!$B$2:$C$17,MATCH(RIGHT('SC-New'!$D74,LEN($D111)-7),'Bulb Weighting'!$B$3:$B$17,0)+1,2)</f>
        <v>0</v>
      </c>
      <c r="M111" s="37">
        <f>VLOOKUP($C111,$D$60:$Z$63,M$32,FALSE)*$D$79*$A111/8760/1000*INDEX('Bulb Weighting'!$B$2:$C$17,MATCH(RIGHT('SC-New'!$D74,LEN($D111)-7),'Bulb Weighting'!$B$3:$B$17,0)+1,2)</f>
        <v>0</v>
      </c>
      <c r="N111" s="37">
        <f>VLOOKUP($C111,$D$60:$Z$63,N$32,FALSE)*$D$79*$A111/8760/1000*INDEX('Bulb Weighting'!$B$2:$C$17,MATCH(RIGHT('SC-New'!$D74,LEN($D111)-7),'Bulb Weighting'!$B$3:$B$17,0)+1,2)</f>
        <v>0</v>
      </c>
      <c r="O111" s="37">
        <f>VLOOKUP($C111,$D$60:$Z$63,O$32,FALSE)*$D$79*$A111/8760/1000*INDEX('Bulb Weighting'!$B$2:$C$17,MATCH(RIGHT('SC-New'!$D74,LEN($D111)-7),'Bulb Weighting'!$B$3:$B$17,0)+1,2)</f>
        <v>0</v>
      </c>
      <c r="P111" s="37">
        <f>VLOOKUP($C111,$D$60:$Z$63,P$32,FALSE)*$D$79*$A111/8760/1000*INDEX('Bulb Weighting'!$B$2:$C$17,MATCH(RIGHT('SC-New'!$D74,LEN($D111)-7),'Bulb Weighting'!$B$3:$B$17,0)+1,2)</f>
        <v>0</v>
      </c>
      <c r="Q111" s="37">
        <f>VLOOKUP($C111,$D$60:$Z$63,Q$32,FALSE)*$D$79*$A111/8760/1000*INDEX('Bulb Weighting'!$B$2:$C$17,MATCH(RIGHT('SC-New'!$D74,LEN($D111)-7),'Bulb Weighting'!$B$3:$B$17,0)+1,2)</f>
        <v>0</v>
      </c>
      <c r="R111" s="37">
        <f>VLOOKUP($C111,$D$60:$Z$63,R$32,FALSE)*$D$79*$A111/8760/1000*INDEX('Bulb Weighting'!$B$2:$C$17,MATCH(RIGHT('SC-New'!$D74,LEN($D111)-7),'Bulb Weighting'!$B$3:$B$17,0)+1,2)</f>
        <v>0</v>
      </c>
      <c r="S111" s="37">
        <f>VLOOKUP($C111,$D$60:$Z$63,S$32,FALSE)*$D$79*$A111/8760/1000*INDEX('Bulb Weighting'!$B$2:$C$17,MATCH(RIGHT('SC-New'!$D74,LEN($D111)-7),'Bulb Weighting'!$B$3:$B$17,0)+1,2)</f>
        <v>0</v>
      </c>
      <c r="T111" s="37">
        <f>VLOOKUP($C111,$D$60:$Z$63,T$32,FALSE)*$D$79*$A111/8760/1000*INDEX('Bulb Weighting'!$B$2:$C$17,MATCH(RIGHT('SC-New'!$D74,LEN($D111)-7),'Bulb Weighting'!$B$3:$B$17,0)+1,2)</f>
        <v>0</v>
      </c>
      <c r="U111" s="37">
        <f>VLOOKUP($C111,$D$60:$Z$63,U$32,FALSE)*$D$79*$A111/8760/1000*INDEX('Bulb Weighting'!$B$2:$C$17,MATCH(RIGHT('SC-New'!$D74,LEN($D111)-7),'Bulb Weighting'!$B$3:$B$17,0)+1,2)</f>
        <v>0</v>
      </c>
      <c r="V111" s="37">
        <f>VLOOKUP($C111,$D$60:$Z$63,V$32,FALSE)*$D$79*$A111/8760/1000*INDEX('Bulb Weighting'!$B$2:$C$17,MATCH(RIGHT('SC-New'!$D74,LEN($D111)-7),'Bulb Weighting'!$B$3:$B$17,0)+1,2)</f>
        <v>0</v>
      </c>
      <c r="W111" s="37">
        <f>VLOOKUP($C111,$D$60:$Z$63,W$32,FALSE)*$D$79*$A111/8760/1000*INDEX('Bulb Weighting'!$B$2:$C$17,MATCH(RIGHT('SC-New'!$D74,LEN($D111)-7),'Bulb Weighting'!$B$3:$B$17,0)+1,2)</f>
        <v>0</v>
      </c>
      <c r="X111" s="37">
        <f>VLOOKUP($C111,$D$60:$Z$63,X$32,FALSE)*$D$79*$A111/8760/1000*INDEX('Bulb Weighting'!$B$2:$C$17,MATCH(RIGHT('SC-New'!$D74,LEN($D111)-7),'Bulb Weighting'!$B$3:$B$17,0)+1,2)</f>
        <v>0</v>
      </c>
      <c r="Y111" s="448">
        <f>(VLOOKUP($C111,$D$43:$Z$46,$X$68+3,FALSE)+VLOOKUP($C111,$D$51:$Z$54,$X$68+3,FALSE))*$A111*$D$79/8760/1000*INDEX('Bulb Weighting'!$B$2:$C$17,MATCH(RIGHT('SC-New'!$D74,LEN($D111)-7),'Bulb Weighting'!$B$3:$B$17,0)+1,2)</f>
        <v>9.1885417536991476E-2</v>
      </c>
      <c r="Z111" s="32"/>
      <c r="AA111" s="32">
        <f t="shared" si="39"/>
        <v>2.0324982406339516E-2</v>
      </c>
      <c r="AB111" s="37"/>
      <c r="AC111" s="84"/>
    </row>
    <row r="112" spans="1:29" customFormat="1">
      <c r="A112" s="89">
        <f t="shared" si="30"/>
        <v>14.492020906444102</v>
      </c>
      <c r="B112" s="71">
        <f t="shared" si="31"/>
        <v>-3.5286913755547569</v>
      </c>
      <c r="C112" s="1" t="s">
        <v>33</v>
      </c>
      <c r="D112" t="s">
        <v>718</v>
      </c>
      <c r="E112" s="37">
        <f>VLOOKUP($C112,$D$60:$Z$63,E$32,FALSE)*$D$79*$A112/8760/1000*INDEX('Bulb Weighting'!$B$2:$C$17,MATCH(RIGHT('SC-New'!$D75,LEN($D112)-7),'Bulb Weighting'!$B$3:$B$17,0)+1,2)</f>
        <v>4.1997146913561869E-3</v>
      </c>
      <c r="F112" s="37">
        <f>VLOOKUP($C112,$D$60:$Z$63,F$32,FALSE)*$D$79*$A112/8760/1000*INDEX('Bulb Weighting'!$B$2:$C$17,MATCH(RIGHT('SC-New'!$D75,LEN($D112)-7),'Bulb Weighting'!$B$3:$B$17,0)+1,2)</f>
        <v>0</v>
      </c>
      <c r="G112" s="37">
        <f>VLOOKUP($C112,$D$60:$Z$63,G$32,FALSE)*$D$79*$A112/8760/1000*INDEX('Bulb Weighting'!$B$2:$C$17,MATCH(RIGHT('SC-New'!$D75,LEN($D112)-7),'Bulb Weighting'!$B$3:$B$17,0)+1,2)</f>
        <v>0</v>
      </c>
      <c r="H112" s="37">
        <f>VLOOKUP($C112,$D$60:$Z$63,H$32,FALSE)*$D$79*$A112/8760/1000*INDEX('Bulb Weighting'!$B$2:$C$17,MATCH(RIGHT('SC-New'!$D75,LEN($D112)-7),'Bulb Weighting'!$B$3:$B$17,0)+1,2)</f>
        <v>0</v>
      </c>
      <c r="I112" s="37">
        <f>VLOOKUP($C112,$D$60:$Z$63,I$32,FALSE)*$D$79*$A112/8760/1000*INDEX('Bulb Weighting'!$B$2:$C$17,MATCH(RIGHT('SC-New'!$D75,LEN($D112)-7),'Bulb Weighting'!$B$3:$B$17,0)+1,2)</f>
        <v>0</v>
      </c>
      <c r="J112" s="37">
        <f>VLOOKUP($C112,$D$60:$Z$63,J$32,FALSE)*$D$79*$A112/8760/1000*INDEX('Bulb Weighting'!$B$2:$C$17,MATCH(RIGHT('SC-New'!$D75,LEN($D112)-7),'Bulb Weighting'!$B$3:$B$17,0)+1,2)</f>
        <v>0</v>
      </c>
      <c r="K112" s="37">
        <f>VLOOKUP($C112,$D$60:$Z$63,K$32,FALSE)*$D$79*$A112/8760/1000*INDEX('Bulb Weighting'!$B$2:$C$17,MATCH(RIGHT('SC-New'!$D75,LEN($D112)-7),'Bulb Weighting'!$B$3:$B$17,0)+1,2)</f>
        <v>0</v>
      </c>
      <c r="L112" s="37">
        <f>VLOOKUP($C112,$D$60:$Z$63,L$32,FALSE)*$D$79*$A112/8760/1000*INDEX('Bulb Weighting'!$B$2:$C$17,MATCH(RIGHT('SC-New'!$D75,LEN($D112)-7),'Bulb Weighting'!$B$3:$B$17,0)+1,2)</f>
        <v>0</v>
      </c>
      <c r="M112" s="37">
        <f>VLOOKUP($C112,$D$60:$Z$63,M$32,FALSE)*$D$79*$A112/8760/1000*INDEX('Bulb Weighting'!$B$2:$C$17,MATCH(RIGHT('SC-New'!$D75,LEN($D112)-7),'Bulb Weighting'!$B$3:$B$17,0)+1,2)</f>
        <v>0</v>
      </c>
      <c r="N112" s="37">
        <f>VLOOKUP($C112,$D$60:$Z$63,N$32,FALSE)*$D$79*$A112/8760/1000*INDEX('Bulb Weighting'!$B$2:$C$17,MATCH(RIGHT('SC-New'!$D75,LEN($D112)-7),'Bulb Weighting'!$B$3:$B$17,0)+1,2)</f>
        <v>0</v>
      </c>
      <c r="O112" s="37">
        <f>VLOOKUP($C112,$D$60:$Z$63,O$32,FALSE)*$D$79*$A112/8760/1000*INDEX('Bulb Weighting'!$B$2:$C$17,MATCH(RIGHT('SC-New'!$D75,LEN($D112)-7),'Bulb Weighting'!$B$3:$B$17,0)+1,2)</f>
        <v>0</v>
      </c>
      <c r="P112" s="37">
        <f>VLOOKUP($C112,$D$60:$Z$63,P$32,FALSE)*$D$79*$A112/8760/1000*INDEX('Bulb Weighting'!$B$2:$C$17,MATCH(RIGHT('SC-New'!$D75,LEN($D112)-7),'Bulb Weighting'!$B$3:$B$17,0)+1,2)</f>
        <v>0</v>
      </c>
      <c r="Q112" s="37">
        <f>VLOOKUP($C112,$D$60:$Z$63,Q$32,FALSE)*$D$79*$A112/8760/1000*INDEX('Bulb Weighting'!$B$2:$C$17,MATCH(RIGHT('SC-New'!$D75,LEN($D112)-7),'Bulb Weighting'!$B$3:$B$17,0)+1,2)</f>
        <v>0</v>
      </c>
      <c r="R112" s="37">
        <f>VLOOKUP($C112,$D$60:$Z$63,R$32,FALSE)*$D$79*$A112/8760/1000*INDEX('Bulb Weighting'!$B$2:$C$17,MATCH(RIGHT('SC-New'!$D75,LEN($D112)-7),'Bulb Weighting'!$B$3:$B$17,0)+1,2)</f>
        <v>0</v>
      </c>
      <c r="S112" s="37">
        <f>VLOOKUP($C112,$D$60:$Z$63,S$32,FALSE)*$D$79*$A112/8760/1000*INDEX('Bulb Weighting'!$B$2:$C$17,MATCH(RIGHT('SC-New'!$D75,LEN($D112)-7),'Bulb Weighting'!$B$3:$B$17,0)+1,2)</f>
        <v>0</v>
      </c>
      <c r="T112" s="37">
        <f>VLOOKUP($C112,$D$60:$Z$63,T$32,FALSE)*$D$79*$A112/8760/1000*INDEX('Bulb Weighting'!$B$2:$C$17,MATCH(RIGHT('SC-New'!$D75,LEN($D112)-7),'Bulb Weighting'!$B$3:$B$17,0)+1,2)</f>
        <v>0</v>
      </c>
      <c r="U112" s="37">
        <f>VLOOKUP($C112,$D$60:$Z$63,U$32,FALSE)*$D$79*$A112/8760/1000*INDEX('Bulb Weighting'!$B$2:$C$17,MATCH(RIGHT('SC-New'!$D75,LEN($D112)-7),'Bulb Weighting'!$B$3:$B$17,0)+1,2)</f>
        <v>0</v>
      </c>
      <c r="V112" s="37">
        <f>VLOOKUP($C112,$D$60:$Z$63,V$32,FALSE)*$D$79*$A112/8760/1000*INDEX('Bulb Weighting'!$B$2:$C$17,MATCH(RIGHT('SC-New'!$D75,LEN($D112)-7),'Bulb Weighting'!$B$3:$B$17,0)+1,2)</f>
        <v>0</v>
      </c>
      <c r="W112" s="37">
        <f>VLOOKUP($C112,$D$60:$Z$63,W$32,FALSE)*$D$79*$A112/8760/1000*INDEX('Bulb Weighting'!$B$2:$C$17,MATCH(RIGHT('SC-New'!$D75,LEN($D112)-7),'Bulb Weighting'!$B$3:$B$17,0)+1,2)</f>
        <v>0</v>
      </c>
      <c r="X112" s="37">
        <f>VLOOKUP($C112,$D$60:$Z$63,X$32,FALSE)*$D$79*$A112/8760/1000*INDEX('Bulb Weighting'!$B$2:$C$17,MATCH(RIGHT('SC-New'!$D75,LEN($D112)-7),'Bulb Weighting'!$B$3:$B$17,0)+1,2)</f>
        <v>0</v>
      </c>
      <c r="Y112" s="448">
        <f>(VLOOKUP($C112,$D$43:$Z$46,$X$68+3,FALSE)+VLOOKUP($C112,$D$51:$Z$54,$X$68+3,FALSE))*$A112*$D$79/8760/1000*INDEX('Bulb Weighting'!$B$2:$C$17,MATCH(RIGHT('SC-New'!$D75,LEN($D112)-7),'Bulb Weighting'!$B$3:$B$17,0)+1,2)</f>
        <v>1.8986119162943908E-2</v>
      </c>
      <c r="Z112" s="32"/>
      <c r="AA112" s="32">
        <f t="shared" si="39"/>
        <v>4.1997146913561869E-3</v>
      </c>
      <c r="AB112" s="37"/>
      <c r="AC112" s="84"/>
    </row>
    <row r="113" spans="1:29" customFormat="1">
      <c r="A113" s="89">
        <f t="shared" si="30"/>
        <v>7.1768930642853626</v>
      </c>
      <c r="B113" s="71">
        <f t="shared" si="31"/>
        <v>355.22288385759038</v>
      </c>
      <c r="C113" s="1" t="s">
        <v>33</v>
      </c>
      <c r="D113" t="s">
        <v>720</v>
      </c>
      <c r="E113" s="37">
        <f>VLOOKUP($C113,$D$60:$Z$63,E$32,FALSE)*$D$79*$A113/8760/1000*INDEX('Bulb Weighting'!$B$2:$C$17,MATCH(RIGHT('SC-New'!$D76,LEN($D113)-7),'Bulb Weighting'!$B$3:$B$17,0)+1,2)</f>
        <v>4.0861282386283486E-5</v>
      </c>
      <c r="F113" s="37">
        <f>VLOOKUP($C113,$D$60:$Z$63,F$32,FALSE)*$D$79*$A113/8760/1000*INDEX('Bulb Weighting'!$B$2:$C$17,MATCH(RIGHT('SC-New'!$D76,LEN($D113)-7),'Bulb Weighting'!$B$3:$B$17,0)+1,2)</f>
        <v>0</v>
      </c>
      <c r="G113" s="37">
        <f>VLOOKUP($C113,$D$60:$Z$63,G$32,FALSE)*$D$79*$A113/8760/1000*INDEX('Bulb Weighting'!$B$2:$C$17,MATCH(RIGHT('SC-New'!$D76,LEN($D113)-7),'Bulb Weighting'!$B$3:$B$17,0)+1,2)</f>
        <v>0</v>
      </c>
      <c r="H113" s="37">
        <f>VLOOKUP($C113,$D$60:$Z$63,H$32,FALSE)*$D$79*$A113/8760/1000*INDEX('Bulb Weighting'!$B$2:$C$17,MATCH(RIGHT('SC-New'!$D76,LEN($D113)-7),'Bulb Weighting'!$B$3:$B$17,0)+1,2)</f>
        <v>0</v>
      </c>
      <c r="I113" s="37">
        <f>VLOOKUP($C113,$D$60:$Z$63,I$32,FALSE)*$D$79*$A113/8760/1000*INDEX('Bulb Weighting'!$B$2:$C$17,MATCH(RIGHT('SC-New'!$D76,LEN($D113)-7),'Bulb Weighting'!$B$3:$B$17,0)+1,2)</f>
        <v>0</v>
      </c>
      <c r="J113" s="37">
        <f>VLOOKUP($C113,$D$60:$Z$63,J$32,FALSE)*$D$79*$A113/8760/1000*INDEX('Bulb Weighting'!$B$2:$C$17,MATCH(RIGHT('SC-New'!$D76,LEN($D113)-7),'Bulb Weighting'!$B$3:$B$17,0)+1,2)</f>
        <v>0</v>
      </c>
      <c r="K113" s="37">
        <f>VLOOKUP($C113,$D$60:$Z$63,K$32,FALSE)*$D$79*$A113/8760/1000*INDEX('Bulb Weighting'!$B$2:$C$17,MATCH(RIGHT('SC-New'!$D76,LEN($D113)-7),'Bulb Weighting'!$B$3:$B$17,0)+1,2)</f>
        <v>0</v>
      </c>
      <c r="L113" s="37">
        <f>VLOOKUP($C113,$D$60:$Z$63,L$32,FALSE)*$D$79*$A113/8760/1000*INDEX('Bulb Weighting'!$B$2:$C$17,MATCH(RIGHT('SC-New'!$D76,LEN($D113)-7),'Bulb Weighting'!$B$3:$B$17,0)+1,2)</f>
        <v>0</v>
      </c>
      <c r="M113" s="37">
        <f>VLOOKUP($C113,$D$60:$Z$63,M$32,FALSE)*$D$79*$A113/8760/1000*INDEX('Bulb Weighting'!$B$2:$C$17,MATCH(RIGHT('SC-New'!$D76,LEN($D113)-7),'Bulb Weighting'!$B$3:$B$17,0)+1,2)</f>
        <v>0</v>
      </c>
      <c r="N113" s="37">
        <f>VLOOKUP($C113,$D$60:$Z$63,N$32,FALSE)*$D$79*$A113/8760/1000*INDEX('Bulb Weighting'!$B$2:$C$17,MATCH(RIGHT('SC-New'!$D76,LEN($D113)-7),'Bulb Weighting'!$B$3:$B$17,0)+1,2)</f>
        <v>0</v>
      </c>
      <c r="O113" s="37">
        <f>VLOOKUP($C113,$D$60:$Z$63,O$32,FALSE)*$D$79*$A113/8760/1000*INDEX('Bulb Weighting'!$B$2:$C$17,MATCH(RIGHT('SC-New'!$D76,LEN($D113)-7),'Bulb Weighting'!$B$3:$B$17,0)+1,2)</f>
        <v>0</v>
      </c>
      <c r="P113" s="37">
        <f>VLOOKUP($C113,$D$60:$Z$63,P$32,FALSE)*$D$79*$A113/8760/1000*INDEX('Bulb Weighting'!$B$2:$C$17,MATCH(RIGHT('SC-New'!$D76,LEN($D113)-7),'Bulb Weighting'!$B$3:$B$17,0)+1,2)</f>
        <v>0</v>
      </c>
      <c r="Q113" s="37">
        <f>VLOOKUP($C113,$D$60:$Z$63,Q$32,FALSE)*$D$79*$A113/8760/1000*INDEX('Bulb Weighting'!$B$2:$C$17,MATCH(RIGHT('SC-New'!$D76,LEN($D113)-7),'Bulb Weighting'!$B$3:$B$17,0)+1,2)</f>
        <v>0</v>
      </c>
      <c r="R113" s="37">
        <f>VLOOKUP($C113,$D$60:$Z$63,R$32,FALSE)*$D$79*$A113/8760/1000*INDEX('Bulb Weighting'!$B$2:$C$17,MATCH(RIGHT('SC-New'!$D76,LEN($D113)-7),'Bulb Weighting'!$B$3:$B$17,0)+1,2)</f>
        <v>0</v>
      </c>
      <c r="S113" s="37">
        <f>VLOOKUP($C113,$D$60:$Z$63,S$32,FALSE)*$D$79*$A113/8760/1000*INDEX('Bulb Weighting'!$B$2:$C$17,MATCH(RIGHT('SC-New'!$D76,LEN($D113)-7),'Bulb Weighting'!$B$3:$B$17,0)+1,2)</f>
        <v>0</v>
      </c>
      <c r="T113" s="37">
        <f>VLOOKUP($C113,$D$60:$Z$63,T$32,FALSE)*$D$79*$A113/8760/1000*INDEX('Bulb Weighting'!$B$2:$C$17,MATCH(RIGHT('SC-New'!$D76,LEN($D113)-7),'Bulb Weighting'!$B$3:$B$17,0)+1,2)</f>
        <v>0</v>
      </c>
      <c r="U113" s="37">
        <f>VLOOKUP($C113,$D$60:$Z$63,U$32,FALSE)*$D$79*$A113/8760/1000*INDEX('Bulb Weighting'!$B$2:$C$17,MATCH(RIGHT('SC-New'!$D76,LEN($D113)-7),'Bulb Weighting'!$B$3:$B$17,0)+1,2)</f>
        <v>0</v>
      </c>
      <c r="V113" s="37">
        <f>VLOOKUP($C113,$D$60:$Z$63,V$32,FALSE)*$D$79*$A113/8760/1000*INDEX('Bulb Weighting'!$B$2:$C$17,MATCH(RIGHT('SC-New'!$D76,LEN($D113)-7),'Bulb Weighting'!$B$3:$B$17,0)+1,2)</f>
        <v>0</v>
      </c>
      <c r="W113" s="37">
        <f>VLOOKUP($C113,$D$60:$Z$63,W$32,FALSE)*$D$79*$A113/8760/1000*INDEX('Bulb Weighting'!$B$2:$C$17,MATCH(RIGHT('SC-New'!$D76,LEN($D113)-7),'Bulb Weighting'!$B$3:$B$17,0)+1,2)</f>
        <v>0</v>
      </c>
      <c r="X113" s="37">
        <f>VLOOKUP($C113,$D$60:$Z$63,X$32,FALSE)*$D$79*$A113/8760/1000*INDEX('Bulb Weighting'!$B$2:$C$17,MATCH(RIGHT('SC-New'!$D76,LEN($D113)-7),'Bulb Weighting'!$B$3:$B$17,0)+1,2)</f>
        <v>0</v>
      </c>
      <c r="Y113" s="448">
        <f>(VLOOKUP($C113,$D$43:$Z$46,$X$68+3,FALSE)+VLOOKUP($C113,$D$51:$Z$54,$X$68+3,FALSE))*$A113*$D$79/8760/1000*INDEX('Bulb Weighting'!$B$2:$C$17,MATCH(RIGHT('SC-New'!$D76,LEN($D113)-7),'Bulb Weighting'!$B$3:$B$17,0)+1,2)</f>
        <v>1.847261620255818E-4</v>
      </c>
      <c r="Z113" s="32"/>
      <c r="AA113" s="32">
        <f>SUM(E113:X113)</f>
        <v>4.0861282386283486E-5</v>
      </c>
      <c r="AB113" s="37"/>
      <c r="AC113" s="84"/>
    </row>
    <row r="114" spans="1:29" customFormat="1">
      <c r="A114" s="89">
        <f t="shared" si="30"/>
        <v>1.835623194306955</v>
      </c>
      <c r="B114" s="71">
        <f t="shared" si="31"/>
        <v>45.354656455601045</v>
      </c>
      <c r="C114" s="1" t="s">
        <v>33</v>
      </c>
      <c r="D114" t="s">
        <v>722</v>
      </c>
      <c r="E114" s="37">
        <f>VLOOKUP($C114,$D$60:$Z$63,E$32,FALSE)*$D$79*$A114/8760/1000*INDEX('Bulb Weighting'!$B$2:$C$17,MATCH(RIGHT('SC-New'!$D77,LEN($D114)-7),'Bulb Weighting'!$B$3:$B$17,0)+1,2)</f>
        <v>1.6195875747096948E-3</v>
      </c>
      <c r="F114" s="37">
        <f>VLOOKUP($C114,$D$60:$Z$63,F$32,FALSE)*$D$79*$A114/8760/1000*INDEX('Bulb Weighting'!$B$2:$C$17,MATCH(RIGHT('SC-New'!$D77,LEN($D114)-7),'Bulb Weighting'!$B$3:$B$17,0)+1,2)</f>
        <v>0</v>
      </c>
      <c r="G114" s="37">
        <f>VLOOKUP($C114,$D$60:$Z$63,G$32,FALSE)*$D$79*$A114/8760/1000*INDEX('Bulb Weighting'!$B$2:$C$17,MATCH(RIGHT('SC-New'!$D77,LEN($D114)-7),'Bulb Weighting'!$B$3:$B$17,0)+1,2)</f>
        <v>0</v>
      </c>
      <c r="H114" s="37">
        <f>VLOOKUP($C114,$D$60:$Z$63,H$32,FALSE)*$D$79*$A114/8760/1000*INDEX('Bulb Weighting'!$B$2:$C$17,MATCH(RIGHT('SC-New'!$D77,LEN($D114)-7),'Bulb Weighting'!$B$3:$B$17,0)+1,2)</f>
        <v>0</v>
      </c>
      <c r="I114" s="37">
        <f>VLOOKUP($C114,$D$60:$Z$63,I$32,FALSE)*$D$79*$A114/8760/1000*INDEX('Bulb Weighting'!$B$2:$C$17,MATCH(RIGHT('SC-New'!$D77,LEN($D114)-7),'Bulb Weighting'!$B$3:$B$17,0)+1,2)</f>
        <v>0</v>
      </c>
      <c r="J114" s="37">
        <f>VLOOKUP($C114,$D$60:$Z$63,J$32,FALSE)*$D$79*$A114/8760/1000*INDEX('Bulb Weighting'!$B$2:$C$17,MATCH(RIGHT('SC-New'!$D77,LEN($D114)-7),'Bulb Weighting'!$B$3:$B$17,0)+1,2)</f>
        <v>0</v>
      </c>
      <c r="K114" s="37">
        <f>VLOOKUP($C114,$D$60:$Z$63,K$32,FALSE)*$D$79*$A114/8760/1000*INDEX('Bulb Weighting'!$B$2:$C$17,MATCH(RIGHT('SC-New'!$D77,LEN($D114)-7),'Bulb Weighting'!$B$3:$B$17,0)+1,2)</f>
        <v>0</v>
      </c>
      <c r="L114" s="37">
        <f>VLOOKUP($C114,$D$60:$Z$63,L$32,FALSE)*$D$79*$A114/8760/1000*INDEX('Bulb Weighting'!$B$2:$C$17,MATCH(RIGHT('SC-New'!$D77,LEN($D114)-7),'Bulb Weighting'!$B$3:$B$17,0)+1,2)</f>
        <v>0</v>
      </c>
      <c r="M114" s="37">
        <f>VLOOKUP($C114,$D$60:$Z$63,M$32,FALSE)*$D$79*$A114/8760/1000*INDEX('Bulb Weighting'!$B$2:$C$17,MATCH(RIGHT('SC-New'!$D77,LEN($D114)-7),'Bulb Weighting'!$B$3:$B$17,0)+1,2)</f>
        <v>0</v>
      </c>
      <c r="N114" s="37">
        <f>VLOOKUP($C114,$D$60:$Z$63,N$32,FALSE)*$D$79*$A114/8760/1000*INDEX('Bulb Weighting'!$B$2:$C$17,MATCH(RIGHT('SC-New'!$D77,LEN($D114)-7),'Bulb Weighting'!$B$3:$B$17,0)+1,2)</f>
        <v>0</v>
      </c>
      <c r="O114" s="37">
        <f>VLOOKUP($C114,$D$60:$Z$63,O$32,FALSE)*$D$79*$A114/8760/1000*INDEX('Bulb Weighting'!$B$2:$C$17,MATCH(RIGHT('SC-New'!$D77,LEN($D114)-7),'Bulb Weighting'!$B$3:$B$17,0)+1,2)</f>
        <v>0</v>
      </c>
      <c r="P114" s="37">
        <f>VLOOKUP($C114,$D$60:$Z$63,P$32,FALSE)*$D$79*$A114/8760/1000*INDEX('Bulb Weighting'!$B$2:$C$17,MATCH(RIGHT('SC-New'!$D77,LEN($D114)-7),'Bulb Weighting'!$B$3:$B$17,0)+1,2)</f>
        <v>0</v>
      </c>
      <c r="Q114" s="37">
        <f>VLOOKUP($C114,$D$60:$Z$63,Q$32,FALSE)*$D$79*$A114/8760/1000*INDEX('Bulb Weighting'!$B$2:$C$17,MATCH(RIGHT('SC-New'!$D77,LEN($D114)-7),'Bulb Weighting'!$B$3:$B$17,0)+1,2)</f>
        <v>0</v>
      </c>
      <c r="R114" s="37">
        <f>VLOOKUP($C114,$D$60:$Z$63,R$32,FALSE)*$D$79*$A114/8760/1000*INDEX('Bulb Weighting'!$B$2:$C$17,MATCH(RIGHT('SC-New'!$D77,LEN($D114)-7),'Bulb Weighting'!$B$3:$B$17,0)+1,2)</f>
        <v>0</v>
      </c>
      <c r="S114" s="37">
        <f>VLOOKUP($C114,$D$60:$Z$63,S$32,FALSE)*$D$79*$A114/8760/1000*INDEX('Bulb Weighting'!$B$2:$C$17,MATCH(RIGHT('SC-New'!$D77,LEN($D114)-7),'Bulb Weighting'!$B$3:$B$17,0)+1,2)</f>
        <v>0</v>
      </c>
      <c r="T114" s="37">
        <f>VLOOKUP($C114,$D$60:$Z$63,T$32,FALSE)*$D$79*$A114/8760/1000*INDEX('Bulb Weighting'!$B$2:$C$17,MATCH(RIGHT('SC-New'!$D77,LEN($D114)-7),'Bulb Weighting'!$B$3:$B$17,0)+1,2)</f>
        <v>0</v>
      </c>
      <c r="U114" s="37">
        <f>VLOOKUP($C114,$D$60:$Z$63,U$32,FALSE)*$D$79*$A114/8760/1000*INDEX('Bulb Weighting'!$B$2:$C$17,MATCH(RIGHT('SC-New'!$D77,LEN($D114)-7),'Bulb Weighting'!$B$3:$B$17,0)+1,2)</f>
        <v>0</v>
      </c>
      <c r="V114" s="37">
        <f>VLOOKUP($C114,$D$60:$Z$63,V$32,FALSE)*$D$79*$A114/8760/1000*INDEX('Bulb Weighting'!$B$2:$C$17,MATCH(RIGHT('SC-New'!$D77,LEN($D114)-7),'Bulb Weighting'!$B$3:$B$17,0)+1,2)</f>
        <v>0</v>
      </c>
      <c r="W114" s="37">
        <f>VLOOKUP($C114,$D$60:$Z$63,W$32,FALSE)*$D$79*$A114/8760/1000*INDEX('Bulb Weighting'!$B$2:$C$17,MATCH(RIGHT('SC-New'!$D77,LEN($D114)-7),'Bulb Weighting'!$B$3:$B$17,0)+1,2)</f>
        <v>0</v>
      </c>
      <c r="X114" s="37">
        <f>VLOOKUP($C114,$D$60:$Z$63,X$32,FALSE)*$D$79*$A114/8760/1000*INDEX('Bulb Weighting'!$B$2:$C$17,MATCH(RIGHT('SC-New'!$D77,LEN($D114)-7),'Bulb Weighting'!$B$3:$B$17,0)+1,2)</f>
        <v>0</v>
      </c>
      <c r="Y114" s="448">
        <f>(VLOOKUP($C114,$D$43:$Z$46,$X$68+3,FALSE)+VLOOKUP($C114,$D$51:$Z$54,$X$68+3,FALSE))*$A114*$D$79/8760/1000*INDEX('Bulb Weighting'!$B$2:$C$17,MATCH(RIGHT('SC-New'!$D77,LEN($D114)-7),'Bulb Weighting'!$B$3:$B$17,0)+1,2)</f>
        <v>7.3218503989212159E-3</v>
      </c>
      <c r="Z114" s="32"/>
      <c r="AA114" s="447">
        <f t="shared" ref="AA114:AA116" si="40">SUM(E114:X114)</f>
        <v>1.6195875747096948E-3</v>
      </c>
      <c r="AB114" s="37"/>
      <c r="AC114" s="84"/>
    </row>
    <row r="115" spans="1:29" customFormat="1">
      <c r="A115" s="89">
        <f t="shared" si="30"/>
        <v>7.1645689261628798</v>
      </c>
      <c r="B115" s="71">
        <f t="shared" si="31"/>
        <v>56.611757463143533</v>
      </c>
      <c r="C115" s="1" t="s">
        <v>33</v>
      </c>
      <c r="D115" t="s">
        <v>724</v>
      </c>
      <c r="E115" s="37">
        <f>VLOOKUP($C115,$D$60:$Z$63,E$32,FALSE)*$D$79*$A115/8760/1000*INDEX('Bulb Weighting'!$B$2:$C$17,MATCH(RIGHT('SC-New'!$D78,LEN($D115)-7),'Bulb Weighting'!$B$3:$B$17,0)+1,2)</f>
        <v>4.8778591146441654E-2</v>
      </c>
      <c r="F115" s="37">
        <f>VLOOKUP($C115,$D$60:$Z$63,F$32,FALSE)*$D$79*$A115/8760/1000*INDEX('Bulb Weighting'!$B$2:$C$17,MATCH(RIGHT('SC-New'!$D78,LEN($D115)-7),'Bulb Weighting'!$B$3:$B$17,0)+1,2)</f>
        <v>0</v>
      </c>
      <c r="G115" s="37">
        <f>VLOOKUP($C115,$D$60:$Z$63,G$32,FALSE)*$D$79*$A115/8760/1000*INDEX('Bulb Weighting'!$B$2:$C$17,MATCH(RIGHT('SC-New'!$D78,LEN($D115)-7),'Bulb Weighting'!$B$3:$B$17,0)+1,2)</f>
        <v>0</v>
      </c>
      <c r="H115" s="37">
        <f>VLOOKUP($C115,$D$60:$Z$63,H$32,FALSE)*$D$79*$A115/8760/1000*INDEX('Bulb Weighting'!$B$2:$C$17,MATCH(RIGHT('SC-New'!$D78,LEN($D115)-7),'Bulb Weighting'!$B$3:$B$17,0)+1,2)</f>
        <v>0</v>
      </c>
      <c r="I115" s="37">
        <f>VLOOKUP($C115,$D$60:$Z$63,I$32,FALSE)*$D$79*$A115/8760/1000*INDEX('Bulb Weighting'!$B$2:$C$17,MATCH(RIGHT('SC-New'!$D78,LEN($D115)-7),'Bulb Weighting'!$B$3:$B$17,0)+1,2)</f>
        <v>0</v>
      </c>
      <c r="J115" s="37">
        <f>VLOOKUP($C115,$D$60:$Z$63,J$32,FALSE)*$D$79*$A115/8760/1000*INDEX('Bulb Weighting'!$B$2:$C$17,MATCH(RIGHT('SC-New'!$D78,LEN($D115)-7),'Bulb Weighting'!$B$3:$B$17,0)+1,2)</f>
        <v>0</v>
      </c>
      <c r="K115" s="37">
        <f>VLOOKUP($C115,$D$60:$Z$63,K$32,FALSE)*$D$79*$A115/8760/1000*INDEX('Bulb Weighting'!$B$2:$C$17,MATCH(RIGHT('SC-New'!$D78,LEN($D115)-7),'Bulb Weighting'!$B$3:$B$17,0)+1,2)</f>
        <v>0</v>
      </c>
      <c r="L115" s="37">
        <f>VLOOKUP($C115,$D$60:$Z$63,L$32,FALSE)*$D$79*$A115/8760/1000*INDEX('Bulb Weighting'!$B$2:$C$17,MATCH(RIGHT('SC-New'!$D78,LEN($D115)-7),'Bulb Weighting'!$B$3:$B$17,0)+1,2)</f>
        <v>0</v>
      </c>
      <c r="M115" s="37">
        <f>VLOOKUP($C115,$D$60:$Z$63,M$32,FALSE)*$D$79*$A115/8760/1000*INDEX('Bulb Weighting'!$B$2:$C$17,MATCH(RIGHT('SC-New'!$D78,LEN($D115)-7),'Bulb Weighting'!$B$3:$B$17,0)+1,2)</f>
        <v>0</v>
      </c>
      <c r="N115" s="37">
        <f>VLOOKUP($C115,$D$60:$Z$63,N$32,FALSE)*$D$79*$A115/8760/1000*INDEX('Bulb Weighting'!$B$2:$C$17,MATCH(RIGHT('SC-New'!$D78,LEN($D115)-7),'Bulb Weighting'!$B$3:$B$17,0)+1,2)</f>
        <v>0</v>
      </c>
      <c r="O115" s="37">
        <f>VLOOKUP($C115,$D$60:$Z$63,O$32,FALSE)*$D$79*$A115/8760/1000*INDEX('Bulb Weighting'!$B$2:$C$17,MATCH(RIGHT('SC-New'!$D78,LEN($D115)-7),'Bulb Weighting'!$B$3:$B$17,0)+1,2)</f>
        <v>0</v>
      </c>
      <c r="P115" s="37">
        <f>VLOOKUP($C115,$D$60:$Z$63,P$32,FALSE)*$D$79*$A115/8760/1000*INDEX('Bulb Weighting'!$B$2:$C$17,MATCH(RIGHT('SC-New'!$D78,LEN($D115)-7),'Bulb Weighting'!$B$3:$B$17,0)+1,2)</f>
        <v>0</v>
      </c>
      <c r="Q115" s="37">
        <f>VLOOKUP($C115,$D$60:$Z$63,Q$32,FALSE)*$D$79*$A115/8760/1000*INDEX('Bulb Weighting'!$B$2:$C$17,MATCH(RIGHT('SC-New'!$D78,LEN($D115)-7),'Bulb Weighting'!$B$3:$B$17,0)+1,2)</f>
        <v>0</v>
      </c>
      <c r="R115" s="37">
        <f>VLOOKUP($C115,$D$60:$Z$63,R$32,FALSE)*$D$79*$A115/8760/1000*INDEX('Bulb Weighting'!$B$2:$C$17,MATCH(RIGHT('SC-New'!$D78,LEN($D115)-7),'Bulb Weighting'!$B$3:$B$17,0)+1,2)</f>
        <v>0</v>
      </c>
      <c r="S115" s="37">
        <f>VLOOKUP($C115,$D$60:$Z$63,S$32,FALSE)*$D$79*$A115/8760/1000*INDEX('Bulb Weighting'!$B$2:$C$17,MATCH(RIGHT('SC-New'!$D78,LEN($D115)-7),'Bulb Weighting'!$B$3:$B$17,0)+1,2)</f>
        <v>0</v>
      </c>
      <c r="T115" s="37">
        <f>VLOOKUP($C115,$D$60:$Z$63,T$32,FALSE)*$D$79*$A115/8760/1000*INDEX('Bulb Weighting'!$B$2:$C$17,MATCH(RIGHT('SC-New'!$D78,LEN($D115)-7),'Bulb Weighting'!$B$3:$B$17,0)+1,2)</f>
        <v>0</v>
      </c>
      <c r="U115" s="37">
        <f>VLOOKUP($C115,$D$60:$Z$63,U$32,FALSE)*$D$79*$A115/8760/1000*INDEX('Bulb Weighting'!$B$2:$C$17,MATCH(RIGHT('SC-New'!$D78,LEN($D115)-7),'Bulb Weighting'!$B$3:$B$17,0)+1,2)</f>
        <v>0</v>
      </c>
      <c r="V115" s="37">
        <f>VLOOKUP($C115,$D$60:$Z$63,V$32,FALSE)*$D$79*$A115/8760/1000*INDEX('Bulb Weighting'!$B$2:$C$17,MATCH(RIGHT('SC-New'!$D78,LEN($D115)-7),'Bulb Weighting'!$B$3:$B$17,0)+1,2)</f>
        <v>0</v>
      </c>
      <c r="W115" s="37">
        <f>VLOOKUP($C115,$D$60:$Z$63,W$32,FALSE)*$D$79*$A115/8760/1000*INDEX('Bulb Weighting'!$B$2:$C$17,MATCH(RIGHT('SC-New'!$D78,LEN($D115)-7),'Bulb Weighting'!$B$3:$B$17,0)+1,2)</f>
        <v>0</v>
      </c>
      <c r="X115" s="37">
        <f>VLOOKUP($C115,$D$60:$Z$63,X$32,FALSE)*$D$79*$A115/8760/1000*INDEX('Bulb Weighting'!$B$2:$C$17,MATCH(RIGHT('SC-New'!$D78,LEN($D115)-7),'Bulb Weighting'!$B$3:$B$17,0)+1,2)</f>
        <v>0</v>
      </c>
      <c r="Y115" s="448">
        <f>(VLOOKUP($C115,$D$43:$Z$46,$X$68+3,FALSE)+VLOOKUP($C115,$D$51:$Z$54,$X$68+3,FALSE))*$A115*$D$79/8760/1000*INDEX('Bulb Weighting'!$B$2:$C$17,MATCH(RIGHT('SC-New'!$D78,LEN($D115)-7),'Bulb Weighting'!$B$3:$B$17,0)+1,2)</f>
        <v>0.22051882381748111</v>
      </c>
      <c r="Z115" s="32"/>
      <c r="AA115" s="447">
        <f t="shared" si="40"/>
        <v>4.8778591146441654E-2</v>
      </c>
      <c r="AB115" s="37"/>
      <c r="AC115" s="84"/>
    </row>
    <row r="116" spans="1:29" customFormat="1">
      <c r="A116" s="89">
        <f t="shared" si="30"/>
        <v>13.386672313322151</v>
      </c>
      <c r="B116" s="71">
        <f t="shared" si="31"/>
        <v>91.063681093838966</v>
      </c>
      <c r="C116" s="1" t="s">
        <v>33</v>
      </c>
      <c r="D116" t="s">
        <v>726</v>
      </c>
      <c r="E116" s="37">
        <f>VLOOKUP($C116,$D$60:$Z$63,E$32,FALSE)*$D$79*$A116/8760/1000*INDEX('Bulb Weighting'!$B$2:$C$17,MATCH(RIGHT('SC-New'!$D79,LEN($D116)-7),'Bulb Weighting'!$B$3:$B$17,0)+1,2)</f>
        <v>9.0868333505912235E-3</v>
      </c>
      <c r="F116" s="37">
        <f>VLOOKUP($C116,$D$60:$Z$63,F$32,FALSE)*$D$79*$A116/8760/1000*INDEX('Bulb Weighting'!$B$2:$C$17,MATCH(RIGHT('SC-New'!$D79,LEN($D116)-7),'Bulb Weighting'!$B$3:$B$17,0)+1,2)</f>
        <v>0</v>
      </c>
      <c r="G116" s="37">
        <f>VLOOKUP($C116,$D$60:$Z$63,G$32,FALSE)*$D$79*$A116/8760/1000*INDEX('Bulb Weighting'!$B$2:$C$17,MATCH(RIGHT('SC-New'!$D79,LEN($D116)-7),'Bulb Weighting'!$B$3:$B$17,0)+1,2)</f>
        <v>0</v>
      </c>
      <c r="H116" s="37">
        <f>VLOOKUP($C116,$D$60:$Z$63,H$32,FALSE)*$D$79*$A116/8760/1000*INDEX('Bulb Weighting'!$B$2:$C$17,MATCH(RIGHT('SC-New'!$D79,LEN($D116)-7),'Bulb Weighting'!$B$3:$B$17,0)+1,2)</f>
        <v>0</v>
      </c>
      <c r="I116" s="37">
        <f>VLOOKUP($C116,$D$60:$Z$63,I$32,FALSE)*$D$79*$A116/8760/1000*INDEX('Bulb Weighting'!$B$2:$C$17,MATCH(RIGHT('SC-New'!$D79,LEN($D116)-7),'Bulb Weighting'!$B$3:$B$17,0)+1,2)</f>
        <v>0</v>
      </c>
      <c r="J116" s="37">
        <f>VLOOKUP($C116,$D$60:$Z$63,J$32,FALSE)*$D$79*$A116/8760/1000*INDEX('Bulb Weighting'!$B$2:$C$17,MATCH(RIGHT('SC-New'!$D79,LEN($D116)-7),'Bulb Weighting'!$B$3:$B$17,0)+1,2)</f>
        <v>0</v>
      </c>
      <c r="K116" s="37">
        <f>VLOOKUP($C116,$D$60:$Z$63,K$32,FALSE)*$D$79*$A116/8760/1000*INDEX('Bulb Weighting'!$B$2:$C$17,MATCH(RIGHT('SC-New'!$D79,LEN($D116)-7),'Bulb Weighting'!$B$3:$B$17,0)+1,2)</f>
        <v>0</v>
      </c>
      <c r="L116" s="37">
        <f>VLOOKUP($C116,$D$60:$Z$63,L$32,FALSE)*$D$79*$A116/8760/1000*INDEX('Bulb Weighting'!$B$2:$C$17,MATCH(RIGHT('SC-New'!$D79,LEN($D116)-7),'Bulb Weighting'!$B$3:$B$17,0)+1,2)</f>
        <v>0</v>
      </c>
      <c r="M116" s="37">
        <f>VLOOKUP($C116,$D$60:$Z$63,M$32,FALSE)*$D$79*$A116/8760/1000*INDEX('Bulb Weighting'!$B$2:$C$17,MATCH(RIGHT('SC-New'!$D79,LEN($D116)-7),'Bulb Weighting'!$B$3:$B$17,0)+1,2)</f>
        <v>0</v>
      </c>
      <c r="N116" s="37">
        <f>VLOOKUP($C116,$D$60:$Z$63,N$32,FALSE)*$D$79*$A116/8760/1000*INDEX('Bulb Weighting'!$B$2:$C$17,MATCH(RIGHT('SC-New'!$D79,LEN($D116)-7),'Bulb Weighting'!$B$3:$B$17,0)+1,2)</f>
        <v>0</v>
      </c>
      <c r="O116" s="37">
        <f>VLOOKUP($C116,$D$60:$Z$63,O$32,FALSE)*$D$79*$A116/8760/1000*INDEX('Bulb Weighting'!$B$2:$C$17,MATCH(RIGHT('SC-New'!$D79,LEN($D116)-7),'Bulb Weighting'!$B$3:$B$17,0)+1,2)</f>
        <v>0</v>
      </c>
      <c r="P116" s="37">
        <f>VLOOKUP($C116,$D$60:$Z$63,P$32,FALSE)*$D$79*$A116/8760/1000*INDEX('Bulb Weighting'!$B$2:$C$17,MATCH(RIGHT('SC-New'!$D79,LEN($D116)-7),'Bulb Weighting'!$B$3:$B$17,0)+1,2)</f>
        <v>0</v>
      </c>
      <c r="Q116" s="37">
        <f>VLOOKUP($C116,$D$60:$Z$63,Q$32,FALSE)*$D$79*$A116/8760/1000*INDEX('Bulb Weighting'!$B$2:$C$17,MATCH(RIGHT('SC-New'!$D79,LEN($D116)-7),'Bulb Weighting'!$B$3:$B$17,0)+1,2)</f>
        <v>0</v>
      </c>
      <c r="R116" s="37">
        <f>VLOOKUP($C116,$D$60:$Z$63,R$32,FALSE)*$D$79*$A116/8760/1000*INDEX('Bulb Weighting'!$B$2:$C$17,MATCH(RIGHT('SC-New'!$D79,LEN($D116)-7),'Bulb Weighting'!$B$3:$B$17,0)+1,2)</f>
        <v>0</v>
      </c>
      <c r="S116" s="37">
        <f>VLOOKUP($C116,$D$60:$Z$63,S$32,FALSE)*$D$79*$A116/8760/1000*INDEX('Bulb Weighting'!$B$2:$C$17,MATCH(RIGHT('SC-New'!$D79,LEN($D116)-7),'Bulb Weighting'!$B$3:$B$17,0)+1,2)</f>
        <v>0</v>
      </c>
      <c r="T116" s="37">
        <f>VLOOKUP($C116,$D$60:$Z$63,T$32,FALSE)*$D$79*$A116/8760/1000*INDEX('Bulb Weighting'!$B$2:$C$17,MATCH(RIGHT('SC-New'!$D79,LEN($D116)-7),'Bulb Weighting'!$B$3:$B$17,0)+1,2)</f>
        <v>0</v>
      </c>
      <c r="U116" s="37">
        <f>VLOOKUP($C116,$D$60:$Z$63,U$32,FALSE)*$D$79*$A116/8760/1000*INDEX('Bulb Weighting'!$B$2:$C$17,MATCH(RIGHT('SC-New'!$D79,LEN($D116)-7),'Bulb Weighting'!$B$3:$B$17,0)+1,2)</f>
        <v>0</v>
      </c>
      <c r="V116" s="37">
        <f>VLOOKUP($C116,$D$60:$Z$63,V$32,FALSE)*$D$79*$A116/8760/1000*INDEX('Bulb Weighting'!$B$2:$C$17,MATCH(RIGHT('SC-New'!$D79,LEN($D116)-7),'Bulb Weighting'!$B$3:$B$17,0)+1,2)</f>
        <v>0</v>
      </c>
      <c r="W116" s="37">
        <f>VLOOKUP($C116,$D$60:$Z$63,W$32,FALSE)*$D$79*$A116/8760/1000*INDEX('Bulb Weighting'!$B$2:$C$17,MATCH(RIGHT('SC-New'!$D79,LEN($D116)-7),'Bulb Weighting'!$B$3:$B$17,0)+1,2)</f>
        <v>0</v>
      </c>
      <c r="X116" s="37">
        <f>VLOOKUP($C116,$D$60:$Z$63,X$32,FALSE)*$D$79*$A116/8760/1000*INDEX('Bulb Weighting'!$B$2:$C$17,MATCH(RIGHT('SC-New'!$D79,LEN($D116)-7),'Bulb Weighting'!$B$3:$B$17,0)+1,2)</f>
        <v>0</v>
      </c>
      <c r="Y116" s="448">
        <f>(VLOOKUP($C116,$D$43:$Z$46,$X$68+3,FALSE)+VLOOKUP($C116,$D$51:$Z$54,$X$68+3,FALSE))*$A116*$D$79/8760/1000*INDEX('Bulb Weighting'!$B$2:$C$17,MATCH(RIGHT('SC-New'!$D79,LEN($D116)-7),'Bulb Weighting'!$B$3:$B$17,0)+1,2)</f>
        <v>4.1079862201883498E-2</v>
      </c>
      <c r="Z116" s="32"/>
      <c r="AA116" s="447">
        <f t="shared" si="40"/>
        <v>9.0868333505912235E-3</v>
      </c>
      <c r="AB116" s="37"/>
      <c r="AC116" s="84"/>
    </row>
    <row r="117" spans="1:29" customFormat="1">
      <c r="A117" s="89">
        <f t="shared" si="30"/>
        <v>14.33449498481688</v>
      </c>
      <c r="B117" s="71">
        <f t="shared" si="31"/>
        <v>-37.397069706053522</v>
      </c>
      <c r="C117" s="1" t="s">
        <v>33</v>
      </c>
      <c r="D117" t="s">
        <v>728</v>
      </c>
      <c r="E117" s="37">
        <f>VLOOKUP($C117,$D$60:$Z$63,E$32,FALSE)*$D$79*$A117/8760/1000*INDEX('Bulb Weighting'!$B$2:$C$17,MATCH(RIGHT('SC-New'!$D80,LEN($D117)-7),'Bulb Weighting'!$B$3:$B$17,0)+1,2)</f>
        <v>8.3161788710933975E-3</v>
      </c>
      <c r="F117" s="37">
        <f>VLOOKUP($C117,$D$60:$Z$63,F$32,FALSE)*$D$79*$A117/8760/1000*INDEX('Bulb Weighting'!$B$2:$C$17,MATCH(RIGHT('SC-New'!$D80,LEN($D117)-7),'Bulb Weighting'!$B$3:$B$17,0)+1,2)</f>
        <v>0</v>
      </c>
      <c r="G117" s="37">
        <f>VLOOKUP($C117,$D$60:$Z$63,G$32,FALSE)*$D$79*$A117/8760/1000*INDEX('Bulb Weighting'!$B$2:$C$17,MATCH(RIGHT('SC-New'!$D80,LEN($D117)-7),'Bulb Weighting'!$B$3:$B$17,0)+1,2)</f>
        <v>0</v>
      </c>
      <c r="H117" s="37">
        <f>VLOOKUP($C117,$D$60:$Z$63,H$32,FALSE)*$D$79*$A117/8760/1000*INDEX('Bulb Weighting'!$B$2:$C$17,MATCH(RIGHT('SC-New'!$D80,LEN($D117)-7),'Bulb Weighting'!$B$3:$B$17,0)+1,2)</f>
        <v>0</v>
      </c>
      <c r="I117" s="37">
        <f>VLOOKUP($C117,$D$60:$Z$63,I$32,FALSE)*$D$79*$A117/8760/1000*INDEX('Bulb Weighting'!$B$2:$C$17,MATCH(RIGHT('SC-New'!$D80,LEN($D117)-7),'Bulb Weighting'!$B$3:$B$17,0)+1,2)</f>
        <v>0</v>
      </c>
      <c r="J117" s="37">
        <f>VLOOKUP($C117,$D$60:$Z$63,J$32,FALSE)*$D$79*$A117/8760/1000*INDEX('Bulb Weighting'!$B$2:$C$17,MATCH(RIGHT('SC-New'!$D80,LEN($D117)-7),'Bulb Weighting'!$B$3:$B$17,0)+1,2)</f>
        <v>0</v>
      </c>
      <c r="K117" s="37">
        <f>VLOOKUP($C117,$D$60:$Z$63,K$32,FALSE)*$D$79*$A117/8760/1000*INDEX('Bulb Weighting'!$B$2:$C$17,MATCH(RIGHT('SC-New'!$D80,LEN($D117)-7),'Bulb Weighting'!$B$3:$B$17,0)+1,2)</f>
        <v>0</v>
      </c>
      <c r="L117" s="37">
        <f>VLOOKUP($C117,$D$60:$Z$63,L$32,FALSE)*$D$79*$A117/8760/1000*INDEX('Bulb Weighting'!$B$2:$C$17,MATCH(RIGHT('SC-New'!$D80,LEN($D117)-7),'Bulb Weighting'!$B$3:$B$17,0)+1,2)</f>
        <v>0</v>
      </c>
      <c r="M117" s="37">
        <f>VLOOKUP($C117,$D$60:$Z$63,M$32,FALSE)*$D$79*$A117/8760/1000*INDEX('Bulb Weighting'!$B$2:$C$17,MATCH(RIGHT('SC-New'!$D80,LEN($D117)-7),'Bulb Weighting'!$B$3:$B$17,0)+1,2)</f>
        <v>0</v>
      </c>
      <c r="N117" s="37">
        <f>VLOOKUP($C117,$D$60:$Z$63,N$32,FALSE)*$D$79*$A117/8760/1000*INDEX('Bulb Weighting'!$B$2:$C$17,MATCH(RIGHT('SC-New'!$D80,LEN($D117)-7),'Bulb Weighting'!$B$3:$B$17,0)+1,2)</f>
        <v>0</v>
      </c>
      <c r="O117" s="37">
        <f>VLOOKUP($C117,$D$60:$Z$63,O$32,FALSE)*$D$79*$A117/8760/1000*INDEX('Bulb Weighting'!$B$2:$C$17,MATCH(RIGHT('SC-New'!$D80,LEN($D117)-7),'Bulb Weighting'!$B$3:$B$17,0)+1,2)</f>
        <v>0</v>
      </c>
      <c r="P117" s="37">
        <f>VLOOKUP($C117,$D$60:$Z$63,P$32,FALSE)*$D$79*$A117/8760/1000*INDEX('Bulb Weighting'!$B$2:$C$17,MATCH(RIGHT('SC-New'!$D80,LEN($D117)-7),'Bulb Weighting'!$B$3:$B$17,0)+1,2)</f>
        <v>0</v>
      </c>
      <c r="Q117" s="37">
        <f>VLOOKUP($C117,$D$60:$Z$63,Q$32,FALSE)*$D$79*$A117/8760/1000*INDEX('Bulb Weighting'!$B$2:$C$17,MATCH(RIGHT('SC-New'!$D80,LEN($D117)-7),'Bulb Weighting'!$B$3:$B$17,0)+1,2)</f>
        <v>0</v>
      </c>
      <c r="R117" s="37">
        <f>VLOOKUP($C117,$D$60:$Z$63,R$32,FALSE)*$D$79*$A117/8760/1000*INDEX('Bulb Weighting'!$B$2:$C$17,MATCH(RIGHT('SC-New'!$D80,LEN($D117)-7),'Bulb Weighting'!$B$3:$B$17,0)+1,2)</f>
        <v>0</v>
      </c>
      <c r="S117" s="37">
        <f>VLOOKUP($C117,$D$60:$Z$63,S$32,FALSE)*$D$79*$A117/8760/1000*INDEX('Bulb Weighting'!$B$2:$C$17,MATCH(RIGHT('SC-New'!$D80,LEN($D117)-7),'Bulb Weighting'!$B$3:$B$17,0)+1,2)</f>
        <v>0</v>
      </c>
      <c r="T117" s="37">
        <f>VLOOKUP($C117,$D$60:$Z$63,T$32,FALSE)*$D$79*$A117/8760/1000*INDEX('Bulb Weighting'!$B$2:$C$17,MATCH(RIGHT('SC-New'!$D80,LEN($D117)-7),'Bulb Weighting'!$B$3:$B$17,0)+1,2)</f>
        <v>0</v>
      </c>
      <c r="U117" s="37">
        <f>VLOOKUP($C117,$D$60:$Z$63,U$32,FALSE)*$D$79*$A117/8760/1000*INDEX('Bulb Weighting'!$B$2:$C$17,MATCH(RIGHT('SC-New'!$D80,LEN($D117)-7),'Bulb Weighting'!$B$3:$B$17,0)+1,2)</f>
        <v>0</v>
      </c>
      <c r="V117" s="37">
        <f>VLOOKUP($C117,$D$60:$Z$63,V$32,FALSE)*$D$79*$A117/8760/1000*INDEX('Bulb Weighting'!$B$2:$C$17,MATCH(RIGHT('SC-New'!$D80,LEN($D117)-7),'Bulb Weighting'!$B$3:$B$17,0)+1,2)</f>
        <v>0</v>
      </c>
      <c r="W117" s="37">
        <f>VLOOKUP($C117,$D$60:$Z$63,W$32,FALSE)*$D$79*$A117/8760/1000*INDEX('Bulb Weighting'!$B$2:$C$17,MATCH(RIGHT('SC-New'!$D80,LEN($D117)-7),'Bulb Weighting'!$B$3:$B$17,0)+1,2)</f>
        <v>0</v>
      </c>
      <c r="X117" s="37">
        <f>VLOOKUP($C117,$D$60:$Z$63,X$32,FALSE)*$D$79*$A117/8760/1000*INDEX('Bulb Weighting'!$B$2:$C$17,MATCH(RIGHT('SC-New'!$D80,LEN($D117)-7),'Bulb Weighting'!$B$3:$B$17,0)+1,2)</f>
        <v>0</v>
      </c>
      <c r="Y117" s="448">
        <f>(VLOOKUP($C117,$D$43:$Z$46,$X$68+3,FALSE)+VLOOKUP($C117,$D$51:$Z$54,$X$68+3,FALSE))*$A117*$D$79/8760/1000*INDEX('Bulb Weighting'!$B$2:$C$17,MATCH(RIGHT('SC-New'!$D80,LEN($D117)-7),'Bulb Weighting'!$B$3:$B$17,0)+1,2)</f>
        <v>3.7595878441911153E-2</v>
      </c>
      <c r="Z117" s="32"/>
      <c r="AA117" s="32">
        <f>SUM(E117:X117)</f>
        <v>8.3161788710933975E-3</v>
      </c>
      <c r="AB117" s="37"/>
      <c r="AC117" s="84"/>
    </row>
    <row r="118" spans="1:29" customFormat="1">
      <c r="A118" s="89">
        <f t="shared" si="30"/>
        <v>9.8723739493112301</v>
      </c>
      <c r="B118" s="71">
        <f t="shared" si="31"/>
        <v>-94.996719014918995</v>
      </c>
      <c r="C118" s="1" t="s">
        <v>33</v>
      </c>
      <c r="D118" t="s">
        <v>730</v>
      </c>
      <c r="E118" s="37">
        <f>VLOOKUP($C118,$D$60:$Z$63,E$32,FALSE)*$D$79*$A118/8760/1000*INDEX('Bulb Weighting'!$B$2:$C$17,MATCH(RIGHT('SC-New'!$D81,LEN($D118)-7),'Bulb Weighting'!$B$3:$B$17,0)+1,2)</f>
        <v>3.4924664309157762E-3</v>
      </c>
      <c r="F118" s="37">
        <f>VLOOKUP($C118,$D$60:$Z$63,F$32,FALSE)*$D$79*$A118/8760/1000*INDEX('Bulb Weighting'!$B$2:$C$17,MATCH(RIGHT('SC-New'!$D81,LEN($D118)-7),'Bulb Weighting'!$B$3:$B$17,0)+1,2)</f>
        <v>0</v>
      </c>
      <c r="G118" s="37">
        <f>VLOOKUP($C118,$D$60:$Z$63,G$32,FALSE)*$D$79*$A118/8760/1000*INDEX('Bulb Weighting'!$B$2:$C$17,MATCH(RIGHT('SC-New'!$D81,LEN($D118)-7),'Bulb Weighting'!$B$3:$B$17,0)+1,2)</f>
        <v>0</v>
      </c>
      <c r="H118" s="37">
        <f>VLOOKUP($C118,$D$60:$Z$63,H$32,FALSE)*$D$79*$A118/8760/1000*INDEX('Bulb Weighting'!$B$2:$C$17,MATCH(RIGHT('SC-New'!$D81,LEN($D118)-7),'Bulb Weighting'!$B$3:$B$17,0)+1,2)</f>
        <v>0</v>
      </c>
      <c r="I118" s="37">
        <f>VLOOKUP($C118,$D$60:$Z$63,I$32,FALSE)*$D$79*$A118/8760/1000*INDEX('Bulb Weighting'!$B$2:$C$17,MATCH(RIGHT('SC-New'!$D81,LEN($D118)-7),'Bulb Weighting'!$B$3:$B$17,0)+1,2)</f>
        <v>0</v>
      </c>
      <c r="J118" s="37">
        <f>VLOOKUP($C118,$D$60:$Z$63,J$32,FALSE)*$D$79*$A118/8760/1000*INDEX('Bulb Weighting'!$B$2:$C$17,MATCH(RIGHT('SC-New'!$D81,LEN($D118)-7),'Bulb Weighting'!$B$3:$B$17,0)+1,2)</f>
        <v>0</v>
      </c>
      <c r="K118" s="37">
        <f>VLOOKUP($C118,$D$60:$Z$63,K$32,FALSE)*$D$79*$A118/8760/1000*INDEX('Bulb Weighting'!$B$2:$C$17,MATCH(RIGHT('SC-New'!$D81,LEN($D118)-7),'Bulb Weighting'!$B$3:$B$17,0)+1,2)</f>
        <v>0</v>
      </c>
      <c r="L118" s="37">
        <f>VLOOKUP($C118,$D$60:$Z$63,L$32,FALSE)*$D$79*$A118/8760/1000*INDEX('Bulb Weighting'!$B$2:$C$17,MATCH(RIGHT('SC-New'!$D81,LEN($D118)-7),'Bulb Weighting'!$B$3:$B$17,0)+1,2)</f>
        <v>0</v>
      </c>
      <c r="M118" s="37">
        <f>VLOOKUP($C118,$D$60:$Z$63,M$32,FALSE)*$D$79*$A118/8760/1000*INDEX('Bulb Weighting'!$B$2:$C$17,MATCH(RIGHT('SC-New'!$D81,LEN($D118)-7),'Bulb Weighting'!$B$3:$B$17,0)+1,2)</f>
        <v>0</v>
      </c>
      <c r="N118" s="37">
        <f>VLOOKUP($C118,$D$60:$Z$63,N$32,FALSE)*$D$79*$A118/8760/1000*INDEX('Bulb Weighting'!$B$2:$C$17,MATCH(RIGHT('SC-New'!$D81,LEN($D118)-7),'Bulb Weighting'!$B$3:$B$17,0)+1,2)</f>
        <v>0</v>
      </c>
      <c r="O118" s="37">
        <f>VLOOKUP($C118,$D$60:$Z$63,O$32,FALSE)*$D$79*$A118/8760/1000*INDEX('Bulb Weighting'!$B$2:$C$17,MATCH(RIGHT('SC-New'!$D81,LEN($D118)-7),'Bulb Weighting'!$B$3:$B$17,0)+1,2)</f>
        <v>0</v>
      </c>
      <c r="P118" s="37">
        <f>VLOOKUP($C118,$D$60:$Z$63,P$32,FALSE)*$D$79*$A118/8760/1000*INDEX('Bulb Weighting'!$B$2:$C$17,MATCH(RIGHT('SC-New'!$D81,LEN($D118)-7),'Bulb Weighting'!$B$3:$B$17,0)+1,2)</f>
        <v>0</v>
      </c>
      <c r="Q118" s="37">
        <f>VLOOKUP($C118,$D$60:$Z$63,Q$32,FALSE)*$D$79*$A118/8760/1000*INDEX('Bulb Weighting'!$B$2:$C$17,MATCH(RIGHT('SC-New'!$D81,LEN($D118)-7),'Bulb Weighting'!$B$3:$B$17,0)+1,2)</f>
        <v>0</v>
      </c>
      <c r="R118" s="37">
        <f>VLOOKUP($C118,$D$60:$Z$63,R$32,FALSE)*$D$79*$A118/8760/1000*INDEX('Bulb Weighting'!$B$2:$C$17,MATCH(RIGHT('SC-New'!$D81,LEN($D118)-7),'Bulb Weighting'!$B$3:$B$17,0)+1,2)</f>
        <v>0</v>
      </c>
      <c r="S118" s="37">
        <f>VLOOKUP($C118,$D$60:$Z$63,S$32,FALSE)*$D$79*$A118/8760/1000*INDEX('Bulb Weighting'!$B$2:$C$17,MATCH(RIGHT('SC-New'!$D81,LEN($D118)-7),'Bulb Weighting'!$B$3:$B$17,0)+1,2)</f>
        <v>0</v>
      </c>
      <c r="T118" s="37">
        <f>VLOOKUP($C118,$D$60:$Z$63,T$32,FALSE)*$D$79*$A118/8760/1000*INDEX('Bulb Weighting'!$B$2:$C$17,MATCH(RIGHT('SC-New'!$D81,LEN($D118)-7),'Bulb Weighting'!$B$3:$B$17,0)+1,2)</f>
        <v>0</v>
      </c>
      <c r="U118" s="37">
        <f>VLOOKUP($C118,$D$60:$Z$63,U$32,FALSE)*$D$79*$A118/8760/1000*INDEX('Bulb Weighting'!$B$2:$C$17,MATCH(RIGHT('SC-New'!$D81,LEN($D118)-7),'Bulb Weighting'!$B$3:$B$17,0)+1,2)</f>
        <v>0</v>
      </c>
      <c r="V118" s="37">
        <f>VLOOKUP($C118,$D$60:$Z$63,V$32,FALSE)*$D$79*$A118/8760/1000*INDEX('Bulb Weighting'!$B$2:$C$17,MATCH(RIGHT('SC-New'!$D81,LEN($D118)-7),'Bulb Weighting'!$B$3:$B$17,0)+1,2)</f>
        <v>0</v>
      </c>
      <c r="W118" s="37">
        <f>VLOOKUP($C118,$D$60:$Z$63,W$32,FALSE)*$D$79*$A118/8760/1000*INDEX('Bulb Weighting'!$B$2:$C$17,MATCH(RIGHT('SC-New'!$D81,LEN($D118)-7),'Bulb Weighting'!$B$3:$B$17,0)+1,2)</f>
        <v>0</v>
      </c>
      <c r="X118" s="37">
        <f>VLOOKUP($C118,$D$60:$Z$63,X$32,FALSE)*$D$79*$A118/8760/1000*INDEX('Bulb Weighting'!$B$2:$C$17,MATCH(RIGHT('SC-New'!$D81,LEN($D118)-7),'Bulb Weighting'!$B$3:$B$17,0)+1,2)</f>
        <v>0</v>
      </c>
      <c r="Y118" s="448">
        <f>(VLOOKUP($C118,$D$43:$Z$46,$X$68+3,FALSE)+VLOOKUP($C118,$D$51:$Z$54,$X$68+3,FALSE))*$A118*$D$79/8760/1000*INDEX('Bulb Weighting'!$B$2:$C$17,MATCH(RIGHT('SC-New'!$D81,LEN($D118)-7),'Bulb Weighting'!$B$3:$B$17,0)+1,2)</f>
        <v>1.5788782977668371E-2</v>
      </c>
      <c r="Z118" s="32"/>
      <c r="AA118" s="32">
        <f t="shared" ref="AA118:AA120" si="41">SUM(E118:X118)</f>
        <v>3.4924664309157762E-3</v>
      </c>
      <c r="AB118" s="37"/>
      <c r="AC118" s="84"/>
    </row>
    <row r="119" spans="1:29" customFormat="1">
      <c r="A119" s="89">
        <f t="shared" si="30"/>
        <v>10.681196090262945</v>
      </c>
      <c r="B119" s="71">
        <f t="shared" si="31"/>
        <v>-99.87829920820603</v>
      </c>
      <c r="C119" s="1" t="s">
        <v>33</v>
      </c>
      <c r="D119" t="s">
        <v>732</v>
      </c>
      <c r="E119" s="37">
        <f>VLOOKUP($C119,$D$60:$Z$63,E$32,FALSE)*$D$79*$A119/8760/1000*INDEX('Bulb Weighting'!$B$2:$C$17,MATCH(RIGHT('SC-New'!$D82,LEN($D119)-7),'Bulb Weighting'!$B$3:$B$17,0)+1,2)</f>
        <v>2.8472033626414541E-4</v>
      </c>
      <c r="F119" s="37">
        <f>VLOOKUP($C119,$D$60:$Z$63,F$32,FALSE)*$D$79*$A119/8760/1000*INDEX('Bulb Weighting'!$B$2:$C$17,MATCH(RIGHT('SC-New'!$D82,LEN($D119)-7),'Bulb Weighting'!$B$3:$B$17,0)+1,2)</f>
        <v>0</v>
      </c>
      <c r="G119" s="37">
        <f>VLOOKUP($C119,$D$60:$Z$63,G$32,FALSE)*$D$79*$A119/8760/1000*INDEX('Bulb Weighting'!$B$2:$C$17,MATCH(RIGHT('SC-New'!$D82,LEN($D119)-7),'Bulb Weighting'!$B$3:$B$17,0)+1,2)</f>
        <v>0</v>
      </c>
      <c r="H119" s="37">
        <f>VLOOKUP($C119,$D$60:$Z$63,H$32,FALSE)*$D$79*$A119/8760/1000*INDEX('Bulb Weighting'!$B$2:$C$17,MATCH(RIGHT('SC-New'!$D82,LEN($D119)-7),'Bulb Weighting'!$B$3:$B$17,0)+1,2)</f>
        <v>0</v>
      </c>
      <c r="I119" s="37">
        <f>VLOOKUP($C119,$D$60:$Z$63,I$32,FALSE)*$D$79*$A119/8760/1000*INDEX('Bulb Weighting'!$B$2:$C$17,MATCH(RIGHT('SC-New'!$D82,LEN($D119)-7),'Bulb Weighting'!$B$3:$B$17,0)+1,2)</f>
        <v>0</v>
      </c>
      <c r="J119" s="37">
        <f>VLOOKUP($C119,$D$60:$Z$63,J$32,FALSE)*$D$79*$A119/8760/1000*INDEX('Bulb Weighting'!$B$2:$C$17,MATCH(RIGHT('SC-New'!$D82,LEN($D119)-7),'Bulb Weighting'!$B$3:$B$17,0)+1,2)</f>
        <v>0</v>
      </c>
      <c r="K119" s="37">
        <f>VLOOKUP($C119,$D$60:$Z$63,K$32,FALSE)*$D$79*$A119/8760/1000*INDEX('Bulb Weighting'!$B$2:$C$17,MATCH(RIGHT('SC-New'!$D82,LEN($D119)-7),'Bulb Weighting'!$B$3:$B$17,0)+1,2)</f>
        <v>0</v>
      </c>
      <c r="L119" s="37">
        <f>VLOOKUP($C119,$D$60:$Z$63,L$32,FALSE)*$D$79*$A119/8760/1000*INDEX('Bulb Weighting'!$B$2:$C$17,MATCH(RIGHT('SC-New'!$D82,LEN($D119)-7),'Bulb Weighting'!$B$3:$B$17,0)+1,2)</f>
        <v>0</v>
      </c>
      <c r="M119" s="37">
        <f>VLOOKUP($C119,$D$60:$Z$63,M$32,FALSE)*$D$79*$A119/8760/1000*INDEX('Bulb Weighting'!$B$2:$C$17,MATCH(RIGHT('SC-New'!$D82,LEN($D119)-7),'Bulb Weighting'!$B$3:$B$17,0)+1,2)</f>
        <v>0</v>
      </c>
      <c r="N119" s="37">
        <f>VLOOKUP($C119,$D$60:$Z$63,N$32,FALSE)*$D$79*$A119/8760/1000*INDEX('Bulb Weighting'!$B$2:$C$17,MATCH(RIGHT('SC-New'!$D82,LEN($D119)-7),'Bulb Weighting'!$B$3:$B$17,0)+1,2)</f>
        <v>0</v>
      </c>
      <c r="O119" s="37">
        <f>VLOOKUP($C119,$D$60:$Z$63,O$32,FALSE)*$D$79*$A119/8760/1000*INDEX('Bulb Weighting'!$B$2:$C$17,MATCH(RIGHT('SC-New'!$D82,LEN($D119)-7),'Bulb Weighting'!$B$3:$B$17,0)+1,2)</f>
        <v>0</v>
      </c>
      <c r="P119" s="37">
        <f>VLOOKUP($C119,$D$60:$Z$63,P$32,FALSE)*$D$79*$A119/8760/1000*INDEX('Bulb Weighting'!$B$2:$C$17,MATCH(RIGHT('SC-New'!$D82,LEN($D119)-7),'Bulb Weighting'!$B$3:$B$17,0)+1,2)</f>
        <v>0</v>
      </c>
      <c r="Q119" s="37">
        <f>VLOOKUP($C119,$D$60:$Z$63,Q$32,FALSE)*$D$79*$A119/8760/1000*INDEX('Bulb Weighting'!$B$2:$C$17,MATCH(RIGHT('SC-New'!$D82,LEN($D119)-7),'Bulb Weighting'!$B$3:$B$17,0)+1,2)</f>
        <v>0</v>
      </c>
      <c r="R119" s="37">
        <f>VLOOKUP($C119,$D$60:$Z$63,R$32,FALSE)*$D$79*$A119/8760/1000*INDEX('Bulb Weighting'!$B$2:$C$17,MATCH(RIGHT('SC-New'!$D82,LEN($D119)-7),'Bulb Weighting'!$B$3:$B$17,0)+1,2)</f>
        <v>0</v>
      </c>
      <c r="S119" s="37">
        <f>VLOOKUP($C119,$D$60:$Z$63,S$32,FALSE)*$D$79*$A119/8760/1000*INDEX('Bulb Weighting'!$B$2:$C$17,MATCH(RIGHT('SC-New'!$D82,LEN($D119)-7),'Bulb Weighting'!$B$3:$B$17,0)+1,2)</f>
        <v>0</v>
      </c>
      <c r="T119" s="37">
        <f>VLOOKUP($C119,$D$60:$Z$63,T$32,FALSE)*$D$79*$A119/8760/1000*INDEX('Bulb Weighting'!$B$2:$C$17,MATCH(RIGHT('SC-New'!$D82,LEN($D119)-7),'Bulb Weighting'!$B$3:$B$17,0)+1,2)</f>
        <v>0</v>
      </c>
      <c r="U119" s="37">
        <f>VLOOKUP($C119,$D$60:$Z$63,U$32,FALSE)*$D$79*$A119/8760/1000*INDEX('Bulb Weighting'!$B$2:$C$17,MATCH(RIGHT('SC-New'!$D82,LEN($D119)-7),'Bulb Weighting'!$B$3:$B$17,0)+1,2)</f>
        <v>0</v>
      </c>
      <c r="V119" s="37">
        <f>VLOOKUP($C119,$D$60:$Z$63,V$32,FALSE)*$D$79*$A119/8760/1000*INDEX('Bulb Weighting'!$B$2:$C$17,MATCH(RIGHT('SC-New'!$D82,LEN($D119)-7),'Bulb Weighting'!$B$3:$B$17,0)+1,2)</f>
        <v>0</v>
      </c>
      <c r="W119" s="37">
        <f>VLOOKUP($C119,$D$60:$Z$63,W$32,FALSE)*$D$79*$A119/8760/1000*INDEX('Bulb Weighting'!$B$2:$C$17,MATCH(RIGHT('SC-New'!$D82,LEN($D119)-7),'Bulb Weighting'!$B$3:$B$17,0)+1,2)</f>
        <v>0</v>
      </c>
      <c r="X119" s="37">
        <f>VLOOKUP($C119,$D$60:$Z$63,X$32,FALSE)*$D$79*$A119/8760/1000*INDEX('Bulb Weighting'!$B$2:$C$17,MATCH(RIGHT('SC-New'!$D82,LEN($D119)-7),'Bulb Weighting'!$B$3:$B$17,0)+1,2)</f>
        <v>0</v>
      </c>
      <c r="Y119" s="448">
        <f>(VLOOKUP($C119,$D$43:$Z$46,$X$68+3,FALSE)+VLOOKUP($C119,$D$51:$Z$54,$X$68+3,FALSE))*$A119*$D$79/8760/1000*INDEX('Bulb Weighting'!$B$2:$C$17,MATCH(RIGHT('SC-New'!$D82,LEN($D119)-7),'Bulb Weighting'!$B$3:$B$17,0)+1,2)</f>
        <v>1.2871670172144207E-3</v>
      </c>
      <c r="Z119" s="32"/>
      <c r="AA119" s="32">
        <f t="shared" si="41"/>
        <v>2.8472033626414541E-4</v>
      </c>
      <c r="AB119" s="37"/>
      <c r="AC119" s="84"/>
    </row>
    <row r="120" spans="1:29" customFormat="1">
      <c r="A120" s="89">
        <f t="shared" si="30"/>
        <v>20.374790406766845</v>
      </c>
      <c r="B120" s="71">
        <f t="shared" si="31"/>
        <v>-38.377975660533203</v>
      </c>
      <c r="C120" s="1" t="s">
        <v>33</v>
      </c>
      <c r="D120" t="s">
        <v>734</v>
      </c>
      <c r="E120" s="37">
        <f>VLOOKUP($C120,$D$60:$Z$63,E$32,FALSE)*$D$79*$A120/8760/1000*INDEX('Bulb Weighting'!$B$2:$C$17,MATCH(RIGHT('SC-New'!$D83,LEN($D120)-7),'Bulb Weighting'!$B$3:$B$17,0)+1,2)</f>
        <v>3.7598420781867997E-3</v>
      </c>
      <c r="F120" s="37">
        <f>VLOOKUP($C120,$D$60:$Z$63,F$32,FALSE)*$D$79*$A120/8760/1000*INDEX('Bulb Weighting'!$B$2:$C$17,MATCH(RIGHT('SC-New'!$D83,LEN($D120)-7),'Bulb Weighting'!$B$3:$B$17,0)+1,2)</f>
        <v>0</v>
      </c>
      <c r="G120" s="37">
        <f>VLOOKUP($C120,$D$60:$Z$63,G$32,FALSE)*$D$79*$A120/8760/1000*INDEX('Bulb Weighting'!$B$2:$C$17,MATCH(RIGHT('SC-New'!$D83,LEN($D120)-7),'Bulb Weighting'!$B$3:$B$17,0)+1,2)</f>
        <v>0</v>
      </c>
      <c r="H120" s="37">
        <f>VLOOKUP($C120,$D$60:$Z$63,H$32,FALSE)*$D$79*$A120/8760/1000*INDEX('Bulb Weighting'!$B$2:$C$17,MATCH(RIGHT('SC-New'!$D83,LEN($D120)-7),'Bulb Weighting'!$B$3:$B$17,0)+1,2)</f>
        <v>0</v>
      </c>
      <c r="I120" s="37">
        <f>VLOOKUP($C120,$D$60:$Z$63,I$32,FALSE)*$D$79*$A120/8760/1000*INDEX('Bulb Weighting'!$B$2:$C$17,MATCH(RIGHT('SC-New'!$D83,LEN($D120)-7),'Bulb Weighting'!$B$3:$B$17,0)+1,2)</f>
        <v>0</v>
      </c>
      <c r="J120" s="37">
        <f>VLOOKUP($C120,$D$60:$Z$63,J$32,FALSE)*$D$79*$A120/8760/1000*INDEX('Bulb Weighting'!$B$2:$C$17,MATCH(RIGHT('SC-New'!$D83,LEN($D120)-7),'Bulb Weighting'!$B$3:$B$17,0)+1,2)</f>
        <v>0</v>
      </c>
      <c r="K120" s="37">
        <f>VLOOKUP($C120,$D$60:$Z$63,K$32,FALSE)*$D$79*$A120/8760/1000*INDEX('Bulb Weighting'!$B$2:$C$17,MATCH(RIGHT('SC-New'!$D83,LEN($D120)-7),'Bulb Weighting'!$B$3:$B$17,0)+1,2)</f>
        <v>0</v>
      </c>
      <c r="L120" s="37">
        <f>VLOOKUP($C120,$D$60:$Z$63,L$32,FALSE)*$D$79*$A120/8760/1000*INDEX('Bulb Weighting'!$B$2:$C$17,MATCH(RIGHT('SC-New'!$D83,LEN($D120)-7),'Bulb Weighting'!$B$3:$B$17,0)+1,2)</f>
        <v>0</v>
      </c>
      <c r="M120" s="37">
        <f>VLOOKUP($C120,$D$60:$Z$63,M$32,FALSE)*$D$79*$A120/8760/1000*INDEX('Bulb Weighting'!$B$2:$C$17,MATCH(RIGHT('SC-New'!$D83,LEN($D120)-7),'Bulb Weighting'!$B$3:$B$17,0)+1,2)</f>
        <v>0</v>
      </c>
      <c r="N120" s="37">
        <f>VLOOKUP($C120,$D$60:$Z$63,N$32,FALSE)*$D$79*$A120/8760/1000*INDEX('Bulb Weighting'!$B$2:$C$17,MATCH(RIGHT('SC-New'!$D83,LEN($D120)-7),'Bulb Weighting'!$B$3:$B$17,0)+1,2)</f>
        <v>0</v>
      </c>
      <c r="O120" s="37">
        <f>VLOOKUP($C120,$D$60:$Z$63,O$32,FALSE)*$D$79*$A120/8760/1000*INDEX('Bulb Weighting'!$B$2:$C$17,MATCH(RIGHT('SC-New'!$D83,LEN($D120)-7),'Bulb Weighting'!$B$3:$B$17,0)+1,2)</f>
        <v>0</v>
      </c>
      <c r="P120" s="37">
        <f>VLOOKUP($C120,$D$60:$Z$63,P$32,FALSE)*$D$79*$A120/8760/1000*INDEX('Bulb Weighting'!$B$2:$C$17,MATCH(RIGHT('SC-New'!$D83,LEN($D120)-7),'Bulb Weighting'!$B$3:$B$17,0)+1,2)</f>
        <v>0</v>
      </c>
      <c r="Q120" s="37">
        <f>VLOOKUP($C120,$D$60:$Z$63,Q$32,FALSE)*$D$79*$A120/8760/1000*INDEX('Bulb Weighting'!$B$2:$C$17,MATCH(RIGHT('SC-New'!$D83,LEN($D120)-7),'Bulb Weighting'!$B$3:$B$17,0)+1,2)</f>
        <v>0</v>
      </c>
      <c r="R120" s="37">
        <f>VLOOKUP($C120,$D$60:$Z$63,R$32,FALSE)*$D$79*$A120/8760/1000*INDEX('Bulb Weighting'!$B$2:$C$17,MATCH(RIGHT('SC-New'!$D83,LEN($D120)-7),'Bulb Weighting'!$B$3:$B$17,0)+1,2)</f>
        <v>0</v>
      </c>
      <c r="S120" s="37">
        <f>VLOOKUP($C120,$D$60:$Z$63,S$32,FALSE)*$D$79*$A120/8760/1000*INDEX('Bulb Weighting'!$B$2:$C$17,MATCH(RIGHT('SC-New'!$D83,LEN($D120)-7),'Bulb Weighting'!$B$3:$B$17,0)+1,2)</f>
        <v>0</v>
      </c>
      <c r="T120" s="37">
        <f>VLOOKUP($C120,$D$60:$Z$63,T$32,FALSE)*$D$79*$A120/8760/1000*INDEX('Bulb Weighting'!$B$2:$C$17,MATCH(RIGHT('SC-New'!$D83,LEN($D120)-7),'Bulb Weighting'!$B$3:$B$17,0)+1,2)</f>
        <v>0</v>
      </c>
      <c r="U120" s="37">
        <f>VLOOKUP($C120,$D$60:$Z$63,U$32,FALSE)*$D$79*$A120/8760/1000*INDEX('Bulb Weighting'!$B$2:$C$17,MATCH(RIGHT('SC-New'!$D83,LEN($D120)-7),'Bulb Weighting'!$B$3:$B$17,0)+1,2)</f>
        <v>0</v>
      </c>
      <c r="V120" s="37">
        <f>VLOOKUP($C120,$D$60:$Z$63,V$32,FALSE)*$D$79*$A120/8760/1000*INDEX('Bulb Weighting'!$B$2:$C$17,MATCH(RIGHT('SC-New'!$D83,LEN($D120)-7),'Bulb Weighting'!$B$3:$B$17,0)+1,2)</f>
        <v>0</v>
      </c>
      <c r="W120" s="37">
        <f>VLOOKUP($C120,$D$60:$Z$63,W$32,FALSE)*$D$79*$A120/8760/1000*INDEX('Bulb Weighting'!$B$2:$C$17,MATCH(RIGHT('SC-New'!$D83,LEN($D120)-7),'Bulb Weighting'!$B$3:$B$17,0)+1,2)</f>
        <v>0</v>
      </c>
      <c r="X120" s="37">
        <f>VLOOKUP($C120,$D$60:$Z$63,X$32,FALSE)*$D$79*$A120/8760/1000*INDEX('Bulb Weighting'!$B$2:$C$17,MATCH(RIGHT('SC-New'!$D83,LEN($D120)-7),'Bulb Weighting'!$B$3:$B$17,0)+1,2)</f>
        <v>0</v>
      </c>
      <c r="Y120" s="448">
        <f>(VLOOKUP($C120,$D$43:$Z$46,$X$68+3,FALSE)+VLOOKUP($C120,$D$51:$Z$54,$X$68+3,FALSE))*$A120*$D$79/8760/1000*INDEX('Bulb Weighting'!$B$2:$C$17,MATCH(RIGHT('SC-New'!$D83,LEN($D120)-7),'Bulb Weighting'!$B$3:$B$17,0)+1,2)</f>
        <v>1.6997537922570975E-2</v>
      </c>
      <c r="Z120" s="32"/>
      <c r="AA120" s="32">
        <f t="shared" si="41"/>
        <v>3.7598420781867997E-3</v>
      </c>
      <c r="AB120" s="37"/>
      <c r="AC120" s="84"/>
    </row>
    <row r="121" spans="1:29" customFormat="1">
      <c r="A121" s="89">
        <f t="shared" si="30"/>
        <v>15.536210538971808</v>
      </c>
      <c r="B121" s="71">
        <f t="shared" si="31"/>
        <v>-47.72588478334999</v>
      </c>
      <c r="C121" s="1" t="s">
        <v>33</v>
      </c>
      <c r="D121" t="s">
        <v>736</v>
      </c>
      <c r="E121" s="37">
        <f>VLOOKUP($C121,$D$60:$Z$63,E$32,FALSE)*$D$79*$A121/8760/1000*INDEX('Bulb Weighting'!$B$2:$C$17,MATCH(RIGHT('SC-New'!$D84,LEN($D121)-7),'Bulb Weighting'!$B$3:$B$17,0)+1,2)</f>
        <v>2.8969763399048828E-2</v>
      </c>
      <c r="F121" s="37">
        <f>VLOOKUP($C121,$D$60:$Z$63,F$32,FALSE)*$D$79*$A121/8760/1000*INDEX('Bulb Weighting'!$B$2:$C$17,MATCH(RIGHT('SC-New'!$D84,LEN($D121)-7),'Bulb Weighting'!$B$3:$B$17,0)+1,2)</f>
        <v>0</v>
      </c>
      <c r="G121" s="37">
        <f>VLOOKUP($C121,$D$60:$Z$63,G$32,FALSE)*$D$79*$A121/8760/1000*INDEX('Bulb Weighting'!$B$2:$C$17,MATCH(RIGHT('SC-New'!$D84,LEN($D121)-7),'Bulb Weighting'!$B$3:$B$17,0)+1,2)</f>
        <v>0</v>
      </c>
      <c r="H121" s="37">
        <f>VLOOKUP($C121,$D$60:$Z$63,H$32,FALSE)*$D$79*$A121/8760/1000*INDEX('Bulb Weighting'!$B$2:$C$17,MATCH(RIGHT('SC-New'!$D84,LEN($D121)-7),'Bulb Weighting'!$B$3:$B$17,0)+1,2)</f>
        <v>0</v>
      </c>
      <c r="I121" s="37">
        <f>VLOOKUP($C121,$D$60:$Z$63,I$32,FALSE)*$D$79*$A121/8760/1000*INDEX('Bulb Weighting'!$B$2:$C$17,MATCH(RIGHT('SC-New'!$D84,LEN($D121)-7),'Bulb Weighting'!$B$3:$B$17,0)+1,2)</f>
        <v>0</v>
      </c>
      <c r="J121" s="37">
        <f>VLOOKUP($C121,$D$60:$Z$63,J$32,FALSE)*$D$79*$A121/8760/1000*INDEX('Bulb Weighting'!$B$2:$C$17,MATCH(RIGHT('SC-New'!$D84,LEN($D121)-7),'Bulb Weighting'!$B$3:$B$17,0)+1,2)</f>
        <v>0</v>
      </c>
      <c r="K121" s="37">
        <f>VLOOKUP($C121,$D$60:$Z$63,K$32,FALSE)*$D$79*$A121/8760/1000*INDEX('Bulb Weighting'!$B$2:$C$17,MATCH(RIGHT('SC-New'!$D84,LEN($D121)-7),'Bulb Weighting'!$B$3:$B$17,0)+1,2)</f>
        <v>0</v>
      </c>
      <c r="L121" s="37">
        <f>VLOOKUP($C121,$D$60:$Z$63,L$32,FALSE)*$D$79*$A121/8760/1000*INDEX('Bulb Weighting'!$B$2:$C$17,MATCH(RIGHT('SC-New'!$D84,LEN($D121)-7),'Bulb Weighting'!$B$3:$B$17,0)+1,2)</f>
        <v>0</v>
      </c>
      <c r="M121" s="37">
        <f>VLOOKUP($C121,$D$60:$Z$63,M$32,FALSE)*$D$79*$A121/8760/1000*INDEX('Bulb Weighting'!$B$2:$C$17,MATCH(RIGHT('SC-New'!$D84,LEN($D121)-7),'Bulb Weighting'!$B$3:$B$17,0)+1,2)</f>
        <v>0</v>
      </c>
      <c r="N121" s="37">
        <f>VLOOKUP($C121,$D$60:$Z$63,N$32,FALSE)*$D$79*$A121/8760/1000*INDEX('Bulb Weighting'!$B$2:$C$17,MATCH(RIGHT('SC-New'!$D84,LEN($D121)-7),'Bulb Weighting'!$B$3:$B$17,0)+1,2)</f>
        <v>0</v>
      </c>
      <c r="O121" s="37">
        <f>VLOOKUP($C121,$D$60:$Z$63,O$32,FALSE)*$D$79*$A121/8760/1000*INDEX('Bulb Weighting'!$B$2:$C$17,MATCH(RIGHT('SC-New'!$D84,LEN($D121)-7),'Bulb Weighting'!$B$3:$B$17,0)+1,2)</f>
        <v>0</v>
      </c>
      <c r="P121" s="37">
        <f>VLOOKUP($C121,$D$60:$Z$63,P$32,FALSE)*$D$79*$A121/8760/1000*INDEX('Bulb Weighting'!$B$2:$C$17,MATCH(RIGHT('SC-New'!$D84,LEN($D121)-7),'Bulb Weighting'!$B$3:$B$17,0)+1,2)</f>
        <v>0</v>
      </c>
      <c r="Q121" s="37">
        <f>VLOOKUP($C121,$D$60:$Z$63,Q$32,FALSE)*$D$79*$A121/8760/1000*INDEX('Bulb Weighting'!$B$2:$C$17,MATCH(RIGHT('SC-New'!$D84,LEN($D121)-7),'Bulb Weighting'!$B$3:$B$17,0)+1,2)</f>
        <v>0</v>
      </c>
      <c r="R121" s="37">
        <f>VLOOKUP($C121,$D$60:$Z$63,R$32,FALSE)*$D$79*$A121/8760/1000*INDEX('Bulb Weighting'!$B$2:$C$17,MATCH(RIGHT('SC-New'!$D84,LEN($D121)-7),'Bulb Weighting'!$B$3:$B$17,0)+1,2)</f>
        <v>0</v>
      </c>
      <c r="S121" s="37">
        <f>VLOOKUP($C121,$D$60:$Z$63,S$32,FALSE)*$D$79*$A121/8760/1000*INDEX('Bulb Weighting'!$B$2:$C$17,MATCH(RIGHT('SC-New'!$D84,LEN($D121)-7),'Bulb Weighting'!$B$3:$B$17,0)+1,2)</f>
        <v>0</v>
      </c>
      <c r="T121" s="37">
        <f>VLOOKUP($C121,$D$60:$Z$63,T$32,FALSE)*$D$79*$A121/8760/1000*INDEX('Bulb Weighting'!$B$2:$C$17,MATCH(RIGHT('SC-New'!$D84,LEN($D121)-7),'Bulb Weighting'!$B$3:$B$17,0)+1,2)</f>
        <v>0</v>
      </c>
      <c r="U121" s="37">
        <f>VLOOKUP($C121,$D$60:$Z$63,U$32,FALSE)*$D$79*$A121/8760/1000*INDEX('Bulb Weighting'!$B$2:$C$17,MATCH(RIGHT('SC-New'!$D84,LEN($D121)-7),'Bulb Weighting'!$B$3:$B$17,0)+1,2)</f>
        <v>0</v>
      </c>
      <c r="V121" s="37">
        <f>VLOOKUP($C121,$D$60:$Z$63,V$32,FALSE)*$D$79*$A121/8760/1000*INDEX('Bulb Weighting'!$B$2:$C$17,MATCH(RIGHT('SC-New'!$D84,LEN($D121)-7),'Bulb Weighting'!$B$3:$B$17,0)+1,2)</f>
        <v>0</v>
      </c>
      <c r="W121" s="37">
        <f>VLOOKUP($C121,$D$60:$Z$63,W$32,FALSE)*$D$79*$A121/8760/1000*INDEX('Bulb Weighting'!$B$2:$C$17,MATCH(RIGHT('SC-New'!$D84,LEN($D121)-7),'Bulb Weighting'!$B$3:$B$17,0)+1,2)</f>
        <v>0</v>
      </c>
      <c r="X121" s="37">
        <f>VLOOKUP($C121,$D$60:$Z$63,X$32,FALSE)*$D$79*$A121/8760/1000*INDEX('Bulb Weighting'!$B$2:$C$17,MATCH(RIGHT('SC-New'!$D84,LEN($D121)-7),'Bulb Weighting'!$B$3:$B$17,0)+1,2)</f>
        <v>0</v>
      </c>
      <c r="Y121" s="448">
        <f>(VLOOKUP($C121,$D$43:$Z$46,$X$68+3,FALSE)+VLOOKUP($C121,$D$51:$Z$54,$X$68+3,FALSE))*$A121*$D$79/8760/1000*INDEX('Bulb Weighting'!$B$2:$C$17,MATCH(RIGHT('SC-New'!$D84,LEN($D121)-7),'Bulb Weighting'!$B$3:$B$17,0)+1,2)</f>
        <v>0.1309668442831807</v>
      </c>
      <c r="Z121" s="32"/>
      <c r="AA121" s="32">
        <f>SUM(E121:X121)</f>
        <v>2.8969763399048828E-2</v>
      </c>
      <c r="AB121" s="37"/>
      <c r="AC121" s="84"/>
    </row>
    <row r="122" spans="1:29" customFormat="1">
      <c r="A122" s="89">
        <f t="shared" si="30"/>
        <v>83.173238448682625</v>
      </c>
      <c r="B122" s="71">
        <f t="shared" si="31"/>
        <v>-27.334459272113147</v>
      </c>
      <c r="C122" s="1" t="s">
        <v>33</v>
      </c>
      <c r="D122" t="s">
        <v>738</v>
      </c>
      <c r="E122" s="37">
        <f>VLOOKUP($C122,$D$60:$Z$63,E$32,FALSE)*$D$79*$A122/8760/1000*INDEX('Bulb Weighting'!$B$2:$C$17,MATCH(RIGHT('SC-New'!$D85,LEN($D122)-7),'Bulb Weighting'!$B$3:$B$17,0)+1,2)</f>
        <v>1.274487121970606E-2</v>
      </c>
      <c r="F122" s="37">
        <f>VLOOKUP($C122,$D$60:$Z$63,F$32,FALSE)*$D$79*$A122/8760/1000*INDEX('Bulb Weighting'!$B$2:$C$17,MATCH(RIGHT('SC-New'!$D85,LEN($D122)-7),'Bulb Weighting'!$B$3:$B$17,0)+1,2)</f>
        <v>0</v>
      </c>
      <c r="G122" s="37">
        <f>VLOOKUP($C122,$D$60:$Z$63,G$32,FALSE)*$D$79*$A122/8760/1000*INDEX('Bulb Weighting'!$B$2:$C$17,MATCH(RIGHT('SC-New'!$D85,LEN($D122)-7),'Bulb Weighting'!$B$3:$B$17,0)+1,2)</f>
        <v>0</v>
      </c>
      <c r="H122" s="37">
        <f>VLOOKUP($C122,$D$60:$Z$63,H$32,FALSE)*$D$79*$A122/8760/1000*INDEX('Bulb Weighting'!$B$2:$C$17,MATCH(RIGHT('SC-New'!$D85,LEN($D122)-7),'Bulb Weighting'!$B$3:$B$17,0)+1,2)</f>
        <v>0</v>
      </c>
      <c r="I122" s="37">
        <f>VLOOKUP($C122,$D$60:$Z$63,I$32,FALSE)*$D$79*$A122/8760/1000*INDEX('Bulb Weighting'!$B$2:$C$17,MATCH(RIGHT('SC-New'!$D85,LEN($D122)-7),'Bulb Weighting'!$B$3:$B$17,0)+1,2)</f>
        <v>0</v>
      </c>
      <c r="J122" s="37">
        <f>VLOOKUP($C122,$D$60:$Z$63,J$32,FALSE)*$D$79*$A122/8760/1000*INDEX('Bulb Weighting'!$B$2:$C$17,MATCH(RIGHT('SC-New'!$D85,LEN($D122)-7),'Bulb Weighting'!$B$3:$B$17,0)+1,2)</f>
        <v>0</v>
      </c>
      <c r="K122" s="37">
        <f>VLOOKUP($C122,$D$60:$Z$63,K$32,FALSE)*$D$79*$A122/8760/1000*INDEX('Bulb Weighting'!$B$2:$C$17,MATCH(RIGHT('SC-New'!$D85,LEN($D122)-7),'Bulb Weighting'!$B$3:$B$17,0)+1,2)</f>
        <v>0</v>
      </c>
      <c r="L122" s="37">
        <f>VLOOKUP($C122,$D$60:$Z$63,L$32,FALSE)*$D$79*$A122/8760/1000*INDEX('Bulb Weighting'!$B$2:$C$17,MATCH(RIGHT('SC-New'!$D85,LEN($D122)-7),'Bulb Weighting'!$B$3:$B$17,0)+1,2)</f>
        <v>0</v>
      </c>
      <c r="M122" s="37">
        <f>VLOOKUP($C122,$D$60:$Z$63,M$32,FALSE)*$D$79*$A122/8760/1000*INDEX('Bulb Weighting'!$B$2:$C$17,MATCH(RIGHT('SC-New'!$D85,LEN($D122)-7),'Bulb Weighting'!$B$3:$B$17,0)+1,2)</f>
        <v>0</v>
      </c>
      <c r="N122" s="37">
        <f>VLOOKUP($C122,$D$60:$Z$63,N$32,FALSE)*$D$79*$A122/8760/1000*INDEX('Bulb Weighting'!$B$2:$C$17,MATCH(RIGHT('SC-New'!$D85,LEN($D122)-7),'Bulb Weighting'!$B$3:$B$17,0)+1,2)</f>
        <v>0</v>
      </c>
      <c r="O122" s="37">
        <f>VLOOKUP($C122,$D$60:$Z$63,O$32,FALSE)*$D$79*$A122/8760/1000*INDEX('Bulb Weighting'!$B$2:$C$17,MATCH(RIGHT('SC-New'!$D85,LEN($D122)-7),'Bulb Weighting'!$B$3:$B$17,0)+1,2)</f>
        <v>0</v>
      </c>
      <c r="P122" s="37">
        <f>VLOOKUP($C122,$D$60:$Z$63,P$32,FALSE)*$D$79*$A122/8760/1000*INDEX('Bulb Weighting'!$B$2:$C$17,MATCH(RIGHT('SC-New'!$D85,LEN($D122)-7),'Bulb Weighting'!$B$3:$B$17,0)+1,2)</f>
        <v>0</v>
      </c>
      <c r="Q122" s="37">
        <f>VLOOKUP($C122,$D$60:$Z$63,Q$32,FALSE)*$D$79*$A122/8760/1000*INDEX('Bulb Weighting'!$B$2:$C$17,MATCH(RIGHT('SC-New'!$D85,LEN($D122)-7),'Bulb Weighting'!$B$3:$B$17,0)+1,2)</f>
        <v>0</v>
      </c>
      <c r="R122" s="37">
        <f>VLOOKUP($C122,$D$60:$Z$63,R$32,FALSE)*$D$79*$A122/8760/1000*INDEX('Bulb Weighting'!$B$2:$C$17,MATCH(RIGHT('SC-New'!$D85,LEN($D122)-7),'Bulb Weighting'!$B$3:$B$17,0)+1,2)</f>
        <v>0</v>
      </c>
      <c r="S122" s="37">
        <f>VLOOKUP($C122,$D$60:$Z$63,S$32,FALSE)*$D$79*$A122/8760/1000*INDEX('Bulb Weighting'!$B$2:$C$17,MATCH(RIGHT('SC-New'!$D85,LEN($D122)-7),'Bulb Weighting'!$B$3:$B$17,0)+1,2)</f>
        <v>0</v>
      </c>
      <c r="T122" s="37">
        <f>VLOOKUP($C122,$D$60:$Z$63,T$32,FALSE)*$D$79*$A122/8760/1000*INDEX('Bulb Weighting'!$B$2:$C$17,MATCH(RIGHT('SC-New'!$D85,LEN($D122)-7),'Bulb Weighting'!$B$3:$B$17,0)+1,2)</f>
        <v>0</v>
      </c>
      <c r="U122" s="37">
        <f>VLOOKUP($C122,$D$60:$Z$63,U$32,FALSE)*$D$79*$A122/8760/1000*INDEX('Bulb Weighting'!$B$2:$C$17,MATCH(RIGHT('SC-New'!$D85,LEN($D122)-7),'Bulb Weighting'!$B$3:$B$17,0)+1,2)</f>
        <v>0</v>
      </c>
      <c r="V122" s="37">
        <f>VLOOKUP($C122,$D$60:$Z$63,V$32,FALSE)*$D$79*$A122/8760/1000*INDEX('Bulb Weighting'!$B$2:$C$17,MATCH(RIGHT('SC-New'!$D85,LEN($D122)-7),'Bulb Weighting'!$B$3:$B$17,0)+1,2)</f>
        <v>0</v>
      </c>
      <c r="W122" s="37">
        <f>VLOOKUP($C122,$D$60:$Z$63,W$32,FALSE)*$D$79*$A122/8760/1000*INDEX('Bulb Weighting'!$B$2:$C$17,MATCH(RIGHT('SC-New'!$D85,LEN($D122)-7),'Bulb Weighting'!$B$3:$B$17,0)+1,2)</f>
        <v>0</v>
      </c>
      <c r="X122" s="37">
        <f>VLOOKUP($C122,$D$60:$Z$63,X$32,FALSE)*$D$79*$A122/8760/1000*INDEX('Bulb Weighting'!$B$2:$C$17,MATCH(RIGHT('SC-New'!$D85,LEN($D122)-7),'Bulb Weighting'!$B$3:$B$17,0)+1,2)</f>
        <v>0</v>
      </c>
      <c r="Y122" s="448">
        <f>(VLOOKUP($C122,$D$43:$Z$46,$X$68+3,FALSE)+VLOOKUP($C122,$D$51:$Z$54,$X$68+3,FALSE))*$A122*$D$79/8760/1000*INDEX('Bulb Weighting'!$B$2:$C$17,MATCH(RIGHT('SC-New'!$D85,LEN($D122)-7),'Bulb Weighting'!$B$3:$B$17,0)+1,2)</f>
        <v>5.7617162468618519E-2</v>
      </c>
      <c r="Z122" s="32"/>
      <c r="AA122" s="32">
        <f t="shared" ref="AA122:AA124" si="42">SUM(E122:X122)</f>
        <v>1.274487121970606E-2</v>
      </c>
      <c r="AB122" s="37"/>
      <c r="AC122" s="84"/>
    </row>
    <row r="123" spans="1:29" customFormat="1">
      <c r="A123" s="89">
        <f t="shared" si="30"/>
        <v>48.421429568529426</v>
      </c>
      <c r="B123" s="71">
        <f t="shared" si="31"/>
        <v>-0.28395098554769854</v>
      </c>
      <c r="C123" s="1" t="s">
        <v>33</v>
      </c>
      <c r="D123" t="s">
        <v>740</v>
      </c>
      <c r="E123" s="37">
        <f>VLOOKUP($C123,$D$60:$Z$63,E$32,FALSE)*$D$79*$A123/8760/1000*INDEX('Bulb Weighting'!$B$2:$C$17,MATCH(RIGHT('SC-New'!$D86,LEN($D123)-7),'Bulb Weighting'!$B$3:$B$17,0)+1,2)</f>
        <v>1.1642598902254096E-4</v>
      </c>
      <c r="F123" s="37">
        <f>VLOOKUP($C123,$D$60:$Z$63,F$32,FALSE)*$D$79*$A123/8760/1000*INDEX('Bulb Weighting'!$B$2:$C$17,MATCH(RIGHT('SC-New'!$D86,LEN($D123)-7),'Bulb Weighting'!$B$3:$B$17,0)+1,2)</f>
        <v>0</v>
      </c>
      <c r="G123" s="37">
        <f>VLOOKUP($C123,$D$60:$Z$63,G$32,FALSE)*$D$79*$A123/8760/1000*INDEX('Bulb Weighting'!$B$2:$C$17,MATCH(RIGHT('SC-New'!$D86,LEN($D123)-7),'Bulb Weighting'!$B$3:$B$17,0)+1,2)</f>
        <v>0</v>
      </c>
      <c r="H123" s="37">
        <f>VLOOKUP($C123,$D$60:$Z$63,H$32,FALSE)*$D$79*$A123/8760/1000*INDEX('Bulb Weighting'!$B$2:$C$17,MATCH(RIGHT('SC-New'!$D86,LEN($D123)-7),'Bulb Weighting'!$B$3:$B$17,0)+1,2)</f>
        <v>0</v>
      </c>
      <c r="I123" s="37">
        <f>VLOOKUP($C123,$D$60:$Z$63,I$32,FALSE)*$D$79*$A123/8760/1000*INDEX('Bulb Weighting'!$B$2:$C$17,MATCH(RIGHT('SC-New'!$D86,LEN($D123)-7),'Bulb Weighting'!$B$3:$B$17,0)+1,2)</f>
        <v>0</v>
      </c>
      <c r="J123" s="37">
        <f>VLOOKUP($C123,$D$60:$Z$63,J$32,FALSE)*$D$79*$A123/8760/1000*INDEX('Bulb Weighting'!$B$2:$C$17,MATCH(RIGHT('SC-New'!$D86,LEN($D123)-7),'Bulb Weighting'!$B$3:$B$17,0)+1,2)</f>
        <v>0</v>
      </c>
      <c r="K123" s="37">
        <f>VLOOKUP($C123,$D$60:$Z$63,K$32,FALSE)*$D$79*$A123/8760/1000*INDEX('Bulb Weighting'!$B$2:$C$17,MATCH(RIGHT('SC-New'!$D86,LEN($D123)-7),'Bulb Weighting'!$B$3:$B$17,0)+1,2)</f>
        <v>0</v>
      </c>
      <c r="L123" s="37">
        <f>VLOOKUP($C123,$D$60:$Z$63,L$32,FALSE)*$D$79*$A123/8760/1000*INDEX('Bulb Weighting'!$B$2:$C$17,MATCH(RIGHT('SC-New'!$D86,LEN($D123)-7),'Bulb Weighting'!$B$3:$B$17,0)+1,2)</f>
        <v>0</v>
      </c>
      <c r="M123" s="37">
        <f>VLOOKUP($C123,$D$60:$Z$63,M$32,FALSE)*$D$79*$A123/8760/1000*INDEX('Bulb Weighting'!$B$2:$C$17,MATCH(RIGHT('SC-New'!$D86,LEN($D123)-7),'Bulb Weighting'!$B$3:$B$17,0)+1,2)</f>
        <v>0</v>
      </c>
      <c r="N123" s="37">
        <f>VLOOKUP($C123,$D$60:$Z$63,N$32,FALSE)*$D$79*$A123/8760/1000*INDEX('Bulb Weighting'!$B$2:$C$17,MATCH(RIGHT('SC-New'!$D86,LEN($D123)-7),'Bulb Weighting'!$B$3:$B$17,0)+1,2)</f>
        <v>0</v>
      </c>
      <c r="O123" s="37">
        <f>VLOOKUP($C123,$D$60:$Z$63,O$32,FALSE)*$D$79*$A123/8760/1000*INDEX('Bulb Weighting'!$B$2:$C$17,MATCH(RIGHT('SC-New'!$D86,LEN($D123)-7),'Bulb Weighting'!$B$3:$B$17,0)+1,2)</f>
        <v>0</v>
      </c>
      <c r="P123" s="37">
        <f>VLOOKUP($C123,$D$60:$Z$63,P$32,FALSE)*$D$79*$A123/8760/1000*INDEX('Bulb Weighting'!$B$2:$C$17,MATCH(RIGHT('SC-New'!$D86,LEN($D123)-7),'Bulb Weighting'!$B$3:$B$17,0)+1,2)</f>
        <v>0</v>
      </c>
      <c r="Q123" s="37">
        <f>VLOOKUP($C123,$D$60:$Z$63,Q$32,FALSE)*$D$79*$A123/8760/1000*INDEX('Bulb Weighting'!$B$2:$C$17,MATCH(RIGHT('SC-New'!$D86,LEN($D123)-7),'Bulb Weighting'!$B$3:$B$17,0)+1,2)</f>
        <v>0</v>
      </c>
      <c r="R123" s="37">
        <f>VLOOKUP($C123,$D$60:$Z$63,R$32,FALSE)*$D$79*$A123/8760/1000*INDEX('Bulb Weighting'!$B$2:$C$17,MATCH(RIGHT('SC-New'!$D86,LEN($D123)-7),'Bulb Weighting'!$B$3:$B$17,0)+1,2)</f>
        <v>0</v>
      </c>
      <c r="S123" s="37">
        <f>VLOOKUP($C123,$D$60:$Z$63,S$32,FALSE)*$D$79*$A123/8760/1000*INDEX('Bulb Weighting'!$B$2:$C$17,MATCH(RIGHT('SC-New'!$D86,LEN($D123)-7),'Bulb Weighting'!$B$3:$B$17,0)+1,2)</f>
        <v>0</v>
      </c>
      <c r="T123" s="37">
        <f>VLOOKUP($C123,$D$60:$Z$63,T$32,FALSE)*$D$79*$A123/8760/1000*INDEX('Bulb Weighting'!$B$2:$C$17,MATCH(RIGHT('SC-New'!$D86,LEN($D123)-7),'Bulb Weighting'!$B$3:$B$17,0)+1,2)</f>
        <v>0</v>
      </c>
      <c r="U123" s="37">
        <f>VLOOKUP($C123,$D$60:$Z$63,U$32,FALSE)*$D$79*$A123/8760/1000*INDEX('Bulb Weighting'!$B$2:$C$17,MATCH(RIGHT('SC-New'!$D86,LEN($D123)-7),'Bulb Weighting'!$B$3:$B$17,0)+1,2)</f>
        <v>0</v>
      </c>
      <c r="V123" s="37">
        <f>VLOOKUP($C123,$D$60:$Z$63,V$32,FALSE)*$D$79*$A123/8760/1000*INDEX('Bulb Weighting'!$B$2:$C$17,MATCH(RIGHT('SC-New'!$D86,LEN($D123)-7),'Bulb Weighting'!$B$3:$B$17,0)+1,2)</f>
        <v>0</v>
      </c>
      <c r="W123" s="37">
        <f>VLOOKUP($C123,$D$60:$Z$63,W$32,FALSE)*$D$79*$A123/8760/1000*INDEX('Bulb Weighting'!$B$2:$C$17,MATCH(RIGHT('SC-New'!$D86,LEN($D123)-7),'Bulb Weighting'!$B$3:$B$17,0)+1,2)</f>
        <v>0</v>
      </c>
      <c r="X123" s="37">
        <f>VLOOKUP($C123,$D$60:$Z$63,X$32,FALSE)*$D$79*$A123/8760/1000*INDEX('Bulb Weighting'!$B$2:$C$17,MATCH(RIGHT('SC-New'!$D86,LEN($D123)-7),'Bulb Weighting'!$B$3:$B$17,0)+1,2)</f>
        <v>0</v>
      </c>
      <c r="Y123" s="448">
        <f>(VLOOKUP($C123,$D$43:$Z$46,$X$68+3,FALSE)+VLOOKUP($C123,$D$51:$Z$54,$X$68+3,FALSE))*$A123*$D$79/8760/1000*INDEX('Bulb Weighting'!$B$2:$C$17,MATCH(RIGHT('SC-New'!$D86,LEN($D123)-7),'Bulb Weighting'!$B$3:$B$17,0)+1,2)</f>
        <v>5.2633996918770374E-4</v>
      </c>
      <c r="Z123" s="32"/>
      <c r="AA123" s="32">
        <f t="shared" si="42"/>
        <v>1.1642598902254096E-4</v>
      </c>
      <c r="AB123" s="37"/>
      <c r="AC123" s="84"/>
    </row>
    <row r="124" spans="1:29" customFormat="1">
      <c r="A124" s="89">
        <f t="shared" si="30"/>
        <v>52.157694278074032</v>
      </c>
      <c r="B124" s="71">
        <f t="shared" si="31"/>
        <v>-8.9398321624848585</v>
      </c>
      <c r="C124" s="1" t="s">
        <v>33</v>
      </c>
      <c r="D124" t="s">
        <v>742</v>
      </c>
      <c r="E124" s="37">
        <f>VLOOKUP($C124,$D$60:$Z$63,E$32,FALSE)*$D$79*$A124/8760/1000*INDEX('Bulb Weighting'!$B$2:$C$17,MATCH(RIGHT('SC-New'!$D87,LEN($D124)-7),'Bulb Weighting'!$B$3:$B$17,0)+1,2)</f>
        <v>1.5479832142976217E-3</v>
      </c>
      <c r="F124" s="37">
        <f>VLOOKUP($C124,$D$60:$Z$63,F$32,FALSE)*$D$79*$A124/8760/1000*INDEX('Bulb Weighting'!$B$2:$C$17,MATCH(RIGHT('SC-New'!$D87,LEN($D124)-7),'Bulb Weighting'!$B$3:$B$17,0)+1,2)</f>
        <v>0</v>
      </c>
      <c r="G124" s="37">
        <f>VLOOKUP($C124,$D$60:$Z$63,G$32,FALSE)*$D$79*$A124/8760/1000*INDEX('Bulb Weighting'!$B$2:$C$17,MATCH(RIGHT('SC-New'!$D87,LEN($D124)-7),'Bulb Weighting'!$B$3:$B$17,0)+1,2)</f>
        <v>0</v>
      </c>
      <c r="H124" s="37">
        <f>VLOOKUP($C124,$D$60:$Z$63,H$32,FALSE)*$D$79*$A124/8760/1000*INDEX('Bulb Weighting'!$B$2:$C$17,MATCH(RIGHT('SC-New'!$D87,LEN($D124)-7),'Bulb Weighting'!$B$3:$B$17,0)+1,2)</f>
        <v>0</v>
      </c>
      <c r="I124" s="37">
        <f>VLOOKUP($C124,$D$60:$Z$63,I$32,FALSE)*$D$79*$A124/8760/1000*INDEX('Bulb Weighting'!$B$2:$C$17,MATCH(RIGHT('SC-New'!$D87,LEN($D124)-7),'Bulb Weighting'!$B$3:$B$17,0)+1,2)</f>
        <v>0</v>
      </c>
      <c r="J124" s="37">
        <f>VLOOKUP($C124,$D$60:$Z$63,J$32,FALSE)*$D$79*$A124/8760/1000*INDEX('Bulb Weighting'!$B$2:$C$17,MATCH(RIGHT('SC-New'!$D87,LEN($D124)-7),'Bulb Weighting'!$B$3:$B$17,0)+1,2)</f>
        <v>0</v>
      </c>
      <c r="K124" s="37">
        <f>VLOOKUP($C124,$D$60:$Z$63,K$32,FALSE)*$D$79*$A124/8760/1000*INDEX('Bulb Weighting'!$B$2:$C$17,MATCH(RIGHT('SC-New'!$D87,LEN($D124)-7),'Bulb Weighting'!$B$3:$B$17,0)+1,2)</f>
        <v>0</v>
      </c>
      <c r="L124" s="37">
        <f>VLOOKUP($C124,$D$60:$Z$63,L$32,FALSE)*$D$79*$A124/8760/1000*INDEX('Bulb Weighting'!$B$2:$C$17,MATCH(RIGHT('SC-New'!$D87,LEN($D124)-7),'Bulb Weighting'!$B$3:$B$17,0)+1,2)</f>
        <v>0</v>
      </c>
      <c r="M124" s="37">
        <f>VLOOKUP($C124,$D$60:$Z$63,M$32,FALSE)*$D$79*$A124/8760/1000*INDEX('Bulb Weighting'!$B$2:$C$17,MATCH(RIGHT('SC-New'!$D87,LEN($D124)-7),'Bulb Weighting'!$B$3:$B$17,0)+1,2)</f>
        <v>0</v>
      </c>
      <c r="N124" s="37">
        <f>VLOOKUP($C124,$D$60:$Z$63,N$32,FALSE)*$D$79*$A124/8760/1000*INDEX('Bulb Weighting'!$B$2:$C$17,MATCH(RIGHT('SC-New'!$D87,LEN($D124)-7),'Bulb Weighting'!$B$3:$B$17,0)+1,2)</f>
        <v>0</v>
      </c>
      <c r="O124" s="37">
        <f>VLOOKUP($C124,$D$60:$Z$63,O$32,FALSE)*$D$79*$A124/8760/1000*INDEX('Bulb Weighting'!$B$2:$C$17,MATCH(RIGHT('SC-New'!$D87,LEN($D124)-7),'Bulb Weighting'!$B$3:$B$17,0)+1,2)</f>
        <v>0</v>
      </c>
      <c r="P124" s="37">
        <f>VLOOKUP($C124,$D$60:$Z$63,P$32,FALSE)*$D$79*$A124/8760/1000*INDEX('Bulb Weighting'!$B$2:$C$17,MATCH(RIGHT('SC-New'!$D87,LEN($D124)-7),'Bulb Weighting'!$B$3:$B$17,0)+1,2)</f>
        <v>0</v>
      </c>
      <c r="Q124" s="37">
        <f>VLOOKUP($C124,$D$60:$Z$63,Q$32,FALSE)*$D$79*$A124/8760/1000*INDEX('Bulb Weighting'!$B$2:$C$17,MATCH(RIGHT('SC-New'!$D87,LEN($D124)-7),'Bulb Weighting'!$B$3:$B$17,0)+1,2)</f>
        <v>0</v>
      </c>
      <c r="R124" s="37">
        <f>VLOOKUP($C124,$D$60:$Z$63,R$32,FALSE)*$D$79*$A124/8760/1000*INDEX('Bulb Weighting'!$B$2:$C$17,MATCH(RIGHT('SC-New'!$D87,LEN($D124)-7),'Bulb Weighting'!$B$3:$B$17,0)+1,2)</f>
        <v>0</v>
      </c>
      <c r="S124" s="37">
        <f>VLOOKUP($C124,$D$60:$Z$63,S$32,FALSE)*$D$79*$A124/8760/1000*INDEX('Bulb Weighting'!$B$2:$C$17,MATCH(RIGHT('SC-New'!$D87,LEN($D124)-7),'Bulb Weighting'!$B$3:$B$17,0)+1,2)</f>
        <v>0</v>
      </c>
      <c r="T124" s="37">
        <f>VLOOKUP($C124,$D$60:$Z$63,T$32,FALSE)*$D$79*$A124/8760/1000*INDEX('Bulb Weighting'!$B$2:$C$17,MATCH(RIGHT('SC-New'!$D87,LEN($D124)-7),'Bulb Weighting'!$B$3:$B$17,0)+1,2)</f>
        <v>0</v>
      </c>
      <c r="U124" s="37">
        <f>VLOOKUP($C124,$D$60:$Z$63,U$32,FALSE)*$D$79*$A124/8760/1000*INDEX('Bulb Weighting'!$B$2:$C$17,MATCH(RIGHT('SC-New'!$D87,LEN($D124)-7),'Bulb Weighting'!$B$3:$B$17,0)+1,2)</f>
        <v>0</v>
      </c>
      <c r="V124" s="37">
        <f>VLOOKUP($C124,$D$60:$Z$63,V$32,FALSE)*$D$79*$A124/8760/1000*INDEX('Bulb Weighting'!$B$2:$C$17,MATCH(RIGHT('SC-New'!$D87,LEN($D124)-7),'Bulb Weighting'!$B$3:$B$17,0)+1,2)</f>
        <v>0</v>
      </c>
      <c r="W124" s="37">
        <f>VLOOKUP($C124,$D$60:$Z$63,W$32,FALSE)*$D$79*$A124/8760/1000*INDEX('Bulb Weighting'!$B$2:$C$17,MATCH(RIGHT('SC-New'!$D87,LEN($D124)-7),'Bulb Weighting'!$B$3:$B$17,0)+1,2)</f>
        <v>0</v>
      </c>
      <c r="X124" s="37">
        <f>VLOOKUP($C124,$D$60:$Z$63,X$32,FALSE)*$D$79*$A124/8760/1000*INDEX('Bulb Weighting'!$B$2:$C$17,MATCH(RIGHT('SC-New'!$D87,LEN($D124)-7),'Bulb Weighting'!$B$3:$B$17,0)+1,2)</f>
        <v>0</v>
      </c>
      <c r="Y124" s="448">
        <f>(VLOOKUP($C124,$D$43:$Z$46,$X$68+3,FALSE)+VLOOKUP($C124,$D$51:$Z$54,$X$68+3,FALSE))*$A124*$D$79/8760/1000*INDEX('Bulb Weighting'!$B$2:$C$17,MATCH(RIGHT('SC-New'!$D87,LEN($D124)-7),'Bulb Weighting'!$B$3:$B$17,0)+1,2)</f>
        <v>6.9981405711636076E-3</v>
      </c>
      <c r="Z124" s="32"/>
      <c r="AA124" s="32">
        <f t="shared" si="42"/>
        <v>1.5479832142976217E-3</v>
      </c>
      <c r="AB124" s="37"/>
      <c r="AC124" s="84"/>
    </row>
    <row r="125" spans="1:29" customFormat="1">
      <c r="A125" s="89">
        <f t="shared" si="30"/>
        <v>46.673278979590322</v>
      </c>
      <c r="B125" s="71">
        <f t="shared" si="31"/>
        <v>-22.011904676498236</v>
      </c>
      <c r="C125" s="1" t="s">
        <v>33</v>
      </c>
      <c r="D125" t="s">
        <v>744</v>
      </c>
      <c r="E125" s="37">
        <f>VLOOKUP($C125,$D$60:$Z$63,E$32,FALSE)*$D$79*$A125/8760/1000*INDEX('Bulb Weighting'!$B$2:$C$17,MATCH(RIGHT('SC-New'!$D88,LEN($D125)-7),'Bulb Weighting'!$B$3:$B$17,0)+1,2)</f>
        <v>5.356465108088391E-3</v>
      </c>
      <c r="F125" s="37">
        <f>VLOOKUP($C125,$D$60:$Z$63,F$32,FALSE)*$D$79*$A125/8760/1000*INDEX('Bulb Weighting'!$B$2:$C$17,MATCH(RIGHT('SC-New'!$D88,LEN($D125)-7),'Bulb Weighting'!$B$3:$B$17,0)+1,2)</f>
        <v>0</v>
      </c>
      <c r="G125" s="37">
        <f>VLOOKUP($C125,$D$60:$Z$63,G$32,FALSE)*$D$79*$A125/8760/1000*INDEX('Bulb Weighting'!$B$2:$C$17,MATCH(RIGHT('SC-New'!$D88,LEN($D125)-7),'Bulb Weighting'!$B$3:$B$17,0)+1,2)</f>
        <v>0</v>
      </c>
      <c r="H125" s="37">
        <f>VLOOKUP($C125,$D$60:$Z$63,H$32,FALSE)*$D$79*$A125/8760/1000*INDEX('Bulb Weighting'!$B$2:$C$17,MATCH(RIGHT('SC-New'!$D88,LEN($D125)-7),'Bulb Weighting'!$B$3:$B$17,0)+1,2)</f>
        <v>0</v>
      </c>
      <c r="I125" s="37">
        <f>VLOOKUP($C125,$D$60:$Z$63,I$32,FALSE)*$D$79*$A125/8760/1000*INDEX('Bulb Weighting'!$B$2:$C$17,MATCH(RIGHT('SC-New'!$D88,LEN($D125)-7),'Bulb Weighting'!$B$3:$B$17,0)+1,2)</f>
        <v>0</v>
      </c>
      <c r="J125" s="37">
        <f>VLOOKUP($C125,$D$60:$Z$63,J$32,FALSE)*$D$79*$A125/8760/1000*INDEX('Bulb Weighting'!$B$2:$C$17,MATCH(RIGHT('SC-New'!$D88,LEN($D125)-7),'Bulb Weighting'!$B$3:$B$17,0)+1,2)</f>
        <v>0</v>
      </c>
      <c r="K125" s="37">
        <f>VLOOKUP($C125,$D$60:$Z$63,K$32,FALSE)*$D$79*$A125/8760/1000*INDEX('Bulb Weighting'!$B$2:$C$17,MATCH(RIGHT('SC-New'!$D88,LEN($D125)-7),'Bulb Weighting'!$B$3:$B$17,0)+1,2)</f>
        <v>0</v>
      </c>
      <c r="L125" s="37">
        <f>VLOOKUP($C125,$D$60:$Z$63,L$32,FALSE)*$D$79*$A125/8760/1000*INDEX('Bulb Weighting'!$B$2:$C$17,MATCH(RIGHT('SC-New'!$D88,LEN($D125)-7),'Bulb Weighting'!$B$3:$B$17,0)+1,2)</f>
        <v>0</v>
      </c>
      <c r="M125" s="37">
        <f>VLOOKUP($C125,$D$60:$Z$63,M$32,FALSE)*$D$79*$A125/8760/1000*INDEX('Bulb Weighting'!$B$2:$C$17,MATCH(RIGHT('SC-New'!$D88,LEN($D125)-7),'Bulb Weighting'!$B$3:$B$17,0)+1,2)</f>
        <v>0</v>
      </c>
      <c r="N125" s="37">
        <f>VLOOKUP($C125,$D$60:$Z$63,N$32,FALSE)*$D$79*$A125/8760/1000*INDEX('Bulb Weighting'!$B$2:$C$17,MATCH(RIGHT('SC-New'!$D88,LEN($D125)-7),'Bulb Weighting'!$B$3:$B$17,0)+1,2)</f>
        <v>0</v>
      </c>
      <c r="O125" s="37">
        <f>VLOOKUP($C125,$D$60:$Z$63,O$32,FALSE)*$D$79*$A125/8760/1000*INDEX('Bulb Weighting'!$B$2:$C$17,MATCH(RIGHT('SC-New'!$D88,LEN($D125)-7),'Bulb Weighting'!$B$3:$B$17,0)+1,2)</f>
        <v>0</v>
      </c>
      <c r="P125" s="37">
        <f>VLOOKUP($C125,$D$60:$Z$63,P$32,FALSE)*$D$79*$A125/8760/1000*INDEX('Bulb Weighting'!$B$2:$C$17,MATCH(RIGHT('SC-New'!$D88,LEN($D125)-7),'Bulb Weighting'!$B$3:$B$17,0)+1,2)</f>
        <v>0</v>
      </c>
      <c r="Q125" s="37">
        <f>VLOOKUP($C125,$D$60:$Z$63,Q$32,FALSE)*$D$79*$A125/8760/1000*INDEX('Bulb Weighting'!$B$2:$C$17,MATCH(RIGHT('SC-New'!$D88,LEN($D125)-7),'Bulb Weighting'!$B$3:$B$17,0)+1,2)</f>
        <v>0</v>
      </c>
      <c r="R125" s="37">
        <f>VLOOKUP($C125,$D$60:$Z$63,R$32,FALSE)*$D$79*$A125/8760/1000*INDEX('Bulb Weighting'!$B$2:$C$17,MATCH(RIGHT('SC-New'!$D88,LEN($D125)-7),'Bulb Weighting'!$B$3:$B$17,0)+1,2)</f>
        <v>0</v>
      </c>
      <c r="S125" s="37">
        <f>VLOOKUP($C125,$D$60:$Z$63,S$32,FALSE)*$D$79*$A125/8760/1000*INDEX('Bulb Weighting'!$B$2:$C$17,MATCH(RIGHT('SC-New'!$D88,LEN($D125)-7),'Bulb Weighting'!$B$3:$B$17,0)+1,2)</f>
        <v>0</v>
      </c>
      <c r="T125" s="37">
        <f>VLOOKUP($C125,$D$60:$Z$63,T$32,FALSE)*$D$79*$A125/8760/1000*INDEX('Bulb Weighting'!$B$2:$C$17,MATCH(RIGHT('SC-New'!$D88,LEN($D125)-7),'Bulb Weighting'!$B$3:$B$17,0)+1,2)</f>
        <v>0</v>
      </c>
      <c r="U125" s="37">
        <f>VLOOKUP($C125,$D$60:$Z$63,U$32,FALSE)*$D$79*$A125/8760/1000*INDEX('Bulb Weighting'!$B$2:$C$17,MATCH(RIGHT('SC-New'!$D88,LEN($D125)-7),'Bulb Weighting'!$B$3:$B$17,0)+1,2)</f>
        <v>0</v>
      </c>
      <c r="V125" s="37">
        <f>VLOOKUP($C125,$D$60:$Z$63,V$32,FALSE)*$D$79*$A125/8760/1000*INDEX('Bulb Weighting'!$B$2:$C$17,MATCH(RIGHT('SC-New'!$D88,LEN($D125)-7),'Bulb Weighting'!$B$3:$B$17,0)+1,2)</f>
        <v>0</v>
      </c>
      <c r="W125" s="37">
        <f>VLOOKUP($C125,$D$60:$Z$63,W$32,FALSE)*$D$79*$A125/8760/1000*INDEX('Bulb Weighting'!$B$2:$C$17,MATCH(RIGHT('SC-New'!$D88,LEN($D125)-7),'Bulb Weighting'!$B$3:$B$17,0)+1,2)</f>
        <v>0</v>
      </c>
      <c r="X125" s="37">
        <f>VLOOKUP($C125,$D$60:$Z$63,X$32,FALSE)*$D$79*$A125/8760/1000*INDEX('Bulb Weighting'!$B$2:$C$17,MATCH(RIGHT('SC-New'!$D88,LEN($D125)-7),'Bulb Weighting'!$B$3:$B$17,0)+1,2)</f>
        <v>0</v>
      </c>
      <c r="Y125" s="448">
        <f>(VLOOKUP($C125,$D$43:$Z$46,$X$68+3,FALSE)+VLOOKUP($C125,$D$51:$Z$54,$X$68+3,FALSE))*$A125*$D$79/8760/1000*INDEX('Bulb Weighting'!$B$2:$C$17,MATCH(RIGHT('SC-New'!$D88,LEN($D125)-7),'Bulb Weighting'!$B$3:$B$17,0)+1,2)</f>
        <v>2.4215569939460956E-2</v>
      </c>
      <c r="Z125" s="32"/>
      <c r="AA125" s="32">
        <f>SUM(E125:X125)</f>
        <v>5.356465108088391E-3</v>
      </c>
      <c r="AB125" s="37"/>
      <c r="AC125" s="84"/>
    </row>
    <row r="126" spans="1:29" customFormat="1">
      <c r="A126" s="89">
        <f t="shared" si="30"/>
        <v>19.236292058718274</v>
      </c>
      <c r="B126" s="71">
        <f t="shared" si="31"/>
        <v>-15.059976945801358</v>
      </c>
      <c r="C126" s="1" t="str">
        <f>C16</f>
        <v>Manufactured</v>
      </c>
      <c r="D126" t="s">
        <v>716</v>
      </c>
      <c r="E126" s="37">
        <f>VLOOKUP($C126,$D$60:$Z$63,E$32,FALSE)*$D$79*$A126/8760/1000*INDEX('Bulb Weighting'!$B$2:$C$17,MATCH(RIGHT('SC-New'!$D89,LEN($D126)-7),'Bulb Weighting'!$B$3:$B$17,0)+1,2)</f>
        <v>8.2578943223394666E-2</v>
      </c>
      <c r="F126" s="37">
        <f>VLOOKUP($C126,$D$60:$Z$63,F$32,FALSE)*$D$79*$A126/8760/1000*INDEX('Bulb Weighting'!$B$2:$C$17,MATCH(RIGHT('SC-New'!$D89,LEN($D126)-7),'Bulb Weighting'!$B$3:$B$17,0)+1,2)</f>
        <v>0</v>
      </c>
      <c r="G126" s="37">
        <f>VLOOKUP($C126,$D$60:$Z$63,G$32,FALSE)*$D$79*$A126/8760/1000*INDEX('Bulb Weighting'!$B$2:$C$17,MATCH(RIGHT('SC-New'!$D89,LEN($D126)-7),'Bulb Weighting'!$B$3:$B$17,0)+1,2)</f>
        <v>0</v>
      </c>
      <c r="H126" s="37">
        <f>VLOOKUP($C126,$D$60:$Z$63,H$32,FALSE)*$D$79*$A126/8760/1000*INDEX('Bulb Weighting'!$B$2:$C$17,MATCH(RIGHT('SC-New'!$D89,LEN($D126)-7),'Bulb Weighting'!$B$3:$B$17,0)+1,2)</f>
        <v>0</v>
      </c>
      <c r="I126" s="37">
        <f>VLOOKUP($C126,$D$60:$Z$63,I$32,FALSE)*$D$79*$A126/8760/1000*INDEX('Bulb Weighting'!$B$2:$C$17,MATCH(RIGHT('SC-New'!$D89,LEN($D126)-7),'Bulb Weighting'!$B$3:$B$17,0)+1,2)</f>
        <v>0</v>
      </c>
      <c r="J126" s="37">
        <f>VLOOKUP($C126,$D$60:$Z$63,J$32,FALSE)*$D$79*$A126/8760/1000*INDEX('Bulb Weighting'!$B$2:$C$17,MATCH(RIGHT('SC-New'!$D89,LEN($D126)-7),'Bulb Weighting'!$B$3:$B$17,0)+1,2)</f>
        <v>0</v>
      </c>
      <c r="K126" s="37">
        <f>VLOOKUP($C126,$D$60:$Z$63,K$32,FALSE)*$D$79*$A126/8760/1000*INDEX('Bulb Weighting'!$B$2:$C$17,MATCH(RIGHT('SC-New'!$D89,LEN($D126)-7),'Bulb Weighting'!$B$3:$B$17,0)+1,2)</f>
        <v>0</v>
      </c>
      <c r="L126" s="37">
        <f>VLOOKUP($C126,$D$60:$Z$63,L$32,FALSE)*$D$79*$A126/8760/1000*INDEX('Bulb Weighting'!$B$2:$C$17,MATCH(RIGHT('SC-New'!$D89,LEN($D126)-7),'Bulb Weighting'!$B$3:$B$17,0)+1,2)</f>
        <v>0</v>
      </c>
      <c r="M126" s="37">
        <f>VLOOKUP($C126,$D$60:$Z$63,M$32,FALSE)*$D$79*$A126/8760/1000*INDEX('Bulb Weighting'!$B$2:$C$17,MATCH(RIGHT('SC-New'!$D89,LEN($D126)-7),'Bulb Weighting'!$B$3:$B$17,0)+1,2)</f>
        <v>0</v>
      </c>
      <c r="N126" s="37">
        <f>VLOOKUP($C126,$D$60:$Z$63,N$32,FALSE)*$D$79*$A126/8760/1000*INDEX('Bulb Weighting'!$B$2:$C$17,MATCH(RIGHT('SC-New'!$D89,LEN($D126)-7),'Bulb Weighting'!$B$3:$B$17,0)+1,2)</f>
        <v>0</v>
      </c>
      <c r="O126" s="37">
        <f>VLOOKUP($C126,$D$60:$Z$63,O$32,FALSE)*$D$79*$A126/8760/1000*INDEX('Bulb Weighting'!$B$2:$C$17,MATCH(RIGHT('SC-New'!$D89,LEN($D126)-7),'Bulb Weighting'!$B$3:$B$17,0)+1,2)</f>
        <v>0</v>
      </c>
      <c r="P126" s="37">
        <f>VLOOKUP($C126,$D$60:$Z$63,P$32,FALSE)*$D$79*$A126/8760/1000*INDEX('Bulb Weighting'!$B$2:$C$17,MATCH(RIGHT('SC-New'!$D89,LEN($D126)-7),'Bulb Weighting'!$B$3:$B$17,0)+1,2)</f>
        <v>0</v>
      </c>
      <c r="Q126" s="37">
        <f>VLOOKUP($C126,$D$60:$Z$63,Q$32,FALSE)*$D$79*$A126/8760/1000*INDEX('Bulb Weighting'!$B$2:$C$17,MATCH(RIGHT('SC-New'!$D89,LEN($D126)-7),'Bulb Weighting'!$B$3:$B$17,0)+1,2)</f>
        <v>0</v>
      </c>
      <c r="R126" s="37">
        <f>VLOOKUP($C126,$D$60:$Z$63,R$32,FALSE)*$D$79*$A126/8760/1000*INDEX('Bulb Weighting'!$B$2:$C$17,MATCH(RIGHT('SC-New'!$D89,LEN($D126)-7),'Bulb Weighting'!$B$3:$B$17,0)+1,2)</f>
        <v>0</v>
      </c>
      <c r="S126" s="37">
        <f>VLOOKUP($C126,$D$60:$Z$63,S$32,FALSE)*$D$79*$A126/8760/1000*INDEX('Bulb Weighting'!$B$2:$C$17,MATCH(RIGHT('SC-New'!$D89,LEN($D126)-7),'Bulb Weighting'!$B$3:$B$17,0)+1,2)</f>
        <v>0</v>
      </c>
      <c r="T126" s="37">
        <f>VLOOKUP($C126,$D$60:$Z$63,T$32,FALSE)*$D$79*$A126/8760/1000*INDEX('Bulb Weighting'!$B$2:$C$17,MATCH(RIGHT('SC-New'!$D89,LEN($D126)-7),'Bulb Weighting'!$B$3:$B$17,0)+1,2)</f>
        <v>0</v>
      </c>
      <c r="U126" s="37">
        <f>VLOOKUP($C126,$D$60:$Z$63,U$32,FALSE)*$D$79*$A126/8760/1000*INDEX('Bulb Weighting'!$B$2:$C$17,MATCH(RIGHT('SC-New'!$D89,LEN($D126)-7),'Bulb Weighting'!$B$3:$B$17,0)+1,2)</f>
        <v>0</v>
      </c>
      <c r="V126" s="37">
        <f>VLOOKUP($C126,$D$60:$Z$63,V$32,FALSE)*$D$79*$A126/8760/1000*INDEX('Bulb Weighting'!$B$2:$C$17,MATCH(RIGHT('SC-New'!$D89,LEN($D126)-7),'Bulb Weighting'!$B$3:$B$17,0)+1,2)</f>
        <v>0</v>
      </c>
      <c r="W126" s="37">
        <f>VLOOKUP($C126,$D$60:$Z$63,W$32,FALSE)*$D$79*$A126/8760/1000*INDEX('Bulb Weighting'!$B$2:$C$17,MATCH(RIGHT('SC-New'!$D89,LEN($D126)-7),'Bulb Weighting'!$B$3:$B$17,0)+1,2)</f>
        <v>0</v>
      </c>
      <c r="X126" s="37">
        <f>VLOOKUP($C126,$D$60:$Z$63,X$32,FALSE)*$D$79*$A126/8760/1000*INDEX('Bulb Weighting'!$B$2:$C$17,MATCH(RIGHT('SC-New'!$D89,LEN($D126)-7),'Bulb Weighting'!$B$3:$B$17,0)+1,2)</f>
        <v>0</v>
      </c>
      <c r="Y126" s="448">
        <f>(VLOOKUP($C126,$D$43:$Z$46,$X$68+3,FALSE)+VLOOKUP($C126,$D$51:$Z$54,$X$68+3,FALSE))*$A126*$D$79/8760/1000*INDEX('Bulb Weighting'!$B$2:$C$17,MATCH(RIGHT('SC-New'!$D89,LEN($D126)-7),'Bulb Weighting'!$B$3:$B$17,0)+1,2)</f>
        <v>0.37332384974062455</v>
      </c>
      <c r="Z126" s="32"/>
      <c r="AA126" s="32">
        <f t="shared" ref="AA126:AA128" si="43">SUM(E126:X126)</f>
        <v>8.2578943223394666E-2</v>
      </c>
      <c r="AB126" s="37"/>
      <c r="AC126" s="84"/>
    </row>
    <row r="127" spans="1:29" customFormat="1">
      <c r="A127" s="89">
        <f t="shared" si="30"/>
        <v>14.492020906444102</v>
      </c>
      <c r="B127" s="71">
        <f t="shared" si="31"/>
        <v>-3.5286913755547569</v>
      </c>
      <c r="C127" s="1" t="s">
        <v>30</v>
      </c>
      <c r="D127" t="s">
        <v>718</v>
      </c>
      <c r="E127" s="37">
        <f>VLOOKUP($C127,$D$60:$Z$63,E$32,FALSE)*$D$79*$A127/8760/1000*INDEX('Bulb Weighting'!$B$2:$C$17,MATCH(RIGHT('SC-New'!$D90,LEN($D127)-7),'Bulb Weighting'!$B$3:$B$17,0)+1,2)</f>
        <v>1.7063139053138214E-2</v>
      </c>
      <c r="F127" s="37">
        <f>VLOOKUP($C127,$D$60:$Z$63,F$32,FALSE)*$D$79*$A127/8760/1000*INDEX('Bulb Weighting'!$B$2:$C$17,MATCH(RIGHT('SC-New'!$D90,LEN($D127)-7),'Bulb Weighting'!$B$3:$B$17,0)+1,2)</f>
        <v>0</v>
      </c>
      <c r="G127" s="37">
        <f>VLOOKUP($C127,$D$60:$Z$63,G$32,FALSE)*$D$79*$A127/8760/1000*INDEX('Bulb Weighting'!$B$2:$C$17,MATCH(RIGHT('SC-New'!$D90,LEN($D127)-7),'Bulb Weighting'!$B$3:$B$17,0)+1,2)</f>
        <v>0</v>
      </c>
      <c r="H127" s="37">
        <f>VLOOKUP($C127,$D$60:$Z$63,H$32,FALSE)*$D$79*$A127/8760/1000*INDEX('Bulb Weighting'!$B$2:$C$17,MATCH(RIGHT('SC-New'!$D90,LEN($D127)-7),'Bulb Weighting'!$B$3:$B$17,0)+1,2)</f>
        <v>0</v>
      </c>
      <c r="I127" s="37">
        <f>VLOOKUP($C127,$D$60:$Z$63,I$32,FALSE)*$D$79*$A127/8760/1000*INDEX('Bulb Weighting'!$B$2:$C$17,MATCH(RIGHT('SC-New'!$D90,LEN($D127)-7),'Bulb Weighting'!$B$3:$B$17,0)+1,2)</f>
        <v>0</v>
      </c>
      <c r="J127" s="37">
        <f>VLOOKUP($C127,$D$60:$Z$63,J$32,FALSE)*$D$79*$A127/8760/1000*INDEX('Bulb Weighting'!$B$2:$C$17,MATCH(RIGHT('SC-New'!$D90,LEN($D127)-7),'Bulb Weighting'!$B$3:$B$17,0)+1,2)</f>
        <v>0</v>
      </c>
      <c r="K127" s="37">
        <f>VLOOKUP($C127,$D$60:$Z$63,K$32,FALSE)*$D$79*$A127/8760/1000*INDEX('Bulb Weighting'!$B$2:$C$17,MATCH(RIGHT('SC-New'!$D90,LEN($D127)-7),'Bulb Weighting'!$B$3:$B$17,0)+1,2)</f>
        <v>0</v>
      </c>
      <c r="L127" s="37">
        <f>VLOOKUP($C127,$D$60:$Z$63,L$32,FALSE)*$D$79*$A127/8760/1000*INDEX('Bulb Weighting'!$B$2:$C$17,MATCH(RIGHT('SC-New'!$D90,LEN($D127)-7),'Bulb Weighting'!$B$3:$B$17,0)+1,2)</f>
        <v>0</v>
      </c>
      <c r="M127" s="37">
        <f>VLOOKUP($C127,$D$60:$Z$63,M$32,FALSE)*$D$79*$A127/8760/1000*INDEX('Bulb Weighting'!$B$2:$C$17,MATCH(RIGHT('SC-New'!$D90,LEN($D127)-7),'Bulb Weighting'!$B$3:$B$17,0)+1,2)</f>
        <v>0</v>
      </c>
      <c r="N127" s="37">
        <f>VLOOKUP($C127,$D$60:$Z$63,N$32,FALSE)*$D$79*$A127/8760/1000*INDEX('Bulb Weighting'!$B$2:$C$17,MATCH(RIGHT('SC-New'!$D90,LEN($D127)-7),'Bulb Weighting'!$B$3:$B$17,0)+1,2)</f>
        <v>0</v>
      </c>
      <c r="O127" s="37">
        <f>VLOOKUP($C127,$D$60:$Z$63,O$32,FALSE)*$D$79*$A127/8760/1000*INDEX('Bulb Weighting'!$B$2:$C$17,MATCH(RIGHT('SC-New'!$D90,LEN($D127)-7),'Bulb Weighting'!$B$3:$B$17,0)+1,2)</f>
        <v>0</v>
      </c>
      <c r="P127" s="37">
        <f>VLOOKUP($C127,$D$60:$Z$63,P$32,FALSE)*$D$79*$A127/8760/1000*INDEX('Bulb Weighting'!$B$2:$C$17,MATCH(RIGHT('SC-New'!$D90,LEN($D127)-7),'Bulb Weighting'!$B$3:$B$17,0)+1,2)</f>
        <v>0</v>
      </c>
      <c r="Q127" s="37">
        <f>VLOOKUP($C127,$D$60:$Z$63,Q$32,FALSE)*$D$79*$A127/8760/1000*INDEX('Bulb Weighting'!$B$2:$C$17,MATCH(RIGHT('SC-New'!$D90,LEN($D127)-7),'Bulb Weighting'!$B$3:$B$17,0)+1,2)</f>
        <v>0</v>
      </c>
      <c r="R127" s="37">
        <f>VLOOKUP($C127,$D$60:$Z$63,R$32,FALSE)*$D$79*$A127/8760/1000*INDEX('Bulb Weighting'!$B$2:$C$17,MATCH(RIGHT('SC-New'!$D90,LEN($D127)-7),'Bulb Weighting'!$B$3:$B$17,0)+1,2)</f>
        <v>0</v>
      </c>
      <c r="S127" s="37">
        <f>VLOOKUP($C127,$D$60:$Z$63,S$32,FALSE)*$D$79*$A127/8760/1000*INDEX('Bulb Weighting'!$B$2:$C$17,MATCH(RIGHT('SC-New'!$D90,LEN($D127)-7),'Bulb Weighting'!$B$3:$B$17,0)+1,2)</f>
        <v>0</v>
      </c>
      <c r="T127" s="37">
        <f>VLOOKUP($C127,$D$60:$Z$63,T$32,FALSE)*$D$79*$A127/8760/1000*INDEX('Bulb Weighting'!$B$2:$C$17,MATCH(RIGHT('SC-New'!$D90,LEN($D127)-7),'Bulb Weighting'!$B$3:$B$17,0)+1,2)</f>
        <v>0</v>
      </c>
      <c r="U127" s="37">
        <f>VLOOKUP($C127,$D$60:$Z$63,U$32,FALSE)*$D$79*$A127/8760/1000*INDEX('Bulb Weighting'!$B$2:$C$17,MATCH(RIGHT('SC-New'!$D90,LEN($D127)-7),'Bulb Weighting'!$B$3:$B$17,0)+1,2)</f>
        <v>0</v>
      </c>
      <c r="V127" s="37">
        <f>VLOOKUP($C127,$D$60:$Z$63,V$32,FALSE)*$D$79*$A127/8760/1000*INDEX('Bulb Weighting'!$B$2:$C$17,MATCH(RIGHT('SC-New'!$D90,LEN($D127)-7),'Bulb Weighting'!$B$3:$B$17,0)+1,2)</f>
        <v>0</v>
      </c>
      <c r="W127" s="37">
        <f>VLOOKUP($C127,$D$60:$Z$63,W$32,FALSE)*$D$79*$A127/8760/1000*INDEX('Bulb Weighting'!$B$2:$C$17,MATCH(RIGHT('SC-New'!$D90,LEN($D127)-7),'Bulb Weighting'!$B$3:$B$17,0)+1,2)</f>
        <v>0</v>
      </c>
      <c r="X127" s="37">
        <f>VLOOKUP($C127,$D$60:$Z$63,X$32,FALSE)*$D$79*$A127/8760/1000*INDEX('Bulb Weighting'!$B$2:$C$17,MATCH(RIGHT('SC-New'!$D90,LEN($D127)-7),'Bulb Weighting'!$B$3:$B$17,0)+1,2)</f>
        <v>0</v>
      </c>
      <c r="Y127" s="448">
        <f>(VLOOKUP($C127,$D$43:$Z$46,$X$68+3,FALSE)+VLOOKUP($C127,$D$51:$Z$54,$X$68+3,FALSE))*$A127*$D$79/8760/1000*INDEX('Bulb Weighting'!$B$2:$C$17,MATCH(RIGHT('SC-New'!$D90,LEN($D127)-7),'Bulb Weighting'!$B$3:$B$17,0)+1,2)</f>
        <v>7.7139238059085583E-2</v>
      </c>
      <c r="Z127" s="32"/>
      <c r="AA127" s="32">
        <f t="shared" si="43"/>
        <v>1.7063139053138214E-2</v>
      </c>
      <c r="AB127" s="37"/>
      <c r="AC127" s="84"/>
    </row>
    <row r="128" spans="1:29" customFormat="1">
      <c r="A128" s="89">
        <f t="shared" si="30"/>
        <v>7.1768930642853626</v>
      </c>
      <c r="B128" s="71">
        <f t="shared" si="31"/>
        <v>355.22288385759038</v>
      </c>
      <c r="C128" s="1" t="s">
        <v>30</v>
      </c>
      <c r="D128" t="s">
        <v>720</v>
      </c>
      <c r="E128" s="37">
        <f>VLOOKUP($C128,$D$60:$Z$63,E$32,FALSE)*$D$79*$A128/8760/1000*INDEX('Bulb Weighting'!$B$2:$C$17,MATCH(RIGHT('SC-New'!$D91,LEN($D128)-7),'Bulb Weighting'!$B$3:$B$17,0)+1,2)</f>
        <v>1.6601645456576315E-4</v>
      </c>
      <c r="F128" s="37">
        <f>VLOOKUP($C128,$D$60:$Z$63,F$32,FALSE)*$D$79*$A128/8760/1000*INDEX('Bulb Weighting'!$B$2:$C$17,MATCH(RIGHT('SC-New'!$D91,LEN($D128)-7),'Bulb Weighting'!$B$3:$B$17,0)+1,2)</f>
        <v>0</v>
      </c>
      <c r="G128" s="37">
        <f>VLOOKUP($C128,$D$60:$Z$63,G$32,FALSE)*$D$79*$A128/8760/1000*INDEX('Bulb Weighting'!$B$2:$C$17,MATCH(RIGHT('SC-New'!$D91,LEN($D128)-7),'Bulb Weighting'!$B$3:$B$17,0)+1,2)</f>
        <v>0</v>
      </c>
      <c r="H128" s="37">
        <f>VLOOKUP($C128,$D$60:$Z$63,H$32,FALSE)*$D$79*$A128/8760/1000*INDEX('Bulb Weighting'!$B$2:$C$17,MATCH(RIGHT('SC-New'!$D91,LEN($D128)-7),'Bulb Weighting'!$B$3:$B$17,0)+1,2)</f>
        <v>0</v>
      </c>
      <c r="I128" s="37">
        <f>VLOOKUP($C128,$D$60:$Z$63,I$32,FALSE)*$D$79*$A128/8760/1000*INDEX('Bulb Weighting'!$B$2:$C$17,MATCH(RIGHT('SC-New'!$D91,LEN($D128)-7),'Bulb Weighting'!$B$3:$B$17,0)+1,2)</f>
        <v>0</v>
      </c>
      <c r="J128" s="37">
        <f>VLOOKUP($C128,$D$60:$Z$63,J$32,FALSE)*$D$79*$A128/8760/1000*INDEX('Bulb Weighting'!$B$2:$C$17,MATCH(RIGHT('SC-New'!$D91,LEN($D128)-7),'Bulb Weighting'!$B$3:$B$17,0)+1,2)</f>
        <v>0</v>
      </c>
      <c r="K128" s="37">
        <f>VLOOKUP($C128,$D$60:$Z$63,K$32,FALSE)*$D$79*$A128/8760/1000*INDEX('Bulb Weighting'!$B$2:$C$17,MATCH(RIGHT('SC-New'!$D91,LEN($D128)-7),'Bulb Weighting'!$B$3:$B$17,0)+1,2)</f>
        <v>0</v>
      </c>
      <c r="L128" s="37">
        <f>VLOOKUP($C128,$D$60:$Z$63,L$32,FALSE)*$D$79*$A128/8760/1000*INDEX('Bulb Weighting'!$B$2:$C$17,MATCH(RIGHT('SC-New'!$D91,LEN($D128)-7),'Bulb Weighting'!$B$3:$B$17,0)+1,2)</f>
        <v>0</v>
      </c>
      <c r="M128" s="37">
        <f>VLOOKUP($C128,$D$60:$Z$63,M$32,FALSE)*$D$79*$A128/8760/1000*INDEX('Bulb Weighting'!$B$2:$C$17,MATCH(RIGHT('SC-New'!$D91,LEN($D128)-7),'Bulb Weighting'!$B$3:$B$17,0)+1,2)</f>
        <v>0</v>
      </c>
      <c r="N128" s="37">
        <f>VLOOKUP($C128,$D$60:$Z$63,N$32,FALSE)*$D$79*$A128/8760/1000*INDEX('Bulb Weighting'!$B$2:$C$17,MATCH(RIGHT('SC-New'!$D91,LEN($D128)-7),'Bulb Weighting'!$B$3:$B$17,0)+1,2)</f>
        <v>0</v>
      </c>
      <c r="O128" s="37">
        <f>VLOOKUP($C128,$D$60:$Z$63,O$32,FALSE)*$D$79*$A128/8760/1000*INDEX('Bulb Weighting'!$B$2:$C$17,MATCH(RIGHT('SC-New'!$D91,LEN($D128)-7),'Bulb Weighting'!$B$3:$B$17,0)+1,2)</f>
        <v>0</v>
      </c>
      <c r="P128" s="37">
        <f>VLOOKUP($C128,$D$60:$Z$63,P$32,FALSE)*$D$79*$A128/8760/1000*INDEX('Bulb Weighting'!$B$2:$C$17,MATCH(RIGHT('SC-New'!$D91,LEN($D128)-7),'Bulb Weighting'!$B$3:$B$17,0)+1,2)</f>
        <v>0</v>
      </c>
      <c r="Q128" s="37">
        <f>VLOOKUP($C128,$D$60:$Z$63,Q$32,FALSE)*$D$79*$A128/8760/1000*INDEX('Bulb Weighting'!$B$2:$C$17,MATCH(RIGHT('SC-New'!$D91,LEN($D128)-7),'Bulb Weighting'!$B$3:$B$17,0)+1,2)</f>
        <v>0</v>
      </c>
      <c r="R128" s="37">
        <f>VLOOKUP($C128,$D$60:$Z$63,R$32,FALSE)*$D$79*$A128/8760/1000*INDEX('Bulb Weighting'!$B$2:$C$17,MATCH(RIGHT('SC-New'!$D91,LEN($D128)-7),'Bulb Weighting'!$B$3:$B$17,0)+1,2)</f>
        <v>0</v>
      </c>
      <c r="S128" s="37">
        <f>VLOOKUP($C128,$D$60:$Z$63,S$32,FALSE)*$D$79*$A128/8760/1000*INDEX('Bulb Weighting'!$B$2:$C$17,MATCH(RIGHT('SC-New'!$D91,LEN($D128)-7),'Bulb Weighting'!$B$3:$B$17,0)+1,2)</f>
        <v>0</v>
      </c>
      <c r="T128" s="37">
        <f>VLOOKUP($C128,$D$60:$Z$63,T$32,FALSE)*$D$79*$A128/8760/1000*INDEX('Bulb Weighting'!$B$2:$C$17,MATCH(RIGHT('SC-New'!$D91,LEN($D128)-7),'Bulb Weighting'!$B$3:$B$17,0)+1,2)</f>
        <v>0</v>
      </c>
      <c r="U128" s="37">
        <f>VLOOKUP($C128,$D$60:$Z$63,U$32,FALSE)*$D$79*$A128/8760/1000*INDEX('Bulb Weighting'!$B$2:$C$17,MATCH(RIGHT('SC-New'!$D91,LEN($D128)-7),'Bulb Weighting'!$B$3:$B$17,0)+1,2)</f>
        <v>0</v>
      </c>
      <c r="V128" s="37">
        <f>VLOOKUP($C128,$D$60:$Z$63,V$32,FALSE)*$D$79*$A128/8760/1000*INDEX('Bulb Weighting'!$B$2:$C$17,MATCH(RIGHT('SC-New'!$D91,LEN($D128)-7),'Bulb Weighting'!$B$3:$B$17,0)+1,2)</f>
        <v>0</v>
      </c>
      <c r="W128" s="37">
        <f>VLOOKUP($C128,$D$60:$Z$63,W$32,FALSE)*$D$79*$A128/8760/1000*INDEX('Bulb Weighting'!$B$2:$C$17,MATCH(RIGHT('SC-New'!$D91,LEN($D128)-7),'Bulb Weighting'!$B$3:$B$17,0)+1,2)</f>
        <v>0</v>
      </c>
      <c r="X128" s="37">
        <f>VLOOKUP($C128,$D$60:$Z$63,X$32,FALSE)*$D$79*$A128/8760/1000*INDEX('Bulb Weighting'!$B$2:$C$17,MATCH(RIGHT('SC-New'!$D91,LEN($D128)-7),'Bulb Weighting'!$B$3:$B$17,0)+1,2)</f>
        <v>0</v>
      </c>
      <c r="Y128" s="448">
        <f>(VLOOKUP($C128,$D$43:$Z$46,$X$68+3,FALSE)+VLOOKUP($C128,$D$51:$Z$54,$X$68+3,FALSE))*$A128*$D$79/8760/1000*INDEX('Bulb Weighting'!$B$2:$C$17,MATCH(RIGHT('SC-New'!$D91,LEN($D128)-7),'Bulb Weighting'!$B$3:$B$17,0)+1,2)</f>
        <v>7.5052912424800576E-4</v>
      </c>
      <c r="Z128" s="32"/>
      <c r="AA128" s="32">
        <f t="shared" si="43"/>
        <v>1.6601645456576315E-4</v>
      </c>
      <c r="AB128" s="37"/>
      <c r="AC128" s="84"/>
    </row>
    <row r="129" spans="1:29" customFormat="1">
      <c r="A129" s="89">
        <f t="shared" si="30"/>
        <v>1.835623194306955</v>
      </c>
      <c r="B129" s="71">
        <f t="shared" si="31"/>
        <v>45.354656455601045</v>
      </c>
      <c r="C129" s="1" t="s">
        <v>30</v>
      </c>
      <c r="D129" t="s">
        <v>722</v>
      </c>
      <c r="E129" s="37">
        <f>VLOOKUP($C129,$D$60:$Z$63,E$32,FALSE)*$D$79*$A129/8760/1000*INDEX('Bulb Weighting'!$B$2:$C$17,MATCH(RIGHT('SC-New'!$D92,LEN($D129)-7),'Bulb Weighting'!$B$3:$B$17,0)+1,2)</f>
        <v>6.5802679531742963E-3</v>
      </c>
      <c r="F129" s="37">
        <f>VLOOKUP($C129,$D$60:$Z$63,F$32,FALSE)*$D$79*$A129/8760/1000*INDEX('Bulb Weighting'!$B$2:$C$17,MATCH(RIGHT('SC-New'!$D92,LEN($D129)-7),'Bulb Weighting'!$B$3:$B$17,0)+1,2)</f>
        <v>0</v>
      </c>
      <c r="G129" s="37">
        <f>VLOOKUP($C129,$D$60:$Z$63,G$32,FALSE)*$D$79*$A129/8760/1000*INDEX('Bulb Weighting'!$B$2:$C$17,MATCH(RIGHT('SC-New'!$D92,LEN($D129)-7),'Bulb Weighting'!$B$3:$B$17,0)+1,2)</f>
        <v>0</v>
      </c>
      <c r="H129" s="37">
        <f>VLOOKUP($C129,$D$60:$Z$63,H$32,FALSE)*$D$79*$A129/8760/1000*INDEX('Bulb Weighting'!$B$2:$C$17,MATCH(RIGHT('SC-New'!$D92,LEN($D129)-7),'Bulb Weighting'!$B$3:$B$17,0)+1,2)</f>
        <v>0</v>
      </c>
      <c r="I129" s="37">
        <f>VLOOKUP($C129,$D$60:$Z$63,I$32,FALSE)*$D$79*$A129/8760/1000*INDEX('Bulb Weighting'!$B$2:$C$17,MATCH(RIGHT('SC-New'!$D92,LEN($D129)-7),'Bulb Weighting'!$B$3:$B$17,0)+1,2)</f>
        <v>0</v>
      </c>
      <c r="J129" s="37">
        <f>VLOOKUP($C129,$D$60:$Z$63,J$32,FALSE)*$D$79*$A129/8760/1000*INDEX('Bulb Weighting'!$B$2:$C$17,MATCH(RIGHT('SC-New'!$D92,LEN($D129)-7),'Bulb Weighting'!$B$3:$B$17,0)+1,2)</f>
        <v>0</v>
      </c>
      <c r="K129" s="37">
        <f>VLOOKUP($C129,$D$60:$Z$63,K$32,FALSE)*$D$79*$A129/8760/1000*INDEX('Bulb Weighting'!$B$2:$C$17,MATCH(RIGHT('SC-New'!$D92,LEN($D129)-7),'Bulb Weighting'!$B$3:$B$17,0)+1,2)</f>
        <v>0</v>
      </c>
      <c r="L129" s="37">
        <f>VLOOKUP($C129,$D$60:$Z$63,L$32,FALSE)*$D$79*$A129/8760/1000*INDEX('Bulb Weighting'!$B$2:$C$17,MATCH(RIGHT('SC-New'!$D92,LEN($D129)-7),'Bulb Weighting'!$B$3:$B$17,0)+1,2)</f>
        <v>0</v>
      </c>
      <c r="M129" s="37">
        <f>VLOOKUP($C129,$D$60:$Z$63,M$32,FALSE)*$D$79*$A129/8760/1000*INDEX('Bulb Weighting'!$B$2:$C$17,MATCH(RIGHT('SC-New'!$D92,LEN($D129)-7),'Bulb Weighting'!$B$3:$B$17,0)+1,2)</f>
        <v>0</v>
      </c>
      <c r="N129" s="37">
        <f>VLOOKUP($C129,$D$60:$Z$63,N$32,FALSE)*$D$79*$A129/8760/1000*INDEX('Bulb Weighting'!$B$2:$C$17,MATCH(RIGHT('SC-New'!$D92,LEN($D129)-7),'Bulb Weighting'!$B$3:$B$17,0)+1,2)</f>
        <v>0</v>
      </c>
      <c r="O129" s="37">
        <f>VLOOKUP($C129,$D$60:$Z$63,O$32,FALSE)*$D$79*$A129/8760/1000*INDEX('Bulb Weighting'!$B$2:$C$17,MATCH(RIGHT('SC-New'!$D92,LEN($D129)-7),'Bulb Weighting'!$B$3:$B$17,0)+1,2)</f>
        <v>0</v>
      </c>
      <c r="P129" s="37">
        <f>VLOOKUP($C129,$D$60:$Z$63,P$32,FALSE)*$D$79*$A129/8760/1000*INDEX('Bulb Weighting'!$B$2:$C$17,MATCH(RIGHT('SC-New'!$D92,LEN($D129)-7),'Bulb Weighting'!$B$3:$B$17,0)+1,2)</f>
        <v>0</v>
      </c>
      <c r="Q129" s="37">
        <f>VLOOKUP($C129,$D$60:$Z$63,Q$32,FALSE)*$D$79*$A129/8760/1000*INDEX('Bulb Weighting'!$B$2:$C$17,MATCH(RIGHT('SC-New'!$D92,LEN($D129)-7),'Bulb Weighting'!$B$3:$B$17,0)+1,2)</f>
        <v>0</v>
      </c>
      <c r="R129" s="37">
        <f>VLOOKUP($C129,$D$60:$Z$63,R$32,FALSE)*$D$79*$A129/8760/1000*INDEX('Bulb Weighting'!$B$2:$C$17,MATCH(RIGHT('SC-New'!$D92,LEN($D129)-7),'Bulb Weighting'!$B$3:$B$17,0)+1,2)</f>
        <v>0</v>
      </c>
      <c r="S129" s="37">
        <f>VLOOKUP($C129,$D$60:$Z$63,S$32,FALSE)*$D$79*$A129/8760/1000*INDEX('Bulb Weighting'!$B$2:$C$17,MATCH(RIGHT('SC-New'!$D92,LEN($D129)-7),'Bulb Weighting'!$B$3:$B$17,0)+1,2)</f>
        <v>0</v>
      </c>
      <c r="T129" s="37">
        <f>VLOOKUP($C129,$D$60:$Z$63,T$32,FALSE)*$D$79*$A129/8760/1000*INDEX('Bulb Weighting'!$B$2:$C$17,MATCH(RIGHT('SC-New'!$D92,LEN($D129)-7),'Bulb Weighting'!$B$3:$B$17,0)+1,2)</f>
        <v>0</v>
      </c>
      <c r="U129" s="37">
        <f>VLOOKUP($C129,$D$60:$Z$63,U$32,FALSE)*$D$79*$A129/8760/1000*INDEX('Bulb Weighting'!$B$2:$C$17,MATCH(RIGHT('SC-New'!$D92,LEN($D129)-7),'Bulb Weighting'!$B$3:$B$17,0)+1,2)</f>
        <v>0</v>
      </c>
      <c r="V129" s="37">
        <f>VLOOKUP($C129,$D$60:$Z$63,V$32,FALSE)*$D$79*$A129/8760/1000*INDEX('Bulb Weighting'!$B$2:$C$17,MATCH(RIGHT('SC-New'!$D92,LEN($D129)-7),'Bulb Weighting'!$B$3:$B$17,0)+1,2)</f>
        <v>0</v>
      </c>
      <c r="W129" s="37">
        <f>VLOOKUP($C129,$D$60:$Z$63,W$32,FALSE)*$D$79*$A129/8760/1000*INDEX('Bulb Weighting'!$B$2:$C$17,MATCH(RIGHT('SC-New'!$D92,LEN($D129)-7),'Bulb Weighting'!$B$3:$B$17,0)+1,2)</f>
        <v>0</v>
      </c>
      <c r="X129" s="37">
        <f>VLOOKUP($C129,$D$60:$Z$63,X$32,FALSE)*$D$79*$A129/8760/1000*INDEX('Bulb Weighting'!$B$2:$C$17,MATCH(RIGHT('SC-New'!$D92,LEN($D129)-7),'Bulb Weighting'!$B$3:$B$17,0)+1,2)</f>
        <v>0</v>
      </c>
      <c r="Y129" s="448">
        <f>(VLOOKUP($C129,$D$43:$Z$46,$X$68+3,FALSE)+VLOOKUP($C129,$D$51:$Z$54,$X$68+3,FALSE))*$A129*$D$79/8760/1000*INDEX('Bulb Weighting'!$B$2:$C$17,MATCH(RIGHT('SC-New'!$D92,LEN($D129)-7),'Bulb Weighting'!$B$3:$B$17,0)+1,2)</f>
        <v>2.9748152116191529E-2</v>
      </c>
      <c r="Z129" s="32"/>
      <c r="AA129" s="447">
        <f>SUM(E129:X129)</f>
        <v>6.5802679531742963E-3</v>
      </c>
      <c r="AB129" s="37"/>
      <c r="AC129" s="84"/>
    </row>
    <row r="130" spans="1:29" customFormat="1">
      <c r="A130" s="89">
        <f t="shared" si="30"/>
        <v>7.1645689261628798</v>
      </c>
      <c r="B130" s="71">
        <f t="shared" si="31"/>
        <v>56.611757463143533</v>
      </c>
      <c r="C130" s="1" t="s">
        <v>30</v>
      </c>
      <c r="D130" t="s">
        <v>724</v>
      </c>
      <c r="E130" s="37">
        <f>VLOOKUP($C130,$D$60:$Z$63,E$32,FALSE)*$D$79*$A130/8760/1000*INDEX('Bulb Weighting'!$B$2:$C$17,MATCH(RIGHT('SC-New'!$D93,LEN($D130)-7),'Bulb Weighting'!$B$3:$B$17,0)+1,2)</f>
        <v>0.1981839112216302</v>
      </c>
      <c r="F130" s="37">
        <f>VLOOKUP($C130,$D$60:$Z$63,F$32,FALSE)*$D$79*$A130/8760/1000*INDEX('Bulb Weighting'!$B$2:$C$17,MATCH(RIGHT('SC-New'!$D93,LEN($D130)-7),'Bulb Weighting'!$B$3:$B$17,0)+1,2)</f>
        <v>0</v>
      </c>
      <c r="G130" s="37">
        <f>VLOOKUP($C130,$D$60:$Z$63,G$32,FALSE)*$D$79*$A130/8760/1000*INDEX('Bulb Weighting'!$B$2:$C$17,MATCH(RIGHT('SC-New'!$D93,LEN($D130)-7),'Bulb Weighting'!$B$3:$B$17,0)+1,2)</f>
        <v>0</v>
      </c>
      <c r="H130" s="37">
        <f>VLOOKUP($C130,$D$60:$Z$63,H$32,FALSE)*$D$79*$A130/8760/1000*INDEX('Bulb Weighting'!$B$2:$C$17,MATCH(RIGHT('SC-New'!$D93,LEN($D130)-7),'Bulb Weighting'!$B$3:$B$17,0)+1,2)</f>
        <v>0</v>
      </c>
      <c r="I130" s="37">
        <f>VLOOKUP($C130,$D$60:$Z$63,I$32,FALSE)*$D$79*$A130/8760/1000*INDEX('Bulb Weighting'!$B$2:$C$17,MATCH(RIGHT('SC-New'!$D93,LEN($D130)-7),'Bulb Weighting'!$B$3:$B$17,0)+1,2)</f>
        <v>0</v>
      </c>
      <c r="J130" s="37">
        <f>VLOOKUP($C130,$D$60:$Z$63,J$32,FALSE)*$D$79*$A130/8760/1000*INDEX('Bulb Weighting'!$B$2:$C$17,MATCH(RIGHT('SC-New'!$D93,LEN($D130)-7),'Bulb Weighting'!$B$3:$B$17,0)+1,2)</f>
        <v>0</v>
      </c>
      <c r="K130" s="37">
        <f>VLOOKUP($C130,$D$60:$Z$63,K$32,FALSE)*$D$79*$A130/8760/1000*INDEX('Bulb Weighting'!$B$2:$C$17,MATCH(RIGHT('SC-New'!$D93,LEN($D130)-7),'Bulb Weighting'!$B$3:$B$17,0)+1,2)</f>
        <v>0</v>
      </c>
      <c r="L130" s="37">
        <f>VLOOKUP($C130,$D$60:$Z$63,L$32,FALSE)*$D$79*$A130/8760/1000*INDEX('Bulb Weighting'!$B$2:$C$17,MATCH(RIGHT('SC-New'!$D93,LEN($D130)-7),'Bulb Weighting'!$B$3:$B$17,0)+1,2)</f>
        <v>0</v>
      </c>
      <c r="M130" s="37">
        <f>VLOOKUP($C130,$D$60:$Z$63,M$32,FALSE)*$D$79*$A130/8760/1000*INDEX('Bulb Weighting'!$B$2:$C$17,MATCH(RIGHT('SC-New'!$D93,LEN($D130)-7),'Bulb Weighting'!$B$3:$B$17,0)+1,2)</f>
        <v>0</v>
      </c>
      <c r="N130" s="37">
        <f>VLOOKUP($C130,$D$60:$Z$63,N$32,FALSE)*$D$79*$A130/8760/1000*INDEX('Bulb Weighting'!$B$2:$C$17,MATCH(RIGHT('SC-New'!$D93,LEN($D130)-7),'Bulb Weighting'!$B$3:$B$17,0)+1,2)</f>
        <v>0</v>
      </c>
      <c r="O130" s="37">
        <f>VLOOKUP($C130,$D$60:$Z$63,O$32,FALSE)*$D$79*$A130/8760/1000*INDEX('Bulb Weighting'!$B$2:$C$17,MATCH(RIGHT('SC-New'!$D93,LEN($D130)-7),'Bulb Weighting'!$B$3:$B$17,0)+1,2)</f>
        <v>0</v>
      </c>
      <c r="P130" s="37">
        <f>VLOOKUP($C130,$D$60:$Z$63,P$32,FALSE)*$D$79*$A130/8760/1000*INDEX('Bulb Weighting'!$B$2:$C$17,MATCH(RIGHT('SC-New'!$D93,LEN($D130)-7),'Bulb Weighting'!$B$3:$B$17,0)+1,2)</f>
        <v>0</v>
      </c>
      <c r="Q130" s="37">
        <f>VLOOKUP($C130,$D$60:$Z$63,Q$32,FALSE)*$D$79*$A130/8760/1000*INDEX('Bulb Weighting'!$B$2:$C$17,MATCH(RIGHT('SC-New'!$D93,LEN($D130)-7),'Bulb Weighting'!$B$3:$B$17,0)+1,2)</f>
        <v>0</v>
      </c>
      <c r="R130" s="37">
        <f>VLOOKUP($C130,$D$60:$Z$63,R$32,FALSE)*$D$79*$A130/8760/1000*INDEX('Bulb Weighting'!$B$2:$C$17,MATCH(RIGHT('SC-New'!$D93,LEN($D130)-7),'Bulb Weighting'!$B$3:$B$17,0)+1,2)</f>
        <v>0</v>
      </c>
      <c r="S130" s="37">
        <f>VLOOKUP($C130,$D$60:$Z$63,S$32,FALSE)*$D$79*$A130/8760/1000*INDEX('Bulb Weighting'!$B$2:$C$17,MATCH(RIGHT('SC-New'!$D93,LEN($D130)-7),'Bulb Weighting'!$B$3:$B$17,0)+1,2)</f>
        <v>0</v>
      </c>
      <c r="T130" s="37">
        <f>VLOOKUP($C130,$D$60:$Z$63,T$32,FALSE)*$D$79*$A130/8760/1000*INDEX('Bulb Weighting'!$B$2:$C$17,MATCH(RIGHT('SC-New'!$D93,LEN($D130)-7),'Bulb Weighting'!$B$3:$B$17,0)+1,2)</f>
        <v>0</v>
      </c>
      <c r="U130" s="37">
        <f>VLOOKUP($C130,$D$60:$Z$63,U$32,FALSE)*$D$79*$A130/8760/1000*INDEX('Bulb Weighting'!$B$2:$C$17,MATCH(RIGHT('SC-New'!$D93,LEN($D130)-7),'Bulb Weighting'!$B$3:$B$17,0)+1,2)</f>
        <v>0</v>
      </c>
      <c r="V130" s="37">
        <f>VLOOKUP($C130,$D$60:$Z$63,V$32,FALSE)*$D$79*$A130/8760/1000*INDEX('Bulb Weighting'!$B$2:$C$17,MATCH(RIGHT('SC-New'!$D93,LEN($D130)-7),'Bulb Weighting'!$B$3:$B$17,0)+1,2)</f>
        <v>0</v>
      </c>
      <c r="W130" s="37">
        <f>VLOOKUP($C130,$D$60:$Z$63,W$32,FALSE)*$D$79*$A130/8760/1000*INDEX('Bulb Weighting'!$B$2:$C$17,MATCH(RIGHT('SC-New'!$D93,LEN($D130)-7),'Bulb Weighting'!$B$3:$B$17,0)+1,2)</f>
        <v>0</v>
      </c>
      <c r="X130" s="37">
        <f>VLOOKUP($C130,$D$60:$Z$63,X$32,FALSE)*$D$79*$A130/8760/1000*INDEX('Bulb Weighting'!$B$2:$C$17,MATCH(RIGHT('SC-New'!$D93,LEN($D130)-7),'Bulb Weighting'!$B$3:$B$17,0)+1,2)</f>
        <v>0</v>
      </c>
      <c r="Y130" s="448">
        <f>(VLOOKUP($C130,$D$43:$Z$46,$X$68+3,FALSE)+VLOOKUP($C130,$D$51:$Z$54,$X$68+3,FALSE))*$A130*$D$79/8760/1000*INDEX('Bulb Weighting'!$B$2:$C$17,MATCH(RIGHT('SC-New'!$D93,LEN($D130)-7),'Bulb Weighting'!$B$3:$B$17,0)+1,2)</f>
        <v>0.89595213750510494</v>
      </c>
      <c r="Z130" s="32"/>
      <c r="AA130" s="447">
        <f t="shared" ref="AA130:AA132" si="44">SUM(E130:X130)</f>
        <v>0.1981839112216302</v>
      </c>
      <c r="AB130" s="37"/>
      <c r="AC130" s="84"/>
    </row>
    <row r="131" spans="1:29" customFormat="1">
      <c r="A131" s="89">
        <f t="shared" si="30"/>
        <v>13.386672313322151</v>
      </c>
      <c r="B131" s="71">
        <f t="shared" si="31"/>
        <v>91.063681093838966</v>
      </c>
      <c r="C131" s="1" t="s">
        <v>30</v>
      </c>
      <c r="D131" t="s">
        <v>726</v>
      </c>
      <c r="E131" s="37">
        <f>VLOOKUP($C131,$D$60:$Z$63,E$32,FALSE)*$D$79*$A131/8760/1000*INDEX('Bulb Weighting'!$B$2:$C$17,MATCH(RIGHT('SC-New'!$D94,LEN($D131)-7),'Bulb Weighting'!$B$3:$B$17,0)+1,2)</f>
        <v>3.6919151039701371E-2</v>
      </c>
      <c r="F131" s="37">
        <f>VLOOKUP($C131,$D$60:$Z$63,F$32,FALSE)*$D$79*$A131/8760/1000*INDEX('Bulb Weighting'!$B$2:$C$17,MATCH(RIGHT('SC-New'!$D94,LEN($D131)-7),'Bulb Weighting'!$B$3:$B$17,0)+1,2)</f>
        <v>0</v>
      </c>
      <c r="G131" s="37">
        <f>VLOOKUP($C131,$D$60:$Z$63,G$32,FALSE)*$D$79*$A131/8760/1000*INDEX('Bulb Weighting'!$B$2:$C$17,MATCH(RIGHT('SC-New'!$D94,LEN($D131)-7),'Bulb Weighting'!$B$3:$B$17,0)+1,2)</f>
        <v>0</v>
      </c>
      <c r="H131" s="37">
        <f>VLOOKUP($C131,$D$60:$Z$63,H$32,FALSE)*$D$79*$A131/8760/1000*INDEX('Bulb Weighting'!$B$2:$C$17,MATCH(RIGHT('SC-New'!$D94,LEN($D131)-7),'Bulb Weighting'!$B$3:$B$17,0)+1,2)</f>
        <v>0</v>
      </c>
      <c r="I131" s="37">
        <f>VLOOKUP($C131,$D$60:$Z$63,I$32,FALSE)*$D$79*$A131/8760/1000*INDEX('Bulb Weighting'!$B$2:$C$17,MATCH(RIGHT('SC-New'!$D94,LEN($D131)-7),'Bulb Weighting'!$B$3:$B$17,0)+1,2)</f>
        <v>0</v>
      </c>
      <c r="J131" s="37">
        <f>VLOOKUP($C131,$D$60:$Z$63,J$32,FALSE)*$D$79*$A131/8760/1000*INDEX('Bulb Weighting'!$B$2:$C$17,MATCH(RIGHT('SC-New'!$D94,LEN($D131)-7),'Bulb Weighting'!$B$3:$B$17,0)+1,2)</f>
        <v>0</v>
      </c>
      <c r="K131" s="37">
        <f>VLOOKUP($C131,$D$60:$Z$63,K$32,FALSE)*$D$79*$A131/8760/1000*INDEX('Bulb Weighting'!$B$2:$C$17,MATCH(RIGHT('SC-New'!$D94,LEN($D131)-7),'Bulb Weighting'!$B$3:$B$17,0)+1,2)</f>
        <v>0</v>
      </c>
      <c r="L131" s="37">
        <f>VLOOKUP($C131,$D$60:$Z$63,L$32,FALSE)*$D$79*$A131/8760/1000*INDEX('Bulb Weighting'!$B$2:$C$17,MATCH(RIGHT('SC-New'!$D94,LEN($D131)-7),'Bulb Weighting'!$B$3:$B$17,0)+1,2)</f>
        <v>0</v>
      </c>
      <c r="M131" s="37">
        <f>VLOOKUP($C131,$D$60:$Z$63,M$32,FALSE)*$D$79*$A131/8760/1000*INDEX('Bulb Weighting'!$B$2:$C$17,MATCH(RIGHT('SC-New'!$D94,LEN($D131)-7),'Bulb Weighting'!$B$3:$B$17,0)+1,2)</f>
        <v>0</v>
      </c>
      <c r="N131" s="37">
        <f>VLOOKUP($C131,$D$60:$Z$63,N$32,FALSE)*$D$79*$A131/8760/1000*INDEX('Bulb Weighting'!$B$2:$C$17,MATCH(RIGHT('SC-New'!$D94,LEN($D131)-7),'Bulb Weighting'!$B$3:$B$17,0)+1,2)</f>
        <v>0</v>
      </c>
      <c r="O131" s="37">
        <f>VLOOKUP($C131,$D$60:$Z$63,O$32,FALSE)*$D$79*$A131/8760/1000*INDEX('Bulb Weighting'!$B$2:$C$17,MATCH(RIGHT('SC-New'!$D94,LEN($D131)-7),'Bulb Weighting'!$B$3:$B$17,0)+1,2)</f>
        <v>0</v>
      </c>
      <c r="P131" s="37">
        <f>VLOOKUP($C131,$D$60:$Z$63,P$32,FALSE)*$D$79*$A131/8760/1000*INDEX('Bulb Weighting'!$B$2:$C$17,MATCH(RIGHT('SC-New'!$D94,LEN($D131)-7),'Bulb Weighting'!$B$3:$B$17,0)+1,2)</f>
        <v>0</v>
      </c>
      <c r="Q131" s="37">
        <f>VLOOKUP($C131,$D$60:$Z$63,Q$32,FALSE)*$D$79*$A131/8760/1000*INDEX('Bulb Weighting'!$B$2:$C$17,MATCH(RIGHT('SC-New'!$D94,LEN($D131)-7),'Bulb Weighting'!$B$3:$B$17,0)+1,2)</f>
        <v>0</v>
      </c>
      <c r="R131" s="37">
        <f>VLOOKUP($C131,$D$60:$Z$63,R$32,FALSE)*$D$79*$A131/8760/1000*INDEX('Bulb Weighting'!$B$2:$C$17,MATCH(RIGHT('SC-New'!$D94,LEN($D131)-7),'Bulb Weighting'!$B$3:$B$17,0)+1,2)</f>
        <v>0</v>
      </c>
      <c r="S131" s="37">
        <f>VLOOKUP($C131,$D$60:$Z$63,S$32,FALSE)*$D$79*$A131/8760/1000*INDEX('Bulb Weighting'!$B$2:$C$17,MATCH(RIGHT('SC-New'!$D94,LEN($D131)-7),'Bulb Weighting'!$B$3:$B$17,0)+1,2)</f>
        <v>0</v>
      </c>
      <c r="T131" s="37">
        <f>VLOOKUP($C131,$D$60:$Z$63,T$32,FALSE)*$D$79*$A131/8760/1000*INDEX('Bulb Weighting'!$B$2:$C$17,MATCH(RIGHT('SC-New'!$D94,LEN($D131)-7),'Bulb Weighting'!$B$3:$B$17,0)+1,2)</f>
        <v>0</v>
      </c>
      <c r="U131" s="37">
        <f>VLOOKUP($C131,$D$60:$Z$63,U$32,FALSE)*$D$79*$A131/8760/1000*INDEX('Bulb Weighting'!$B$2:$C$17,MATCH(RIGHT('SC-New'!$D94,LEN($D131)-7),'Bulb Weighting'!$B$3:$B$17,0)+1,2)</f>
        <v>0</v>
      </c>
      <c r="V131" s="37">
        <f>VLOOKUP($C131,$D$60:$Z$63,V$32,FALSE)*$D$79*$A131/8760/1000*INDEX('Bulb Weighting'!$B$2:$C$17,MATCH(RIGHT('SC-New'!$D94,LEN($D131)-7),'Bulb Weighting'!$B$3:$B$17,0)+1,2)</f>
        <v>0</v>
      </c>
      <c r="W131" s="37">
        <f>VLOOKUP($C131,$D$60:$Z$63,W$32,FALSE)*$D$79*$A131/8760/1000*INDEX('Bulb Weighting'!$B$2:$C$17,MATCH(RIGHT('SC-New'!$D94,LEN($D131)-7),'Bulb Weighting'!$B$3:$B$17,0)+1,2)</f>
        <v>0</v>
      </c>
      <c r="X131" s="37">
        <f>VLOOKUP($C131,$D$60:$Z$63,X$32,FALSE)*$D$79*$A131/8760/1000*INDEX('Bulb Weighting'!$B$2:$C$17,MATCH(RIGHT('SC-New'!$D94,LEN($D131)-7),'Bulb Weighting'!$B$3:$B$17,0)+1,2)</f>
        <v>0</v>
      </c>
      <c r="Y131" s="448">
        <f>(VLOOKUP($C131,$D$43:$Z$46,$X$68+3,FALSE)+VLOOKUP($C131,$D$51:$Z$54,$X$68+3,FALSE))*$A131*$D$79/8760/1000*INDEX('Bulb Weighting'!$B$2:$C$17,MATCH(RIGHT('SC-New'!$D94,LEN($D131)-7),'Bulb Weighting'!$B$3:$B$17,0)+1,2)</f>
        <v>0.16690452865219302</v>
      </c>
      <c r="Z131" s="32"/>
      <c r="AA131" s="447">
        <f t="shared" si="44"/>
        <v>3.6919151039701371E-2</v>
      </c>
      <c r="AB131" s="37"/>
      <c r="AC131" s="84"/>
    </row>
    <row r="132" spans="1:29" customFormat="1">
      <c r="A132" s="89">
        <f t="shared" si="30"/>
        <v>14.33449498481688</v>
      </c>
      <c r="B132" s="71">
        <f t="shared" si="31"/>
        <v>-37.397069706053522</v>
      </c>
      <c r="C132" s="1" t="s">
        <v>30</v>
      </c>
      <c r="D132" t="s">
        <v>728</v>
      </c>
      <c r="E132" s="37">
        <f>VLOOKUP($C132,$D$60:$Z$63,E$32,FALSE)*$D$79*$A132/8760/1000*INDEX('Bulb Weighting'!$B$2:$C$17,MATCH(RIGHT('SC-New'!$D95,LEN($D132)-7),'Bulb Weighting'!$B$3:$B$17,0)+1,2)</f>
        <v>3.378803725888669E-2</v>
      </c>
      <c r="F132" s="37">
        <f>VLOOKUP($C132,$D$60:$Z$63,F$32,FALSE)*$D$79*$A132/8760/1000*INDEX('Bulb Weighting'!$B$2:$C$17,MATCH(RIGHT('SC-New'!$D95,LEN($D132)-7),'Bulb Weighting'!$B$3:$B$17,0)+1,2)</f>
        <v>0</v>
      </c>
      <c r="G132" s="37">
        <f>VLOOKUP($C132,$D$60:$Z$63,G$32,FALSE)*$D$79*$A132/8760/1000*INDEX('Bulb Weighting'!$B$2:$C$17,MATCH(RIGHT('SC-New'!$D95,LEN($D132)-7),'Bulb Weighting'!$B$3:$B$17,0)+1,2)</f>
        <v>0</v>
      </c>
      <c r="H132" s="37">
        <f>VLOOKUP($C132,$D$60:$Z$63,H$32,FALSE)*$D$79*$A132/8760/1000*INDEX('Bulb Weighting'!$B$2:$C$17,MATCH(RIGHT('SC-New'!$D95,LEN($D132)-7),'Bulb Weighting'!$B$3:$B$17,0)+1,2)</f>
        <v>0</v>
      </c>
      <c r="I132" s="37">
        <f>VLOOKUP($C132,$D$60:$Z$63,I$32,FALSE)*$D$79*$A132/8760/1000*INDEX('Bulb Weighting'!$B$2:$C$17,MATCH(RIGHT('SC-New'!$D95,LEN($D132)-7),'Bulb Weighting'!$B$3:$B$17,0)+1,2)</f>
        <v>0</v>
      </c>
      <c r="J132" s="37">
        <f>VLOOKUP($C132,$D$60:$Z$63,J$32,FALSE)*$D$79*$A132/8760/1000*INDEX('Bulb Weighting'!$B$2:$C$17,MATCH(RIGHT('SC-New'!$D95,LEN($D132)-7),'Bulb Weighting'!$B$3:$B$17,0)+1,2)</f>
        <v>0</v>
      </c>
      <c r="K132" s="37">
        <f>VLOOKUP($C132,$D$60:$Z$63,K$32,FALSE)*$D$79*$A132/8760/1000*INDEX('Bulb Weighting'!$B$2:$C$17,MATCH(RIGHT('SC-New'!$D95,LEN($D132)-7),'Bulb Weighting'!$B$3:$B$17,0)+1,2)</f>
        <v>0</v>
      </c>
      <c r="L132" s="37">
        <f>VLOOKUP($C132,$D$60:$Z$63,L$32,FALSE)*$D$79*$A132/8760/1000*INDEX('Bulb Weighting'!$B$2:$C$17,MATCH(RIGHT('SC-New'!$D95,LEN($D132)-7),'Bulb Weighting'!$B$3:$B$17,0)+1,2)</f>
        <v>0</v>
      </c>
      <c r="M132" s="37">
        <f>VLOOKUP($C132,$D$60:$Z$63,M$32,FALSE)*$D$79*$A132/8760/1000*INDEX('Bulb Weighting'!$B$2:$C$17,MATCH(RIGHT('SC-New'!$D95,LEN($D132)-7),'Bulb Weighting'!$B$3:$B$17,0)+1,2)</f>
        <v>0</v>
      </c>
      <c r="N132" s="37">
        <f>VLOOKUP($C132,$D$60:$Z$63,N$32,FALSE)*$D$79*$A132/8760/1000*INDEX('Bulb Weighting'!$B$2:$C$17,MATCH(RIGHT('SC-New'!$D95,LEN($D132)-7),'Bulb Weighting'!$B$3:$B$17,0)+1,2)</f>
        <v>0</v>
      </c>
      <c r="O132" s="37">
        <f>VLOOKUP($C132,$D$60:$Z$63,O$32,FALSE)*$D$79*$A132/8760/1000*INDEX('Bulb Weighting'!$B$2:$C$17,MATCH(RIGHT('SC-New'!$D95,LEN($D132)-7),'Bulb Weighting'!$B$3:$B$17,0)+1,2)</f>
        <v>0</v>
      </c>
      <c r="P132" s="37">
        <f>VLOOKUP($C132,$D$60:$Z$63,P$32,FALSE)*$D$79*$A132/8760/1000*INDEX('Bulb Weighting'!$B$2:$C$17,MATCH(RIGHT('SC-New'!$D95,LEN($D132)-7),'Bulb Weighting'!$B$3:$B$17,0)+1,2)</f>
        <v>0</v>
      </c>
      <c r="Q132" s="37">
        <f>VLOOKUP($C132,$D$60:$Z$63,Q$32,FALSE)*$D$79*$A132/8760/1000*INDEX('Bulb Weighting'!$B$2:$C$17,MATCH(RIGHT('SC-New'!$D95,LEN($D132)-7),'Bulb Weighting'!$B$3:$B$17,0)+1,2)</f>
        <v>0</v>
      </c>
      <c r="R132" s="37">
        <f>VLOOKUP($C132,$D$60:$Z$63,R$32,FALSE)*$D$79*$A132/8760/1000*INDEX('Bulb Weighting'!$B$2:$C$17,MATCH(RIGHT('SC-New'!$D95,LEN($D132)-7),'Bulb Weighting'!$B$3:$B$17,0)+1,2)</f>
        <v>0</v>
      </c>
      <c r="S132" s="37">
        <f>VLOOKUP($C132,$D$60:$Z$63,S$32,FALSE)*$D$79*$A132/8760/1000*INDEX('Bulb Weighting'!$B$2:$C$17,MATCH(RIGHT('SC-New'!$D95,LEN($D132)-7),'Bulb Weighting'!$B$3:$B$17,0)+1,2)</f>
        <v>0</v>
      </c>
      <c r="T132" s="37">
        <f>VLOOKUP($C132,$D$60:$Z$63,T$32,FALSE)*$D$79*$A132/8760/1000*INDEX('Bulb Weighting'!$B$2:$C$17,MATCH(RIGHT('SC-New'!$D95,LEN($D132)-7),'Bulb Weighting'!$B$3:$B$17,0)+1,2)</f>
        <v>0</v>
      </c>
      <c r="U132" s="37">
        <f>VLOOKUP($C132,$D$60:$Z$63,U$32,FALSE)*$D$79*$A132/8760/1000*INDEX('Bulb Weighting'!$B$2:$C$17,MATCH(RIGHT('SC-New'!$D95,LEN($D132)-7),'Bulb Weighting'!$B$3:$B$17,0)+1,2)</f>
        <v>0</v>
      </c>
      <c r="V132" s="37">
        <f>VLOOKUP($C132,$D$60:$Z$63,V$32,FALSE)*$D$79*$A132/8760/1000*INDEX('Bulb Weighting'!$B$2:$C$17,MATCH(RIGHT('SC-New'!$D95,LEN($D132)-7),'Bulb Weighting'!$B$3:$B$17,0)+1,2)</f>
        <v>0</v>
      </c>
      <c r="W132" s="37">
        <f>VLOOKUP($C132,$D$60:$Z$63,W$32,FALSE)*$D$79*$A132/8760/1000*INDEX('Bulb Weighting'!$B$2:$C$17,MATCH(RIGHT('SC-New'!$D95,LEN($D132)-7),'Bulb Weighting'!$B$3:$B$17,0)+1,2)</f>
        <v>0</v>
      </c>
      <c r="X132" s="37">
        <f>VLOOKUP($C132,$D$60:$Z$63,X$32,FALSE)*$D$79*$A132/8760/1000*INDEX('Bulb Weighting'!$B$2:$C$17,MATCH(RIGHT('SC-New'!$D95,LEN($D132)-7),'Bulb Weighting'!$B$3:$B$17,0)+1,2)</f>
        <v>0</v>
      </c>
      <c r="Y132" s="32">
        <f>(VLOOKUP($C132,$D$43:$Z$46,$X$68+3,FALSE)+VLOOKUP($C132,$D$51:$Z$54,$X$68+3,FALSE))*$A132*$D$79/8760/1000*INDEX('Bulb Weighting'!$B$2:$C$17,MATCH(RIGHT('SC-New'!$D95,LEN($D132)-7),'Bulb Weighting'!$B$3:$B$17,0)+1,2)</f>
        <v>0.15274935294998684</v>
      </c>
      <c r="Z132" s="32"/>
      <c r="AA132" s="32">
        <f t="shared" si="44"/>
        <v>3.378803725888669E-2</v>
      </c>
      <c r="AB132" s="37"/>
      <c r="AC132" s="84"/>
    </row>
    <row r="133" spans="1:29" customFormat="1">
      <c r="A133" s="89">
        <f t="shared" si="30"/>
        <v>9.8723739493112301</v>
      </c>
      <c r="B133" s="71">
        <f t="shared" si="31"/>
        <v>-94.996719014918995</v>
      </c>
      <c r="C133" s="1" t="s">
        <v>30</v>
      </c>
      <c r="D133" t="s">
        <v>730</v>
      </c>
      <c r="E133" s="37">
        <f>VLOOKUP($C133,$D$60:$Z$63,E$32,FALSE)*$D$79*$A133/8760/1000*INDEX('Bulb Weighting'!$B$2:$C$17,MATCH(RIGHT('SC-New'!$D96,LEN($D133)-7),'Bulb Weighting'!$B$3:$B$17,0)+1,2)</f>
        <v>1.4189640184792986E-2</v>
      </c>
      <c r="F133" s="37">
        <f>VLOOKUP($C133,$D$60:$Z$63,F$32,FALSE)*$D$79*$A133/8760/1000*INDEX('Bulb Weighting'!$B$2:$C$17,MATCH(RIGHT('SC-New'!$D96,LEN($D133)-7),'Bulb Weighting'!$B$3:$B$17,0)+1,2)</f>
        <v>0</v>
      </c>
      <c r="G133" s="37">
        <f>VLOOKUP($C133,$D$60:$Z$63,G$32,FALSE)*$D$79*$A133/8760/1000*INDEX('Bulb Weighting'!$B$2:$C$17,MATCH(RIGHT('SC-New'!$D96,LEN($D133)-7),'Bulb Weighting'!$B$3:$B$17,0)+1,2)</f>
        <v>0</v>
      </c>
      <c r="H133" s="37">
        <f>VLOOKUP($C133,$D$60:$Z$63,H$32,FALSE)*$D$79*$A133/8760/1000*INDEX('Bulb Weighting'!$B$2:$C$17,MATCH(RIGHT('SC-New'!$D96,LEN($D133)-7),'Bulb Weighting'!$B$3:$B$17,0)+1,2)</f>
        <v>0</v>
      </c>
      <c r="I133" s="37">
        <f>VLOOKUP($C133,$D$60:$Z$63,I$32,FALSE)*$D$79*$A133/8760/1000*INDEX('Bulb Weighting'!$B$2:$C$17,MATCH(RIGHT('SC-New'!$D96,LEN($D133)-7),'Bulb Weighting'!$B$3:$B$17,0)+1,2)</f>
        <v>0</v>
      </c>
      <c r="J133" s="37">
        <f>VLOOKUP($C133,$D$60:$Z$63,J$32,FALSE)*$D$79*$A133/8760/1000*INDEX('Bulb Weighting'!$B$2:$C$17,MATCH(RIGHT('SC-New'!$D96,LEN($D133)-7),'Bulb Weighting'!$B$3:$B$17,0)+1,2)</f>
        <v>0</v>
      </c>
      <c r="K133" s="37">
        <f>VLOOKUP($C133,$D$60:$Z$63,K$32,FALSE)*$D$79*$A133/8760/1000*INDEX('Bulb Weighting'!$B$2:$C$17,MATCH(RIGHT('SC-New'!$D96,LEN($D133)-7),'Bulb Weighting'!$B$3:$B$17,0)+1,2)</f>
        <v>0</v>
      </c>
      <c r="L133" s="37">
        <f>VLOOKUP($C133,$D$60:$Z$63,L$32,FALSE)*$D$79*$A133/8760/1000*INDEX('Bulb Weighting'!$B$2:$C$17,MATCH(RIGHT('SC-New'!$D96,LEN($D133)-7),'Bulb Weighting'!$B$3:$B$17,0)+1,2)</f>
        <v>0</v>
      </c>
      <c r="M133" s="37">
        <f>VLOOKUP($C133,$D$60:$Z$63,M$32,FALSE)*$D$79*$A133/8760/1000*INDEX('Bulb Weighting'!$B$2:$C$17,MATCH(RIGHT('SC-New'!$D96,LEN($D133)-7),'Bulb Weighting'!$B$3:$B$17,0)+1,2)</f>
        <v>0</v>
      </c>
      <c r="N133" s="37">
        <f>VLOOKUP($C133,$D$60:$Z$63,N$32,FALSE)*$D$79*$A133/8760/1000*INDEX('Bulb Weighting'!$B$2:$C$17,MATCH(RIGHT('SC-New'!$D96,LEN($D133)-7),'Bulb Weighting'!$B$3:$B$17,0)+1,2)</f>
        <v>0</v>
      </c>
      <c r="O133" s="37">
        <f>VLOOKUP($C133,$D$60:$Z$63,O$32,FALSE)*$D$79*$A133/8760/1000*INDEX('Bulb Weighting'!$B$2:$C$17,MATCH(RIGHT('SC-New'!$D96,LEN($D133)-7),'Bulb Weighting'!$B$3:$B$17,0)+1,2)</f>
        <v>0</v>
      </c>
      <c r="P133" s="37">
        <f>VLOOKUP($C133,$D$60:$Z$63,P$32,FALSE)*$D$79*$A133/8760/1000*INDEX('Bulb Weighting'!$B$2:$C$17,MATCH(RIGHT('SC-New'!$D96,LEN($D133)-7),'Bulb Weighting'!$B$3:$B$17,0)+1,2)</f>
        <v>0</v>
      </c>
      <c r="Q133" s="37">
        <f>VLOOKUP($C133,$D$60:$Z$63,Q$32,FALSE)*$D$79*$A133/8760/1000*INDEX('Bulb Weighting'!$B$2:$C$17,MATCH(RIGHT('SC-New'!$D96,LEN($D133)-7),'Bulb Weighting'!$B$3:$B$17,0)+1,2)</f>
        <v>0</v>
      </c>
      <c r="R133" s="37">
        <f>VLOOKUP($C133,$D$60:$Z$63,R$32,FALSE)*$D$79*$A133/8760/1000*INDEX('Bulb Weighting'!$B$2:$C$17,MATCH(RIGHT('SC-New'!$D96,LEN($D133)-7),'Bulb Weighting'!$B$3:$B$17,0)+1,2)</f>
        <v>0</v>
      </c>
      <c r="S133" s="37">
        <f>VLOOKUP($C133,$D$60:$Z$63,S$32,FALSE)*$D$79*$A133/8760/1000*INDEX('Bulb Weighting'!$B$2:$C$17,MATCH(RIGHT('SC-New'!$D96,LEN($D133)-7),'Bulb Weighting'!$B$3:$B$17,0)+1,2)</f>
        <v>0</v>
      </c>
      <c r="T133" s="37">
        <f>VLOOKUP($C133,$D$60:$Z$63,T$32,FALSE)*$D$79*$A133/8760/1000*INDEX('Bulb Weighting'!$B$2:$C$17,MATCH(RIGHT('SC-New'!$D96,LEN($D133)-7),'Bulb Weighting'!$B$3:$B$17,0)+1,2)</f>
        <v>0</v>
      </c>
      <c r="U133" s="37">
        <f>VLOOKUP($C133,$D$60:$Z$63,U$32,FALSE)*$D$79*$A133/8760/1000*INDEX('Bulb Weighting'!$B$2:$C$17,MATCH(RIGHT('SC-New'!$D96,LEN($D133)-7),'Bulb Weighting'!$B$3:$B$17,0)+1,2)</f>
        <v>0</v>
      </c>
      <c r="V133" s="37">
        <f>VLOOKUP($C133,$D$60:$Z$63,V$32,FALSE)*$D$79*$A133/8760/1000*INDEX('Bulb Weighting'!$B$2:$C$17,MATCH(RIGHT('SC-New'!$D96,LEN($D133)-7),'Bulb Weighting'!$B$3:$B$17,0)+1,2)</f>
        <v>0</v>
      </c>
      <c r="W133" s="37">
        <f>VLOOKUP($C133,$D$60:$Z$63,W$32,FALSE)*$D$79*$A133/8760/1000*INDEX('Bulb Weighting'!$B$2:$C$17,MATCH(RIGHT('SC-New'!$D96,LEN($D133)-7),'Bulb Weighting'!$B$3:$B$17,0)+1,2)</f>
        <v>0</v>
      </c>
      <c r="X133" s="37">
        <f>VLOOKUP($C133,$D$60:$Z$63,X$32,FALSE)*$D$79*$A133/8760/1000*INDEX('Bulb Weighting'!$B$2:$C$17,MATCH(RIGHT('SC-New'!$D96,LEN($D133)-7),'Bulb Weighting'!$B$3:$B$17,0)+1,2)</f>
        <v>0</v>
      </c>
      <c r="Y133" s="32">
        <f>(VLOOKUP($C133,$D$43:$Z$46,$X$68+3,FALSE)+VLOOKUP($C133,$D$51:$Z$54,$X$68+3,FALSE))*$A133*$D$79/8760/1000*INDEX('Bulb Weighting'!$B$2:$C$17,MATCH(RIGHT('SC-New'!$D96,LEN($D133)-7),'Bulb Weighting'!$B$3:$B$17,0)+1,2)</f>
        <v>6.4148690858040036E-2</v>
      </c>
      <c r="Z133" s="32"/>
      <c r="AA133" s="32">
        <f>SUM(E133:X133)</f>
        <v>1.4189640184792986E-2</v>
      </c>
      <c r="AB133" s="37"/>
      <c r="AC133" s="84"/>
    </row>
    <row r="134" spans="1:29" customFormat="1">
      <c r="A134" s="89">
        <f t="shared" si="30"/>
        <v>10.681196090262945</v>
      </c>
      <c r="B134" s="71">
        <f t="shared" si="31"/>
        <v>-99.87829920820603</v>
      </c>
      <c r="C134" s="1" t="s">
        <v>30</v>
      </c>
      <c r="D134" t="s">
        <v>732</v>
      </c>
      <c r="E134" s="37">
        <f>VLOOKUP($C134,$D$60:$Z$63,E$32,FALSE)*$D$79*$A134/8760/1000*INDEX('Bulb Weighting'!$B$2:$C$17,MATCH(RIGHT('SC-New'!$D97,LEN($D134)-7),'Bulb Weighting'!$B$3:$B$17,0)+1,2)</f>
        <v>1.1567982698754591E-3</v>
      </c>
      <c r="F134" s="37">
        <f>VLOOKUP($C134,$D$60:$Z$63,F$32,FALSE)*$D$79*$A134/8760/1000*INDEX('Bulb Weighting'!$B$2:$C$17,MATCH(RIGHT('SC-New'!$D97,LEN($D134)-7),'Bulb Weighting'!$B$3:$B$17,0)+1,2)</f>
        <v>0</v>
      </c>
      <c r="G134" s="37">
        <f>VLOOKUP($C134,$D$60:$Z$63,G$32,FALSE)*$D$79*$A134/8760/1000*INDEX('Bulb Weighting'!$B$2:$C$17,MATCH(RIGHT('SC-New'!$D97,LEN($D134)-7),'Bulb Weighting'!$B$3:$B$17,0)+1,2)</f>
        <v>0</v>
      </c>
      <c r="H134" s="37">
        <f>VLOOKUP($C134,$D$60:$Z$63,H$32,FALSE)*$D$79*$A134/8760/1000*INDEX('Bulb Weighting'!$B$2:$C$17,MATCH(RIGHT('SC-New'!$D97,LEN($D134)-7),'Bulb Weighting'!$B$3:$B$17,0)+1,2)</f>
        <v>0</v>
      </c>
      <c r="I134" s="37">
        <f>VLOOKUP($C134,$D$60:$Z$63,I$32,FALSE)*$D$79*$A134/8760/1000*INDEX('Bulb Weighting'!$B$2:$C$17,MATCH(RIGHT('SC-New'!$D97,LEN($D134)-7),'Bulb Weighting'!$B$3:$B$17,0)+1,2)</f>
        <v>0</v>
      </c>
      <c r="J134" s="37">
        <f>VLOOKUP($C134,$D$60:$Z$63,J$32,FALSE)*$D$79*$A134/8760/1000*INDEX('Bulb Weighting'!$B$2:$C$17,MATCH(RIGHT('SC-New'!$D97,LEN($D134)-7),'Bulb Weighting'!$B$3:$B$17,0)+1,2)</f>
        <v>0</v>
      </c>
      <c r="K134" s="37">
        <f>VLOOKUP($C134,$D$60:$Z$63,K$32,FALSE)*$D$79*$A134/8760/1000*INDEX('Bulb Weighting'!$B$2:$C$17,MATCH(RIGHT('SC-New'!$D97,LEN($D134)-7),'Bulb Weighting'!$B$3:$B$17,0)+1,2)</f>
        <v>0</v>
      </c>
      <c r="L134" s="37">
        <f>VLOOKUP($C134,$D$60:$Z$63,L$32,FALSE)*$D$79*$A134/8760/1000*INDEX('Bulb Weighting'!$B$2:$C$17,MATCH(RIGHT('SC-New'!$D97,LEN($D134)-7),'Bulb Weighting'!$B$3:$B$17,0)+1,2)</f>
        <v>0</v>
      </c>
      <c r="M134" s="37">
        <f>VLOOKUP($C134,$D$60:$Z$63,M$32,FALSE)*$D$79*$A134/8760/1000*INDEX('Bulb Weighting'!$B$2:$C$17,MATCH(RIGHT('SC-New'!$D97,LEN($D134)-7),'Bulb Weighting'!$B$3:$B$17,0)+1,2)</f>
        <v>0</v>
      </c>
      <c r="N134" s="37">
        <f>VLOOKUP($C134,$D$60:$Z$63,N$32,FALSE)*$D$79*$A134/8760/1000*INDEX('Bulb Weighting'!$B$2:$C$17,MATCH(RIGHT('SC-New'!$D97,LEN($D134)-7),'Bulb Weighting'!$B$3:$B$17,0)+1,2)</f>
        <v>0</v>
      </c>
      <c r="O134" s="37">
        <f>VLOOKUP($C134,$D$60:$Z$63,O$32,FALSE)*$D$79*$A134/8760/1000*INDEX('Bulb Weighting'!$B$2:$C$17,MATCH(RIGHT('SC-New'!$D97,LEN($D134)-7),'Bulb Weighting'!$B$3:$B$17,0)+1,2)</f>
        <v>0</v>
      </c>
      <c r="P134" s="37">
        <f>VLOOKUP($C134,$D$60:$Z$63,P$32,FALSE)*$D$79*$A134/8760/1000*INDEX('Bulb Weighting'!$B$2:$C$17,MATCH(RIGHT('SC-New'!$D97,LEN($D134)-7),'Bulb Weighting'!$B$3:$B$17,0)+1,2)</f>
        <v>0</v>
      </c>
      <c r="Q134" s="37">
        <f>VLOOKUP($C134,$D$60:$Z$63,Q$32,FALSE)*$D$79*$A134/8760/1000*INDEX('Bulb Weighting'!$B$2:$C$17,MATCH(RIGHT('SC-New'!$D97,LEN($D134)-7),'Bulb Weighting'!$B$3:$B$17,0)+1,2)</f>
        <v>0</v>
      </c>
      <c r="R134" s="37">
        <f>VLOOKUP($C134,$D$60:$Z$63,R$32,FALSE)*$D$79*$A134/8760/1000*INDEX('Bulb Weighting'!$B$2:$C$17,MATCH(RIGHT('SC-New'!$D97,LEN($D134)-7),'Bulb Weighting'!$B$3:$B$17,0)+1,2)</f>
        <v>0</v>
      </c>
      <c r="S134" s="37">
        <f>VLOOKUP($C134,$D$60:$Z$63,S$32,FALSE)*$D$79*$A134/8760/1000*INDEX('Bulb Weighting'!$B$2:$C$17,MATCH(RIGHT('SC-New'!$D97,LEN($D134)-7),'Bulb Weighting'!$B$3:$B$17,0)+1,2)</f>
        <v>0</v>
      </c>
      <c r="T134" s="37">
        <f>VLOOKUP($C134,$D$60:$Z$63,T$32,FALSE)*$D$79*$A134/8760/1000*INDEX('Bulb Weighting'!$B$2:$C$17,MATCH(RIGHT('SC-New'!$D97,LEN($D134)-7),'Bulb Weighting'!$B$3:$B$17,0)+1,2)</f>
        <v>0</v>
      </c>
      <c r="U134" s="37">
        <f>VLOOKUP($C134,$D$60:$Z$63,U$32,FALSE)*$D$79*$A134/8760/1000*INDEX('Bulb Weighting'!$B$2:$C$17,MATCH(RIGHT('SC-New'!$D97,LEN($D134)-7),'Bulb Weighting'!$B$3:$B$17,0)+1,2)</f>
        <v>0</v>
      </c>
      <c r="V134" s="37">
        <f>VLOOKUP($C134,$D$60:$Z$63,V$32,FALSE)*$D$79*$A134/8760/1000*INDEX('Bulb Weighting'!$B$2:$C$17,MATCH(RIGHT('SC-New'!$D97,LEN($D134)-7),'Bulb Weighting'!$B$3:$B$17,0)+1,2)</f>
        <v>0</v>
      </c>
      <c r="W134" s="37">
        <f>VLOOKUP($C134,$D$60:$Z$63,W$32,FALSE)*$D$79*$A134/8760/1000*INDEX('Bulb Weighting'!$B$2:$C$17,MATCH(RIGHT('SC-New'!$D97,LEN($D134)-7),'Bulb Weighting'!$B$3:$B$17,0)+1,2)</f>
        <v>0</v>
      </c>
      <c r="X134" s="37">
        <f>VLOOKUP($C134,$D$60:$Z$63,X$32,FALSE)*$D$79*$A134/8760/1000*INDEX('Bulb Weighting'!$B$2:$C$17,MATCH(RIGHT('SC-New'!$D97,LEN($D134)-7),'Bulb Weighting'!$B$3:$B$17,0)+1,2)</f>
        <v>0</v>
      </c>
      <c r="Y134" s="32">
        <f>(VLOOKUP($C134,$D$43:$Z$46,$X$68+3,FALSE)+VLOOKUP($C134,$D$51:$Z$54,$X$68+3,FALSE))*$A134*$D$79/8760/1000*INDEX('Bulb Weighting'!$B$2:$C$17,MATCH(RIGHT('SC-New'!$D97,LEN($D134)-7),'Bulb Weighting'!$B$3:$B$17,0)+1,2)</f>
        <v>5.2296671115652392E-3</v>
      </c>
      <c r="Z134" s="32"/>
      <c r="AA134" s="32">
        <f t="shared" ref="AA134:AA136" si="45">SUM(E134:X134)</f>
        <v>1.1567982698754591E-3</v>
      </c>
      <c r="AB134" s="37"/>
      <c r="AC134" s="84"/>
    </row>
    <row r="135" spans="1:29" customFormat="1">
      <c r="A135" s="89">
        <f t="shared" si="30"/>
        <v>20.374790406766845</v>
      </c>
      <c r="B135" s="71">
        <f t="shared" si="31"/>
        <v>-38.377975660533203</v>
      </c>
      <c r="C135" s="1" t="s">
        <v>30</v>
      </c>
      <c r="D135" t="s">
        <v>734</v>
      </c>
      <c r="E135" s="37">
        <f>VLOOKUP($C135,$D$60:$Z$63,E$32,FALSE)*$D$79*$A135/8760/1000*INDEX('Bulb Weighting'!$B$2:$C$17,MATCH(RIGHT('SC-New'!$D98,LEN($D135)-7),'Bulb Weighting'!$B$3:$B$17,0)+1,2)</f>
        <v>1.5275968229457145E-2</v>
      </c>
      <c r="F135" s="37">
        <f>VLOOKUP($C135,$D$60:$Z$63,F$32,FALSE)*$D$79*$A135/8760/1000*INDEX('Bulb Weighting'!$B$2:$C$17,MATCH(RIGHT('SC-New'!$D98,LEN($D135)-7),'Bulb Weighting'!$B$3:$B$17,0)+1,2)</f>
        <v>0</v>
      </c>
      <c r="G135" s="37">
        <f>VLOOKUP($C135,$D$60:$Z$63,G$32,FALSE)*$D$79*$A135/8760/1000*INDEX('Bulb Weighting'!$B$2:$C$17,MATCH(RIGHT('SC-New'!$D98,LEN($D135)-7),'Bulb Weighting'!$B$3:$B$17,0)+1,2)</f>
        <v>0</v>
      </c>
      <c r="H135" s="37">
        <f>VLOOKUP($C135,$D$60:$Z$63,H$32,FALSE)*$D$79*$A135/8760/1000*INDEX('Bulb Weighting'!$B$2:$C$17,MATCH(RIGHT('SC-New'!$D98,LEN($D135)-7),'Bulb Weighting'!$B$3:$B$17,0)+1,2)</f>
        <v>0</v>
      </c>
      <c r="I135" s="37">
        <f>VLOOKUP($C135,$D$60:$Z$63,I$32,FALSE)*$D$79*$A135/8760/1000*INDEX('Bulb Weighting'!$B$2:$C$17,MATCH(RIGHT('SC-New'!$D98,LEN($D135)-7),'Bulb Weighting'!$B$3:$B$17,0)+1,2)</f>
        <v>0</v>
      </c>
      <c r="J135" s="37">
        <f>VLOOKUP($C135,$D$60:$Z$63,J$32,FALSE)*$D$79*$A135/8760/1000*INDEX('Bulb Weighting'!$B$2:$C$17,MATCH(RIGHT('SC-New'!$D98,LEN($D135)-7),'Bulb Weighting'!$B$3:$B$17,0)+1,2)</f>
        <v>0</v>
      </c>
      <c r="K135" s="37">
        <f>VLOOKUP($C135,$D$60:$Z$63,K$32,FALSE)*$D$79*$A135/8760/1000*INDEX('Bulb Weighting'!$B$2:$C$17,MATCH(RIGHT('SC-New'!$D98,LEN($D135)-7),'Bulb Weighting'!$B$3:$B$17,0)+1,2)</f>
        <v>0</v>
      </c>
      <c r="L135" s="37">
        <f>VLOOKUP($C135,$D$60:$Z$63,L$32,FALSE)*$D$79*$A135/8760/1000*INDEX('Bulb Weighting'!$B$2:$C$17,MATCH(RIGHT('SC-New'!$D98,LEN($D135)-7),'Bulb Weighting'!$B$3:$B$17,0)+1,2)</f>
        <v>0</v>
      </c>
      <c r="M135" s="37">
        <f>VLOOKUP($C135,$D$60:$Z$63,M$32,FALSE)*$D$79*$A135/8760/1000*INDEX('Bulb Weighting'!$B$2:$C$17,MATCH(RIGHT('SC-New'!$D98,LEN($D135)-7),'Bulb Weighting'!$B$3:$B$17,0)+1,2)</f>
        <v>0</v>
      </c>
      <c r="N135" s="37">
        <f>VLOOKUP($C135,$D$60:$Z$63,N$32,FALSE)*$D$79*$A135/8760/1000*INDEX('Bulb Weighting'!$B$2:$C$17,MATCH(RIGHT('SC-New'!$D98,LEN($D135)-7),'Bulb Weighting'!$B$3:$B$17,0)+1,2)</f>
        <v>0</v>
      </c>
      <c r="O135" s="37">
        <f>VLOOKUP($C135,$D$60:$Z$63,O$32,FALSE)*$D$79*$A135/8760/1000*INDEX('Bulb Weighting'!$B$2:$C$17,MATCH(RIGHT('SC-New'!$D98,LEN($D135)-7),'Bulb Weighting'!$B$3:$B$17,0)+1,2)</f>
        <v>0</v>
      </c>
      <c r="P135" s="37">
        <f>VLOOKUP($C135,$D$60:$Z$63,P$32,FALSE)*$D$79*$A135/8760/1000*INDEX('Bulb Weighting'!$B$2:$C$17,MATCH(RIGHT('SC-New'!$D98,LEN($D135)-7),'Bulb Weighting'!$B$3:$B$17,0)+1,2)</f>
        <v>0</v>
      </c>
      <c r="Q135" s="37">
        <f>VLOOKUP($C135,$D$60:$Z$63,Q$32,FALSE)*$D$79*$A135/8760/1000*INDEX('Bulb Weighting'!$B$2:$C$17,MATCH(RIGHT('SC-New'!$D98,LEN($D135)-7),'Bulb Weighting'!$B$3:$B$17,0)+1,2)</f>
        <v>0</v>
      </c>
      <c r="R135" s="37">
        <f>VLOOKUP($C135,$D$60:$Z$63,R$32,FALSE)*$D$79*$A135/8760/1000*INDEX('Bulb Weighting'!$B$2:$C$17,MATCH(RIGHT('SC-New'!$D98,LEN($D135)-7),'Bulb Weighting'!$B$3:$B$17,0)+1,2)</f>
        <v>0</v>
      </c>
      <c r="S135" s="37">
        <f>VLOOKUP($C135,$D$60:$Z$63,S$32,FALSE)*$D$79*$A135/8760/1000*INDEX('Bulb Weighting'!$B$2:$C$17,MATCH(RIGHT('SC-New'!$D98,LEN($D135)-7),'Bulb Weighting'!$B$3:$B$17,0)+1,2)</f>
        <v>0</v>
      </c>
      <c r="T135" s="37">
        <f>VLOOKUP($C135,$D$60:$Z$63,T$32,FALSE)*$D$79*$A135/8760/1000*INDEX('Bulb Weighting'!$B$2:$C$17,MATCH(RIGHT('SC-New'!$D98,LEN($D135)-7),'Bulb Weighting'!$B$3:$B$17,0)+1,2)</f>
        <v>0</v>
      </c>
      <c r="U135" s="37">
        <f>VLOOKUP($C135,$D$60:$Z$63,U$32,FALSE)*$D$79*$A135/8760/1000*INDEX('Bulb Weighting'!$B$2:$C$17,MATCH(RIGHT('SC-New'!$D98,LEN($D135)-7),'Bulb Weighting'!$B$3:$B$17,0)+1,2)</f>
        <v>0</v>
      </c>
      <c r="V135" s="37">
        <f>VLOOKUP($C135,$D$60:$Z$63,V$32,FALSE)*$D$79*$A135/8760/1000*INDEX('Bulb Weighting'!$B$2:$C$17,MATCH(RIGHT('SC-New'!$D98,LEN($D135)-7),'Bulb Weighting'!$B$3:$B$17,0)+1,2)</f>
        <v>0</v>
      </c>
      <c r="W135" s="37">
        <f>VLOOKUP($C135,$D$60:$Z$63,W$32,FALSE)*$D$79*$A135/8760/1000*INDEX('Bulb Weighting'!$B$2:$C$17,MATCH(RIGHT('SC-New'!$D98,LEN($D135)-7),'Bulb Weighting'!$B$3:$B$17,0)+1,2)</f>
        <v>0</v>
      </c>
      <c r="X135" s="37">
        <f>VLOOKUP($C135,$D$60:$Z$63,X$32,FALSE)*$D$79*$A135/8760/1000*INDEX('Bulb Weighting'!$B$2:$C$17,MATCH(RIGHT('SC-New'!$D98,LEN($D135)-7),'Bulb Weighting'!$B$3:$B$17,0)+1,2)</f>
        <v>0</v>
      </c>
      <c r="Y135" s="32">
        <f>(VLOOKUP($C135,$D$43:$Z$46,$X$68+3,FALSE)+VLOOKUP($C135,$D$51:$Z$54,$X$68+3,FALSE))*$A135*$D$79/8760/1000*INDEX('Bulb Weighting'!$B$2:$C$17,MATCH(RIGHT('SC-New'!$D98,LEN($D135)-7),'Bulb Weighting'!$B$3:$B$17,0)+1,2)</f>
        <v>6.9059775353492087E-2</v>
      </c>
      <c r="Z135" s="32"/>
      <c r="AA135" s="32">
        <f t="shared" si="45"/>
        <v>1.5275968229457145E-2</v>
      </c>
      <c r="AB135" s="37"/>
      <c r="AC135" s="84"/>
    </row>
    <row r="136" spans="1:29" customFormat="1">
      <c r="A136" s="89">
        <f t="shared" si="30"/>
        <v>15.536210538971808</v>
      </c>
      <c r="B136" s="71">
        <f t="shared" si="31"/>
        <v>-47.72588478334999</v>
      </c>
      <c r="C136" s="1" t="s">
        <v>30</v>
      </c>
      <c r="D136" t="s">
        <v>736</v>
      </c>
      <c r="E136" s="37">
        <f>VLOOKUP($C136,$D$60:$Z$63,E$32,FALSE)*$D$79*$A136/8760/1000*INDEX('Bulb Weighting'!$B$2:$C$17,MATCH(RIGHT('SC-New'!$D99,LEN($D136)-7),'Bulb Weighting'!$B$3:$B$17,0)+1,2)</f>
        <v>0.11770206729325655</v>
      </c>
      <c r="F136" s="37">
        <f>VLOOKUP($C136,$D$60:$Z$63,F$32,FALSE)*$D$79*$A136/8760/1000*INDEX('Bulb Weighting'!$B$2:$C$17,MATCH(RIGHT('SC-New'!$D99,LEN($D136)-7),'Bulb Weighting'!$B$3:$B$17,0)+1,2)</f>
        <v>0</v>
      </c>
      <c r="G136" s="37">
        <f>VLOOKUP($C136,$D$60:$Z$63,G$32,FALSE)*$D$79*$A136/8760/1000*INDEX('Bulb Weighting'!$B$2:$C$17,MATCH(RIGHT('SC-New'!$D99,LEN($D136)-7),'Bulb Weighting'!$B$3:$B$17,0)+1,2)</f>
        <v>0</v>
      </c>
      <c r="H136" s="37">
        <f>VLOOKUP($C136,$D$60:$Z$63,H$32,FALSE)*$D$79*$A136/8760/1000*INDEX('Bulb Weighting'!$B$2:$C$17,MATCH(RIGHT('SC-New'!$D99,LEN($D136)-7),'Bulb Weighting'!$B$3:$B$17,0)+1,2)</f>
        <v>0</v>
      </c>
      <c r="I136" s="37">
        <f>VLOOKUP($C136,$D$60:$Z$63,I$32,FALSE)*$D$79*$A136/8760/1000*INDEX('Bulb Weighting'!$B$2:$C$17,MATCH(RIGHT('SC-New'!$D99,LEN($D136)-7),'Bulb Weighting'!$B$3:$B$17,0)+1,2)</f>
        <v>0</v>
      </c>
      <c r="J136" s="37">
        <f>VLOOKUP($C136,$D$60:$Z$63,J$32,FALSE)*$D$79*$A136/8760/1000*INDEX('Bulb Weighting'!$B$2:$C$17,MATCH(RIGHT('SC-New'!$D99,LEN($D136)-7),'Bulb Weighting'!$B$3:$B$17,0)+1,2)</f>
        <v>0</v>
      </c>
      <c r="K136" s="37">
        <f>VLOOKUP($C136,$D$60:$Z$63,K$32,FALSE)*$D$79*$A136/8760/1000*INDEX('Bulb Weighting'!$B$2:$C$17,MATCH(RIGHT('SC-New'!$D99,LEN($D136)-7),'Bulb Weighting'!$B$3:$B$17,0)+1,2)</f>
        <v>0</v>
      </c>
      <c r="L136" s="37">
        <f>VLOOKUP($C136,$D$60:$Z$63,L$32,FALSE)*$D$79*$A136/8760/1000*INDEX('Bulb Weighting'!$B$2:$C$17,MATCH(RIGHT('SC-New'!$D99,LEN($D136)-7),'Bulb Weighting'!$B$3:$B$17,0)+1,2)</f>
        <v>0</v>
      </c>
      <c r="M136" s="37">
        <f>VLOOKUP($C136,$D$60:$Z$63,M$32,FALSE)*$D$79*$A136/8760/1000*INDEX('Bulb Weighting'!$B$2:$C$17,MATCH(RIGHT('SC-New'!$D99,LEN($D136)-7),'Bulb Weighting'!$B$3:$B$17,0)+1,2)</f>
        <v>0</v>
      </c>
      <c r="N136" s="37">
        <f>VLOOKUP($C136,$D$60:$Z$63,N$32,FALSE)*$D$79*$A136/8760/1000*INDEX('Bulb Weighting'!$B$2:$C$17,MATCH(RIGHT('SC-New'!$D99,LEN($D136)-7),'Bulb Weighting'!$B$3:$B$17,0)+1,2)</f>
        <v>0</v>
      </c>
      <c r="O136" s="37">
        <f>VLOOKUP($C136,$D$60:$Z$63,O$32,FALSE)*$D$79*$A136/8760/1000*INDEX('Bulb Weighting'!$B$2:$C$17,MATCH(RIGHT('SC-New'!$D99,LEN($D136)-7),'Bulb Weighting'!$B$3:$B$17,0)+1,2)</f>
        <v>0</v>
      </c>
      <c r="P136" s="37">
        <f>VLOOKUP($C136,$D$60:$Z$63,P$32,FALSE)*$D$79*$A136/8760/1000*INDEX('Bulb Weighting'!$B$2:$C$17,MATCH(RIGHT('SC-New'!$D99,LEN($D136)-7),'Bulb Weighting'!$B$3:$B$17,0)+1,2)</f>
        <v>0</v>
      </c>
      <c r="Q136" s="37">
        <f>VLOOKUP($C136,$D$60:$Z$63,Q$32,FALSE)*$D$79*$A136/8760/1000*INDEX('Bulb Weighting'!$B$2:$C$17,MATCH(RIGHT('SC-New'!$D99,LEN($D136)-7),'Bulb Weighting'!$B$3:$B$17,0)+1,2)</f>
        <v>0</v>
      </c>
      <c r="R136" s="37">
        <f>VLOOKUP($C136,$D$60:$Z$63,R$32,FALSE)*$D$79*$A136/8760/1000*INDEX('Bulb Weighting'!$B$2:$C$17,MATCH(RIGHT('SC-New'!$D99,LEN($D136)-7),'Bulb Weighting'!$B$3:$B$17,0)+1,2)</f>
        <v>0</v>
      </c>
      <c r="S136" s="37">
        <f>VLOOKUP($C136,$D$60:$Z$63,S$32,FALSE)*$D$79*$A136/8760/1000*INDEX('Bulb Weighting'!$B$2:$C$17,MATCH(RIGHT('SC-New'!$D99,LEN($D136)-7),'Bulb Weighting'!$B$3:$B$17,0)+1,2)</f>
        <v>0</v>
      </c>
      <c r="T136" s="37">
        <f>VLOOKUP($C136,$D$60:$Z$63,T$32,FALSE)*$D$79*$A136/8760/1000*INDEX('Bulb Weighting'!$B$2:$C$17,MATCH(RIGHT('SC-New'!$D99,LEN($D136)-7),'Bulb Weighting'!$B$3:$B$17,0)+1,2)</f>
        <v>0</v>
      </c>
      <c r="U136" s="37">
        <f>VLOOKUP($C136,$D$60:$Z$63,U$32,FALSE)*$D$79*$A136/8760/1000*INDEX('Bulb Weighting'!$B$2:$C$17,MATCH(RIGHT('SC-New'!$D99,LEN($D136)-7),'Bulb Weighting'!$B$3:$B$17,0)+1,2)</f>
        <v>0</v>
      </c>
      <c r="V136" s="37">
        <f>VLOOKUP($C136,$D$60:$Z$63,V$32,FALSE)*$D$79*$A136/8760/1000*INDEX('Bulb Weighting'!$B$2:$C$17,MATCH(RIGHT('SC-New'!$D99,LEN($D136)-7),'Bulb Weighting'!$B$3:$B$17,0)+1,2)</f>
        <v>0</v>
      </c>
      <c r="W136" s="37">
        <f>VLOOKUP($C136,$D$60:$Z$63,W$32,FALSE)*$D$79*$A136/8760/1000*INDEX('Bulb Weighting'!$B$2:$C$17,MATCH(RIGHT('SC-New'!$D99,LEN($D136)-7),'Bulb Weighting'!$B$3:$B$17,0)+1,2)</f>
        <v>0</v>
      </c>
      <c r="X136" s="37">
        <f>VLOOKUP($C136,$D$60:$Z$63,X$32,FALSE)*$D$79*$A136/8760/1000*INDEX('Bulb Weighting'!$B$2:$C$17,MATCH(RIGHT('SC-New'!$D99,LEN($D136)-7),'Bulb Weighting'!$B$3:$B$17,0)+1,2)</f>
        <v>0</v>
      </c>
      <c r="Y136" s="32">
        <f>(VLOOKUP($C136,$D$43:$Z$46,$X$68+3,FALSE)+VLOOKUP($C136,$D$51:$Z$54,$X$68+3,FALSE))*$A136*$D$79/8760/1000*INDEX('Bulb Weighting'!$B$2:$C$17,MATCH(RIGHT('SC-New'!$D99,LEN($D136)-7),'Bulb Weighting'!$B$3:$B$17,0)+1,2)</f>
        <v>0.53210887871837143</v>
      </c>
      <c r="Z136" s="32"/>
      <c r="AA136" s="32">
        <f t="shared" si="45"/>
        <v>0.11770206729325655</v>
      </c>
      <c r="AB136" s="37"/>
      <c r="AC136" s="84"/>
    </row>
    <row r="137" spans="1:29" customFormat="1">
      <c r="A137" s="89">
        <f t="shared" si="30"/>
        <v>83.173238448682625</v>
      </c>
      <c r="B137" s="71">
        <f t="shared" si="31"/>
        <v>-27.334459272113147</v>
      </c>
      <c r="C137" s="1" t="s">
        <v>30</v>
      </c>
      <c r="D137" t="s">
        <v>738</v>
      </c>
      <c r="E137" s="37">
        <f>VLOOKUP($C137,$D$60:$Z$63,E$32,FALSE)*$D$79*$A137/8760/1000*INDEX('Bulb Weighting'!$B$2:$C$17,MATCH(RIGHT('SC-New'!$D100,LEN($D137)-7),'Bulb Weighting'!$B$3:$B$17,0)+1,2)</f>
        <v>5.1781496082048926E-2</v>
      </c>
      <c r="F137" s="37">
        <f>VLOOKUP($C137,$D$60:$Z$63,F$32,FALSE)*$D$79*$A137/8760/1000*INDEX('Bulb Weighting'!$B$2:$C$17,MATCH(RIGHT('SC-New'!$D100,LEN($D137)-7),'Bulb Weighting'!$B$3:$B$17,0)+1,2)</f>
        <v>0</v>
      </c>
      <c r="G137" s="37">
        <f>VLOOKUP($C137,$D$60:$Z$63,G$32,FALSE)*$D$79*$A137/8760/1000*INDEX('Bulb Weighting'!$B$2:$C$17,MATCH(RIGHT('SC-New'!$D100,LEN($D137)-7),'Bulb Weighting'!$B$3:$B$17,0)+1,2)</f>
        <v>0</v>
      </c>
      <c r="H137" s="37">
        <f>VLOOKUP($C137,$D$60:$Z$63,H$32,FALSE)*$D$79*$A137/8760/1000*INDEX('Bulb Weighting'!$B$2:$C$17,MATCH(RIGHT('SC-New'!$D100,LEN($D137)-7),'Bulb Weighting'!$B$3:$B$17,0)+1,2)</f>
        <v>0</v>
      </c>
      <c r="I137" s="37">
        <f>VLOOKUP($C137,$D$60:$Z$63,I$32,FALSE)*$D$79*$A137/8760/1000*INDEX('Bulb Weighting'!$B$2:$C$17,MATCH(RIGHT('SC-New'!$D100,LEN($D137)-7),'Bulb Weighting'!$B$3:$B$17,0)+1,2)</f>
        <v>0</v>
      </c>
      <c r="J137" s="37">
        <f>VLOOKUP($C137,$D$60:$Z$63,J$32,FALSE)*$D$79*$A137/8760/1000*INDEX('Bulb Weighting'!$B$2:$C$17,MATCH(RIGHT('SC-New'!$D100,LEN($D137)-7),'Bulb Weighting'!$B$3:$B$17,0)+1,2)</f>
        <v>0</v>
      </c>
      <c r="K137" s="37">
        <f>VLOOKUP($C137,$D$60:$Z$63,K$32,FALSE)*$D$79*$A137/8760/1000*INDEX('Bulb Weighting'!$B$2:$C$17,MATCH(RIGHT('SC-New'!$D100,LEN($D137)-7),'Bulb Weighting'!$B$3:$B$17,0)+1,2)</f>
        <v>0</v>
      </c>
      <c r="L137" s="37">
        <f>VLOOKUP($C137,$D$60:$Z$63,L$32,FALSE)*$D$79*$A137/8760/1000*INDEX('Bulb Weighting'!$B$2:$C$17,MATCH(RIGHT('SC-New'!$D100,LEN($D137)-7),'Bulb Weighting'!$B$3:$B$17,0)+1,2)</f>
        <v>0</v>
      </c>
      <c r="M137" s="37">
        <f>VLOOKUP($C137,$D$60:$Z$63,M$32,FALSE)*$D$79*$A137/8760/1000*INDEX('Bulb Weighting'!$B$2:$C$17,MATCH(RIGHT('SC-New'!$D100,LEN($D137)-7),'Bulb Weighting'!$B$3:$B$17,0)+1,2)</f>
        <v>0</v>
      </c>
      <c r="N137" s="37">
        <f>VLOOKUP($C137,$D$60:$Z$63,N$32,FALSE)*$D$79*$A137/8760/1000*INDEX('Bulb Weighting'!$B$2:$C$17,MATCH(RIGHT('SC-New'!$D100,LEN($D137)-7),'Bulb Weighting'!$B$3:$B$17,0)+1,2)</f>
        <v>0</v>
      </c>
      <c r="O137" s="37">
        <f>VLOOKUP($C137,$D$60:$Z$63,O$32,FALSE)*$D$79*$A137/8760/1000*INDEX('Bulb Weighting'!$B$2:$C$17,MATCH(RIGHT('SC-New'!$D100,LEN($D137)-7),'Bulb Weighting'!$B$3:$B$17,0)+1,2)</f>
        <v>0</v>
      </c>
      <c r="P137" s="37">
        <f>VLOOKUP($C137,$D$60:$Z$63,P$32,FALSE)*$D$79*$A137/8760/1000*INDEX('Bulb Weighting'!$B$2:$C$17,MATCH(RIGHT('SC-New'!$D100,LEN($D137)-7),'Bulb Weighting'!$B$3:$B$17,0)+1,2)</f>
        <v>0</v>
      </c>
      <c r="Q137" s="37">
        <f>VLOOKUP($C137,$D$60:$Z$63,Q$32,FALSE)*$D$79*$A137/8760/1000*INDEX('Bulb Weighting'!$B$2:$C$17,MATCH(RIGHT('SC-New'!$D100,LEN($D137)-7),'Bulb Weighting'!$B$3:$B$17,0)+1,2)</f>
        <v>0</v>
      </c>
      <c r="R137" s="37">
        <f>VLOOKUP($C137,$D$60:$Z$63,R$32,FALSE)*$D$79*$A137/8760/1000*INDEX('Bulb Weighting'!$B$2:$C$17,MATCH(RIGHT('SC-New'!$D100,LEN($D137)-7),'Bulb Weighting'!$B$3:$B$17,0)+1,2)</f>
        <v>0</v>
      </c>
      <c r="S137" s="37">
        <f>VLOOKUP($C137,$D$60:$Z$63,S$32,FALSE)*$D$79*$A137/8760/1000*INDEX('Bulb Weighting'!$B$2:$C$17,MATCH(RIGHT('SC-New'!$D100,LEN($D137)-7),'Bulb Weighting'!$B$3:$B$17,0)+1,2)</f>
        <v>0</v>
      </c>
      <c r="T137" s="37">
        <f>VLOOKUP($C137,$D$60:$Z$63,T$32,FALSE)*$D$79*$A137/8760/1000*INDEX('Bulb Weighting'!$B$2:$C$17,MATCH(RIGHT('SC-New'!$D100,LEN($D137)-7),'Bulb Weighting'!$B$3:$B$17,0)+1,2)</f>
        <v>0</v>
      </c>
      <c r="U137" s="37">
        <f>VLOOKUP($C137,$D$60:$Z$63,U$32,FALSE)*$D$79*$A137/8760/1000*INDEX('Bulb Weighting'!$B$2:$C$17,MATCH(RIGHT('SC-New'!$D100,LEN($D137)-7),'Bulb Weighting'!$B$3:$B$17,0)+1,2)</f>
        <v>0</v>
      </c>
      <c r="V137" s="37">
        <f>VLOOKUP($C137,$D$60:$Z$63,V$32,FALSE)*$D$79*$A137/8760/1000*INDEX('Bulb Weighting'!$B$2:$C$17,MATCH(RIGHT('SC-New'!$D100,LEN($D137)-7),'Bulb Weighting'!$B$3:$B$17,0)+1,2)</f>
        <v>0</v>
      </c>
      <c r="W137" s="37">
        <f>VLOOKUP($C137,$D$60:$Z$63,W$32,FALSE)*$D$79*$A137/8760/1000*INDEX('Bulb Weighting'!$B$2:$C$17,MATCH(RIGHT('SC-New'!$D100,LEN($D137)-7),'Bulb Weighting'!$B$3:$B$17,0)+1,2)</f>
        <v>0</v>
      </c>
      <c r="X137" s="37">
        <f>VLOOKUP($C137,$D$60:$Z$63,X$32,FALSE)*$D$79*$A137/8760/1000*INDEX('Bulb Weighting'!$B$2:$C$17,MATCH(RIGHT('SC-New'!$D100,LEN($D137)-7),'Bulb Weighting'!$B$3:$B$17,0)+1,2)</f>
        <v>0</v>
      </c>
      <c r="Y137" s="32">
        <f>(VLOOKUP($C137,$D$43:$Z$46,$X$68+3,FALSE)+VLOOKUP($C137,$D$51:$Z$54,$X$68+3,FALSE))*$A137*$D$79/8760/1000*INDEX('Bulb Weighting'!$B$2:$C$17,MATCH(RIGHT('SC-New'!$D100,LEN($D137)-7),'Bulb Weighting'!$B$3:$B$17,0)+1,2)</f>
        <v>0.23409439147682157</v>
      </c>
      <c r="Z137" s="32"/>
      <c r="AA137" s="32">
        <f>SUM(E137:X137)</f>
        <v>5.1781496082048926E-2</v>
      </c>
      <c r="AB137" s="37"/>
      <c r="AC137" s="84"/>
    </row>
    <row r="138" spans="1:29" customFormat="1">
      <c r="A138" s="89">
        <f t="shared" si="30"/>
        <v>48.421429568529426</v>
      </c>
      <c r="B138" s="71">
        <f t="shared" si="31"/>
        <v>-0.28395098554769854</v>
      </c>
      <c r="C138" s="1" t="s">
        <v>30</v>
      </c>
      <c r="D138" t="s">
        <v>740</v>
      </c>
      <c r="E138" s="37">
        <f>VLOOKUP($C138,$D$60:$Z$63,E$32,FALSE)*$D$79*$A138/8760/1000*INDEX('Bulb Weighting'!$B$2:$C$17,MATCH(RIGHT('SC-New'!$D101,LEN($D138)-7),'Bulb Weighting'!$B$3:$B$17,0)+1,2)</f>
        <v>4.7303042851447655E-4</v>
      </c>
      <c r="F138" s="37">
        <f>VLOOKUP($C138,$D$60:$Z$63,F$32,FALSE)*$D$79*$A138/8760/1000*INDEX('Bulb Weighting'!$B$2:$C$17,MATCH(RIGHT('SC-New'!$D101,LEN($D138)-7),'Bulb Weighting'!$B$3:$B$17,0)+1,2)</f>
        <v>0</v>
      </c>
      <c r="G138" s="37">
        <f>VLOOKUP($C138,$D$60:$Z$63,G$32,FALSE)*$D$79*$A138/8760/1000*INDEX('Bulb Weighting'!$B$2:$C$17,MATCH(RIGHT('SC-New'!$D101,LEN($D138)-7),'Bulb Weighting'!$B$3:$B$17,0)+1,2)</f>
        <v>0</v>
      </c>
      <c r="H138" s="37">
        <f>VLOOKUP($C138,$D$60:$Z$63,H$32,FALSE)*$D$79*$A138/8760/1000*INDEX('Bulb Weighting'!$B$2:$C$17,MATCH(RIGHT('SC-New'!$D101,LEN($D138)-7),'Bulb Weighting'!$B$3:$B$17,0)+1,2)</f>
        <v>0</v>
      </c>
      <c r="I138" s="37">
        <f>VLOOKUP($C138,$D$60:$Z$63,I$32,FALSE)*$D$79*$A138/8760/1000*INDEX('Bulb Weighting'!$B$2:$C$17,MATCH(RIGHT('SC-New'!$D101,LEN($D138)-7),'Bulb Weighting'!$B$3:$B$17,0)+1,2)</f>
        <v>0</v>
      </c>
      <c r="J138" s="37">
        <f>VLOOKUP($C138,$D$60:$Z$63,J$32,FALSE)*$D$79*$A138/8760/1000*INDEX('Bulb Weighting'!$B$2:$C$17,MATCH(RIGHT('SC-New'!$D101,LEN($D138)-7),'Bulb Weighting'!$B$3:$B$17,0)+1,2)</f>
        <v>0</v>
      </c>
      <c r="K138" s="37">
        <f>VLOOKUP($C138,$D$60:$Z$63,K$32,FALSE)*$D$79*$A138/8760/1000*INDEX('Bulb Weighting'!$B$2:$C$17,MATCH(RIGHT('SC-New'!$D101,LEN($D138)-7),'Bulb Weighting'!$B$3:$B$17,0)+1,2)</f>
        <v>0</v>
      </c>
      <c r="L138" s="37">
        <f>VLOOKUP($C138,$D$60:$Z$63,L$32,FALSE)*$D$79*$A138/8760/1000*INDEX('Bulb Weighting'!$B$2:$C$17,MATCH(RIGHT('SC-New'!$D101,LEN($D138)-7),'Bulb Weighting'!$B$3:$B$17,0)+1,2)</f>
        <v>0</v>
      </c>
      <c r="M138" s="37">
        <f>VLOOKUP($C138,$D$60:$Z$63,M$32,FALSE)*$D$79*$A138/8760/1000*INDEX('Bulb Weighting'!$B$2:$C$17,MATCH(RIGHT('SC-New'!$D101,LEN($D138)-7),'Bulb Weighting'!$B$3:$B$17,0)+1,2)</f>
        <v>0</v>
      </c>
      <c r="N138" s="37">
        <f>VLOOKUP($C138,$D$60:$Z$63,N$32,FALSE)*$D$79*$A138/8760/1000*INDEX('Bulb Weighting'!$B$2:$C$17,MATCH(RIGHT('SC-New'!$D101,LEN($D138)-7),'Bulb Weighting'!$B$3:$B$17,0)+1,2)</f>
        <v>0</v>
      </c>
      <c r="O138" s="37">
        <f>VLOOKUP($C138,$D$60:$Z$63,O$32,FALSE)*$D$79*$A138/8760/1000*INDEX('Bulb Weighting'!$B$2:$C$17,MATCH(RIGHT('SC-New'!$D101,LEN($D138)-7),'Bulb Weighting'!$B$3:$B$17,0)+1,2)</f>
        <v>0</v>
      </c>
      <c r="P138" s="37">
        <f>VLOOKUP($C138,$D$60:$Z$63,P$32,FALSE)*$D$79*$A138/8760/1000*INDEX('Bulb Weighting'!$B$2:$C$17,MATCH(RIGHT('SC-New'!$D101,LEN($D138)-7),'Bulb Weighting'!$B$3:$B$17,0)+1,2)</f>
        <v>0</v>
      </c>
      <c r="Q138" s="37">
        <f>VLOOKUP($C138,$D$60:$Z$63,Q$32,FALSE)*$D$79*$A138/8760/1000*INDEX('Bulb Weighting'!$B$2:$C$17,MATCH(RIGHT('SC-New'!$D101,LEN($D138)-7),'Bulb Weighting'!$B$3:$B$17,0)+1,2)</f>
        <v>0</v>
      </c>
      <c r="R138" s="37">
        <f>VLOOKUP($C138,$D$60:$Z$63,R$32,FALSE)*$D$79*$A138/8760/1000*INDEX('Bulb Weighting'!$B$2:$C$17,MATCH(RIGHT('SC-New'!$D101,LEN($D138)-7),'Bulb Weighting'!$B$3:$B$17,0)+1,2)</f>
        <v>0</v>
      </c>
      <c r="S138" s="37">
        <f>VLOOKUP($C138,$D$60:$Z$63,S$32,FALSE)*$D$79*$A138/8760/1000*INDEX('Bulb Weighting'!$B$2:$C$17,MATCH(RIGHT('SC-New'!$D101,LEN($D138)-7),'Bulb Weighting'!$B$3:$B$17,0)+1,2)</f>
        <v>0</v>
      </c>
      <c r="T138" s="37">
        <f>VLOOKUP($C138,$D$60:$Z$63,T$32,FALSE)*$D$79*$A138/8760/1000*INDEX('Bulb Weighting'!$B$2:$C$17,MATCH(RIGHT('SC-New'!$D101,LEN($D138)-7),'Bulb Weighting'!$B$3:$B$17,0)+1,2)</f>
        <v>0</v>
      </c>
      <c r="U138" s="37">
        <f>VLOOKUP($C138,$D$60:$Z$63,U$32,FALSE)*$D$79*$A138/8760/1000*INDEX('Bulb Weighting'!$B$2:$C$17,MATCH(RIGHT('SC-New'!$D101,LEN($D138)-7),'Bulb Weighting'!$B$3:$B$17,0)+1,2)</f>
        <v>0</v>
      </c>
      <c r="V138" s="37">
        <f>VLOOKUP($C138,$D$60:$Z$63,V$32,FALSE)*$D$79*$A138/8760/1000*INDEX('Bulb Weighting'!$B$2:$C$17,MATCH(RIGHT('SC-New'!$D101,LEN($D138)-7),'Bulb Weighting'!$B$3:$B$17,0)+1,2)</f>
        <v>0</v>
      </c>
      <c r="W138" s="37">
        <f>VLOOKUP($C138,$D$60:$Z$63,W$32,FALSE)*$D$79*$A138/8760/1000*INDEX('Bulb Weighting'!$B$2:$C$17,MATCH(RIGHT('SC-New'!$D101,LEN($D138)-7),'Bulb Weighting'!$B$3:$B$17,0)+1,2)</f>
        <v>0</v>
      </c>
      <c r="X138" s="37">
        <f>VLOOKUP($C138,$D$60:$Z$63,X$32,FALSE)*$D$79*$A138/8760/1000*INDEX('Bulb Weighting'!$B$2:$C$17,MATCH(RIGHT('SC-New'!$D101,LEN($D138)-7),'Bulb Weighting'!$B$3:$B$17,0)+1,2)</f>
        <v>0</v>
      </c>
      <c r="Y138" s="32">
        <f>(VLOOKUP($C138,$D$43:$Z$46,$X$68+3,FALSE)+VLOOKUP($C138,$D$51:$Z$54,$X$68+3,FALSE))*$A138*$D$79/8760/1000*INDEX('Bulb Weighting'!$B$2:$C$17,MATCH(RIGHT('SC-New'!$D101,LEN($D138)-7),'Bulb Weighting'!$B$3:$B$17,0)+1,2)</f>
        <v>2.1384814787439982E-3</v>
      </c>
      <c r="Z138" s="32"/>
      <c r="AA138" s="32">
        <f t="shared" ref="AA138:AA140" si="46">SUM(E138:X138)</f>
        <v>4.7303042851447655E-4</v>
      </c>
      <c r="AB138" s="37"/>
      <c r="AC138" s="84"/>
    </row>
    <row r="139" spans="1:29" customFormat="1">
      <c r="A139" s="89">
        <f t="shared" si="30"/>
        <v>52.157694278074032</v>
      </c>
      <c r="B139" s="71">
        <f t="shared" si="31"/>
        <v>-8.9398321624848585</v>
      </c>
      <c r="C139" s="1" t="s">
        <v>30</v>
      </c>
      <c r="D139" t="s">
        <v>742</v>
      </c>
      <c r="E139" s="37">
        <f>VLOOKUP($C139,$D$60:$Z$63,E$32,FALSE)*$D$79*$A139/8760/1000*INDEX('Bulb Weighting'!$B$2:$C$17,MATCH(RIGHT('SC-New'!$D102,LEN($D139)-7),'Bulb Weighting'!$B$3:$B$17,0)+1,2)</f>
        <v>6.2893445813945624E-3</v>
      </c>
      <c r="F139" s="37">
        <f>VLOOKUP($C139,$D$60:$Z$63,F$32,FALSE)*$D$79*$A139/8760/1000*INDEX('Bulb Weighting'!$B$2:$C$17,MATCH(RIGHT('SC-New'!$D102,LEN($D139)-7),'Bulb Weighting'!$B$3:$B$17,0)+1,2)</f>
        <v>0</v>
      </c>
      <c r="G139" s="37">
        <f>VLOOKUP($C139,$D$60:$Z$63,G$32,FALSE)*$D$79*$A139/8760/1000*INDEX('Bulb Weighting'!$B$2:$C$17,MATCH(RIGHT('SC-New'!$D102,LEN($D139)-7),'Bulb Weighting'!$B$3:$B$17,0)+1,2)</f>
        <v>0</v>
      </c>
      <c r="H139" s="37">
        <f>VLOOKUP($C139,$D$60:$Z$63,H$32,FALSE)*$D$79*$A139/8760/1000*INDEX('Bulb Weighting'!$B$2:$C$17,MATCH(RIGHT('SC-New'!$D102,LEN($D139)-7),'Bulb Weighting'!$B$3:$B$17,0)+1,2)</f>
        <v>0</v>
      </c>
      <c r="I139" s="37">
        <f>VLOOKUP($C139,$D$60:$Z$63,I$32,FALSE)*$D$79*$A139/8760/1000*INDEX('Bulb Weighting'!$B$2:$C$17,MATCH(RIGHT('SC-New'!$D102,LEN($D139)-7),'Bulb Weighting'!$B$3:$B$17,0)+1,2)</f>
        <v>0</v>
      </c>
      <c r="J139" s="37">
        <f>VLOOKUP($C139,$D$60:$Z$63,J$32,FALSE)*$D$79*$A139/8760/1000*INDEX('Bulb Weighting'!$B$2:$C$17,MATCH(RIGHT('SC-New'!$D102,LEN($D139)-7),'Bulb Weighting'!$B$3:$B$17,0)+1,2)</f>
        <v>0</v>
      </c>
      <c r="K139" s="37">
        <f>VLOOKUP($C139,$D$60:$Z$63,K$32,FALSE)*$D$79*$A139/8760/1000*INDEX('Bulb Weighting'!$B$2:$C$17,MATCH(RIGHT('SC-New'!$D102,LEN($D139)-7),'Bulb Weighting'!$B$3:$B$17,0)+1,2)</f>
        <v>0</v>
      </c>
      <c r="L139" s="37">
        <f>VLOOKUP($C139,$D$60:$Z$63,L$32,FALSE)*$D$79*$A139/8760/1000*INDEX('Bulb Weighting'!$B$2:$C$17,MATCH(RIGHT('SC-New'!$D102,LEN($D139)-7),'Bulb Weighting'!$B$3:$B$17,0)+1,2)</f>
        <v>0</v>
      </c>
      <c r="M139" s="37">
        <f>VLOOKUP($C139,$D$60:$Z$63,M$32,FALSE)*$D$79*$A139/8760/1000*INDEX('Bulb Weighting'!$B$2:$C$17,MATCH(RIGHT('SC-New'!$D102,LEN($D139)-7),'Bulb Weighting'!$B$3:$B$17,0)+1,2)</f>
        <v>0</v>
      </c>
      <c r="N139" s="37">
        <f>VLOOKUP($C139,$D$60:$Z$63,N$32,FALSE)*$D$79*$A139/8760/1000*INDEX('Bulb Weighting'!$B$2:$C$17,MATCH(RIGHT('SC-New'!$D102,LEN($D139)-7),'Bulb Weighting'!$B$3:$B$17,0)+1,2)</f>
        <v>0</v>
      </c>
      <c r="O139" s="37">
        <f>VLOOKUP($C139,$D$60:$Z$63,O$32,FALSE)*$D$79*$A139/8760/1000*INDEX('Bulb Weighting'!$B$2:$C$17,MATCH(RIGHT('SC-New'!$D102,LEN($D139)-7),'Bulb Weighting'!$B$3:$B$17,0)+1,2)</f>
        <v>0</v>
      </c>
      <c r="P139" s="37">
        <f>VLOOKUP($C139,$D$60:$Z$63,P$32,FALSE)*$D$79*$A139/8760/1000*INDEX('Bulb Weighting'!$B$2:$C$17,MATCH(RIGHT('SC-New'!$D102,LEN($D139)-7),'Bulb Weighting'!$B$3:$B$17,0)+1,2)</f>
        <v>0</v>
      </c>
      <c r="Q139" s="37">
        <f>VLOOKUP($C139,$D$60:$Z$63,Q$32,FALSE)*$D$79*$A139/8760/1000*INDEX('Bulb Weighting'!$B$2:$C$17,MATCH(RIGHT('SC-New'!$D102,LEN($D139)-7),'Bulb Weighting'!$B$3:$B$17,0)+1,2)</f>
        <v>0</v>
      </c>
      <c r="R139" s="37">
        <f>VLOOKUP($C139,$D$60:$Z$63,R$32,FALSE)*$D$79*$A139/8760/1000*INDEX('Bulb Weighting'!$B$2:$C$17,MATCH(RIGHT('SC-New'!$D102,LEN($D139)-7),'Bulb Weighting'!$B$3:$B$17,0)+1,2)</f>
        <v>0</v>
      </c>
      <c r="S139" s="37">
        <f>VLOOKUP($C139,$D$60:$Z$63,S$32,FALSE)*$D$79*$A139/8760/1000*INDEX('Bulb Weighting'!$B$2:$C$17,MATCH(RIGHT('SC-New'!$D102,LEN($D139)-7),'Bulb Weighting'!$B$3:$B$17,0)+1,2)</f>
        <v>0</v>
      </c>
      <c r="T139" s="37">
        <f>VLOOKUP($C139,$D$60:$Z$63,T$32,FALSE)*$D$79*$A139/8760/1000*INDEX('Bulb Weighting'!$B$2:$C$17,MATCH(RIGHT('SC-New'!$D102,LEN($D139)-7),'Bulb Weighting'!$B$3:$B$17,0)+1,2)</f>
        <v>0</v>
      </c>
      <c r="U139" s="37">
        <f>VLOOKUP($C139,$D$60:$Z$63,U$32,FALSE)*$D$79*$A139/8760/1000*INDEX('Bulb Weighting'!$B$2:$C$17,MATCH(RIGHT('SC-New'!$D102,LEN($D139)-7),'Bulb Weighting'!$B$3:$B$17,0)+1,2)</f>
        <v>0</v>
      </c>
      <c r="V139" s="37">
        <f>VLOOKUP($C139,$D$60:$Z$63,V$32,FALSE)*$D$79*$A139/8760/1000*INDEX('Bulb Weighting'!$B$2:$C$17,MATCH(RIGHT('SC-New'!$D102,LEN($D139)-7),'Bulb Weighting'!$B$3:$B$17,0)+1,2)</f>
        <v>0</v>
      </c>
      <c r="W139" s="37">
        <f>VLOOKUP($C139,$D$60:$Z$63,W$32,FALSE)*$D$79*$A139/8760/1000*INDEX('Bulb Weighting'!$B$2:$C$17,MATCH(RIGHT('SC-New'!$D102,LEN($D139)-7),'Bulb Weighting'!$B$3:$B$17,0)+1,2)</f>
        <v>0</v>
      </c>
      <c r="X139" s="37">
        <f>VLOOKUP($C139,$D$60:$Z$63,X$32,FALSE)*$D$79*$A139/8760/1000*INDEX('Bulb Weighting'!$B$2:$C$17,MATCH(RIGHT('SC-New'!$D102,LEN($D139)-7),'Bulb Weighting'!$B$3:$B$17,0)+1,2)</f>
        <v>0</v>
      </c>
      <c r="Y139" s="32">
        <f>(VLOOKUP($C139,$D$43:$Z$46,$X$68+3,FALSE)+VLOOKUP($C139,$D$51:$Z$54,$X$68+3,FALSE))*$A139*$D$79/8760/1000*INDEX('Bulb Weighting'!$B$2:$C$17,MATCH(RIGHT('SC-New'!$D102,LEN($D139)-7),'Bulb Weighting'!$B$3:$B$17,0)+1,2)</f>
        <v>2.8432942343664863E-2</v>
      </c>
      <c r="Z139" s="32"/>
      <c r="AA139" s="32">
        <f t="shared" si="46"/>
        <v>6.2893445813945624E-3</v>
      </c>
      <c r="AB139" s="37"/>
      <c r="AC139" s="84"/>
    </row>
    <row r="140" spans="1:29" customFormat="1">
      <c r="A140" s="89">
        <f t="shared" si="30"/>
        <v>46.673278979590322</v>
      </c>
      <c r="B140" s="71">
        <f t="shared" si="31"/>
        <v>-22.011904676498236</v>
      </c>
      <c r="C140" s="1" t="s">
        <v>30</v>
      </c>
      <c r="D140" t="s">
        <v>744</v>
      </c>
      <c r="E140" s="37">
        <f>VLOOKUP($C140,$D$60:$Z$63,E$32,FALSE)*$D$79*$A140/8760/1000*INDEX('Bulb Weighting'!$B$2:$C$17,MATCH(RIGHT('SC-New'!$D103,LEN($D140)-7),'Bulb Weighting'!$B$3:$B$17,0)+1,2)</f>
        <v>2.1762932887014905E-2</v>
      </c>
      <c r="F140" s="37">
        <f>VLOOKUP($C140,$D$60:$Z$63,F$32,FALSE)*$D$79*$A140/8760/1000*INDEX('Bulb Weighting'!$B$2:$C$17,MATCH(RIGHT('SC-New'!$D103,LEN($D140)-7),'Bulb Weighting'!$B$3:$B$17,0)+1,2)</f>
        <v>0</v>
      </c>
      <c r="G140" s="37">
        <f>VLOOKUP($C140,$D$60:$Z$63,G$32,FALSE)*$D$79*$A140/8760/1000*INDEX('Bulb Weighting'!$B$2:$C$17,MATCH(RIGHT('SC-New'!$D103,LEN($D140)-7),'Bulb Weighting'!$B$3:$B$17,0)+1,2)</f>
        <v>0</v>
      </c>
      <c r="H140" s="37">
        <f>VLOOKUP($C140,$D$60:$Z$63,H$32,FALSE)*$D$79*$A140/8760/1000*INDEX('Bulb Weighting'!$B$2:$C$17,MATCH(RIGHT('SC-New'!$D103,LEN($D140)-7),'Bulb Weighting'!$B$3:$B$17,0)+1,2)</f>
        <v>0</v>
      </c>
      <c r="I140" s="37">
        <f>VLOOKUP($C140,$D$60:$Z$63,I$32,FALSE)*$D$79*$A140/8760/1000*INDEX('Bulb Weighting'!$B$2:$C$17,MATCH(RIGHT('SC-New'!$D103,LEN($D140)-7),'Bulb Weighting'!$B$3:$B$17,0)+1,2)</f>
        <v>0</v>
      </c>
      <c r="J140" s="37">
        <f>VLOOKUP($C140,$D$60:$Z$63,J$32,FALSE)*$D$79*$A140/8760/1000*INDEX('Bulb Weighting'!$B$2:$C$17,MATCH(RIGHT('SC-New'!$D103,LEN($D140)-7),'Bulb Weighting'!$B$3:$B$17,0)+1,2)</f>
        <v>0</v>
      </c>
      <c r="K140" s="37">
        <f>VLOOKUP($C140,$D$60:$Z$63,K$32,FALSE)*$D$79*$A140/8760/1000*INDEX('Bulb Weighting'!$B$2:$C$17,MATCH(RIGHT('SC-New'!$D103,LEN($D140)-7),'Bulb Weighting'!$B$3:$B$17,0)+1,2)</f>
        <v>0</v>
      </c>
      <c r="L140" s="37">
        <f>VLOOKUP($C140,$D$60:$Z$63,L$32,FALSE)*$D$79*$A140/8760/1000*INDEX('Bulb Weighting'!$B$2:$C$17,MATCH(RIGHT('SC-New'!$D103,LEN($D140)-7),'Bulb Weighting'!$B$3:$B$17,0)+1,2)</f>
        <v>0</v>
      </c>
      <c r="M140" s="37">
        <f>VLOOKUP($C140,$D$60:$Z$63,M$32,FALSE)*$D$79*$A140/8760/1000*INDEX('Bulb Weighting'!$B$2:$C$17,MATCH(RIGHT('SC-New'!$D103,LEN($D140)-7),'Bulb Weighting'!$B$3:$B$17,0)+1,2)</f>
        <v>0</v>
      </c>
      <c r="N140" s="37">
        <f>VLOOKUP($C140,$D$60:$Z$63,N$32,FALSE)*$D$79*$A140/8760/1000*INDEX('Bulb Weighting'!$B$2:$C$17,MATCH(RIGHT('SC-New'!$D103,LEN($D140)-7),'Bulb Weighting'!$B$3:$B$17,0)+1,2)</f>
        <v>0</v>
      </c>
      <c r="O140" s="37">
        <f>VLOOKUP($C140,$D$60:$Z$63,O$32,FALSE)*$D$79*$A140/8760/1000*INDEX('Bulb Weighting'!$B$2:$C$17,MATCH(RIGHT('SC-New'!$D103,LEN($D140)-7),'Bulb Weighting'!$B$3:$B$17,0)+1,2)</f>
        <v>0</v>
      </c>
      <c r="P140" s="37">
        <f>VLOOKUP($C140,$D$60:$Z$63,P$32,FALSE)*$D$79*$A140/8760/1000*INDEX('Bulb Weighting'!$B$2:$C$17,MATCH(RIGHT('SC-New'!$D103,LEN($D140)-7),'Bulb Weighting'!$B$3:$B$17,0)+1,2)</f>
        <v>0</v>
      </c>
      <c r="Q140" s="37">
        <f>VLOOKUP($C140,$D$60:$Z$63,Q$32,FALSE)*$D$79*$A140/8760/1000*INDEX('Bulb Weighting'!$B$2:$C$17,MATCH(RIGHT('SC-New'!$D103,LEN($D140)-7),'Bulb Weighting'!$B$3:$B$17,0)+1,2)</f>
        <v>0</v>
      </c>
      <c r="R140" s="37">
        <f>VLOOKUP($C140,$D$60:$Z$63,R$32,FALSE)*$D$79*$A140/8760/1000*INDEX('Bulb Weighting'!$B$2:$C$17,MATCH(RIGHT('SC-New'!$D103,LEN($D140)-7),'Bulb Weighting'!$B$3:$B$17,0)+1,2)</f>
        <v>0</v>
      </c>
      <c r="S140" s="37">
        <f>VLOOKUP($C140,$D$60:$Z$63,S$32,FALSE)*$D$79*$A140/8760/1000*INDEX('Bulb Weighting'!$B$2:$C$17,MATCH(RIGHT('SC-New'!$D103,LEN($D140)-7),'Bulb Weighting'!$B$3:$B$17,0)+1,2)</f>
        <v>0</v>
      </c>
      <c r="T140" s="37">
        <f>VLOOKUP($C140,$D$60:$Z$63,T$32,FALSE)*$D$79*$A140/8760/1000*INDEX('Bulb Weighting'!$B$2:$C$17,MATCH(RIGHT('SC-New'!$D103,LEN($D140)-7),'Bulb Weighting'!$B$3:$B$17,0)+1,2)</f>
        <v>0</v>
      </c>
      <c r="U140" s="37">
        <f>VLOOKUP($C140,$D$60:$Z$63,U$32,FALSE)*$D$79*$A140/8760/1000*INDEX('Bulb Weighting'!$B$2:$C$17,MATCH(RIGHT('SC-New'!$D103,LEN($D140)-7),'Bulb Weighting'!$B$3:$B$17,0)+1,2)</f>
        <v>0</v>
      </c>
      <c r="V140" s="37">
        <f>VLOOKUP($C140,$D$60:$Z$63,V$32,FALSE)*$D$79*$A140/8760/1000*INDEX('Bulb Weighting'!$B$2:$C$17,MATCH(RIGHT('SC-New'!$D103,LEN($D140)-7),'Bulb Weighting'!$B$3:$B$17,0)+1,2)</f>
        <v>0</v>
      </c>
      <c r="W140" s="37">
        <f>VLOOKUP($C140,$D$60:$Z$63,W$32,FALSE)*$D$79*$A140/8760/1000*INDEX('Bulb Weighting'!$B$2:$C$17,MATCH(RIGHT('SC-New'!$D103,LEN($D140)-7),'Bulb Weighting'!$B$3:$B$17,0)+1,2)</f>
        <v>0</v>
      </c>
      <c r="X140" s="37">
        <f>VLOOKUP($C140,$D$60:$Z$63,X$32,FALSE)*$D$79*$A140/8760/1000*INDEX('Bulb Weighting'!$B$2:$C$17,MATCH(RIGHT('SC-New'!$D103,LEN($D140)-7),'Bulb Weighting'!$B$3:$B$17,0)+1,2)</f>
        <v>0</v>
      </c>
      <c r="Y140" s="32">
        <f>(VLOOKUP($C140,$D$43:$Z$46,$X$68+3,FALSE)+VLOOKUP($C140,$D$51:$Z$54,$X$68+3,FALSE))*$A140*$D$79/8760/1000*INDEX('Bulb Weighting'!$B$2:$C$17,MATCH(RIGHT('SC-New'!$D103,LEN($D140)-7),'Bulb Weighting'!$B$3:$B$17,0)+1,2)</f>
        <v>9.8386120842553257E-2</v>
      </c>
      <c r="Z140" s="32"/>
      <c r="AA140" s="32">
        <f t="shared" si="46"/>
        <v>2.1762932887014905E-2</v>
      </c>
      <c r="AB140" s="37"/>
      <c r="AC140" s="84"/>
    </row>
    <row r="141" spans="1:29" customForma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ustomFormat="1">
      <c r="A142" s="1"/>
      <c r="B142" s="85">
        <f>SUMPRODUCT(B81:B84,AA81:AA84)/SUM(AA81:AA84)</f>
        <v>-8.8959810748639558</v>
      </c>
      <c r="C142" s="1"/>
      <c r="D142" s="84"/>
      <c r="E142" s="37">
        <f>SUM(E81:E140)</f>
        <v>9.508634918805372</v>
      </c>
      <c r="F142" s="37">
        <f t="shared" ref="F142:W142" si="47">SUM(F81:F140)</f>
        <v>0</v>
      </c>
      <c r="G142" s="37">
        <f t="shared" si="47"/>
        <v>0</v>
      </c>
      <c r="H142" s="37">
        <f t="shared" si="47"/>
        <v>0</v>
      </c>
      <c r="I142" s="37">
        <f t="shared" si="47"/>
        <v>0</v>
      </c>
      <c r="J142" s="37">
        <f t="shared" si="47"/>
        <v>0</v>
      </c>
      <c r="K142" s="37">
        <f t="shared" si="47"/>
        <v>0</v>
      </c>
      <c r="L142" s="37">
        <f t="shared" si="47"/>
        <v>0</v>
      </c>
      <c r="M142" s="37">
        <f t="shared" si="47"/>
        <v>0</v>
      </c>
      <c r="N142" s="37">
        <f t="shared" si="47"/>
        <v>0</v>
      </c>
      <c r="O142" s="37">
        <f t="shared" si="47"/>
        <v>0</v>
      </c>
      <c r="P142" s="37">
        <f t="shared" si="47"/>
        <v>0</v>
      </c>
      <c r="Q142" s="37">
        <f t="shared" si="47"/>
        <v>0</v>
      </c>
      <c r="R142" s="37">
        <f t="shared" si="47"/>
        <v>0</v>
      </c>
      <c r="S142" s="37">
        <f t="shared" si="47"/>
        <v>0</v>
      </c>
      <c r="T142" s="37">
        <f t="shared" si="47"/>
        <v>0</v>
      </c>
      <c r="U142" s="37">
        <f t="shared" si="47"/>
        <v>0</v>
      </c>
      <c r="V142" s="37">
        <f t="shared" si="47"/>
        <v>0</v>
      </c>
      <c r="W142" s="37">
        <f t="shared" si="47"/>
        <v>0</v>
      </c>
      <c r="X142" s="37">
        <f>SUM(X81:X140)</f>
        <v>0</v>
      </c>
      <c r="Y142" s="37">
        <f>SUM(Y81:Y140)</f>
        <v>42.986747651438726</v>
      </c>
      <c r="Z142" s="31"/>
      <c r="AA142" s="1"/>
      <c r="AB142" s="31"/>
      <c r="AC142" s="37"/>
    </row>
    <row r="143" spans="1:29" customFormat="1">
      <c r="A143" s="1"/>
      <c r="B143" s="1"/>
      <c r="C143" s="1"/>
      <c r="D143" s="1"/>
      <c r="E143" s="37">
        <f>E142</f>
        <v>9.508634918805372</v>
      </c>
      <c r="F143" s="37">
        <f>F142+E143</f>
        <v>9.508634918805372</v>
      </c>
      <c r="G143" s="37">
        <f t="shared" ref="G143:X143" si="48">G142+F143</f>
        <v>9.508634918805372</v>
      </c>
      <c r="H143" s="37">
        <f t="shared" si="48"/>
        <v>9.508634918805372</v>
      </c>
      <c r="I143" s="37">
        <f t="shared" si="48"/>
        <v>9.508634918805372</v>
      </c>
      <c r="J143" s="37">
        <f t="shared" si="48"/>
        <v>9.508634918805372</v>
      </c>
      <c r="K143" s="37">
        <f t="shared" si="48"/>
        <v>9.508634918805372</v>
      </c>
      <c r="L143" s="37">
        <f t="shared" si="48"/>
        <v>9.508634918805372</v>
      </c>
      <c r="M143" s="37">
        <f t="shared" si="48"/>
        <v>9.508634918805372</v>
      </c>
      <c r="N143" s="37">
        <f t="shared" si="48"/>
        <v>9.508634918805372</v>
      </c>
      <c r="O143" s="37">
        <f t="shared" si="48"/>
        <v>9.508634918805372</v>
      </c>
      <c r="P143" s="37">
        <f t="shared" si="48"/>
        <v>9.508634918805372</v>
      </c>
      <c r="Q143" s="37">
        <f t="shared" si="48"/>
        <v>9.508634918805372</v>
      </c>
      <c r="R143" s="37">
        <f t="shared" si="48"/>
        <v>9.508634918805372</v>
      </c>
      <c r="S143" s="37">
        <f t="shared" si="48"/>
        <v>9.508634918805372</v>
      </c>
      <c r="T143" s="37">
        <f t="shared" si="48"/>
        <v>9.508634918805372</v>
      </c>
      <c r="U143" s="37">
        <f t="shared" si="48"/>
        <v>9.508634918805372</v>
      </c>
      <c r="V143" s="37">
        <f t="shared" si="48"/>
        <v>9.508634918805372</v>
      </c>
      <c r="W143" s="37">
        <f t="shared" si="48"/>
        <v>9.508634918805372</v>
      </c>
      <c r="X143" s="37">
        <f t="shared" si="48"/>
        <v>9.508634918805372</v>
      </c>
      <c r="Y143" s="1"/>
      <c r="Z143" s="1"/>
      <c r="AA143" s="1"/>
      <c r="AB143" s="1"/>
      <c r="AC143" s="1"/>
    </row>
    <row r="144" spans="1:29" customForma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ustomFormat="1" ht="15">
      <c r="A145" s="63" t="s">
        <v>77</v>
      </c>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ustomFormat="1" ht="15">
      <c r="A146" s="1"/>
      <c r="B146" s="1"/>
      <c r="C146" s="1"/>
      <c r="D146" s="1"/>
      <c r="E146" s="74">
        <f t="shared" ref="E146:X146" si="49">E11</f>
        <v>2016</v>
      </c>
      <c r="F146" s="67">
        <f t="shared" si="49"/>
        <v>2017</v>
      </c>
      <c r="G146" s="67">
        <f t="shared" si="49"/>
        <v>2018</v>
      </c>
      <c r="H146" s="67">
        <f t="shared" si="49"/>
        <v>2019</v>
      </c>
      <c r="I146" s="67">
        <f t="shared" si="49"/>
        <v>2020</v>
      </c>
      <c r="J146" s="67">
        <f t="shared" si="49"/>
        <v>2021</v>
      </c>
      <c r="K146" s="67">
        <f t="shared" si="49"/>
        <v>2022</v>
      </c>
      <c r="L146" s="67">
        <f t="shared" si="49"/>
        <v>2023</v>
      </c>
      <c r="M146" s="67">
        <f t="shared" si="49"/>
        <v>2024</v>
      </c>
      <c r="N146" s="67">
        <f t="shared" si="49"/>
        <v>2025</v>
      </c>
      <c r="O146" s="67">
        <f t="shared" si="49"/>
        <v>2026</v>
      </c>
      <c r="P146" s="67">
        <f t="shared" si="49"/>
        <v>2027</v>
      </c>
      <c r="Q146" s="67">
        <f t="shared" si="49"/>
        <v>2028</v>
      </c>
      <c r="R146" s="67">
        <f t="shared" si="49"/>
        <v>2029</v>
      </c>
      <c r="S146" s="67">
        <f t="shared" si="49"/>
        <v>2030</v>
      </c>
      <c r="T146" s="67">
        <f t="shared" si="49"/>
        <v>2031</v>
      </c>
      <c r="U146" s="67">
        <f t="shared" si="49"/>
        <v>2032</v>
      </c>
      <c r="V146" s="67">
        <f t="shared" si="49"/>
        <v>2033</v>
      </c>
      <c r="W146" s="67">
        <f t="shared" si="49"/>
        <v>2034</v>
      </c>
      <c r="X146" s="67">
        <f t="shared" si="49"/>
        <v>2035</v>
      </c>
      <c r="Y146" s="68" t="s">
        <v>159</v>
      </c>
      <c r="Z146" s="1"/>
      <c r="AA146" s="1"/>
      <c r="AB146" s="1"/>
      <c r="AC146" s="1"/>
    </row>
    <row r="147" spans="1:29" customFormat="1" ht="15">
      <c r="A147" s="1"/>
      <c r="B147" s="1"/>
      <c r="C147" s="72" t="s">
        <v>74</v>
      </c>
      <c r="D147" s="72" t="s">
        <v>74</v>
      </c>
      <c r="E147" s="75" t="str">
        <f>CONCATENATE($E$78,"_",E$11)</f>
        <v>aMW_2016</v>
      </c>
      <c r="F147" s="69" t="str">
        <f t="shared" ref="F147:X147" si="50">CONCATENATE($E$78,"_",F$11)</f>
        <v>aMW_2017</v>
      </c>
      <c r="G147" s="69" t="str">
        <f t="shared" si="50"/>
        <v>aMW_2018</v>
      </c>
      <c r="H147" s="69" t="str">
        <f t="shared" si="50"/>
        <v>aMW_2019</v>
      </c>
      <c r="I147" s="69" t="str">
        <f t="shared" si="50"/>
        <v>aMW_2020</v>
      </c>
      <c r="J147" s="69" t="str">
        <f t="shared" si="50"/>
        <v>aMW_2021</v>
      </c>
      <c r="K147" s="69" t="str">
        <f t="shared" si="50"/>
        <v>aMW_2022</v>
      </c>
      <c r="L147" s="69" t="str">
        <f t="shared" si="50"/>
        <v>aMW_2023</v>
      </c>
      <c r="M147" s="69" t="str">
        <f t="shared" si="50"/>
        <v>aMW_2024</v>
      </c>
      <c r="N147" s="69" t="str">
        <f t="shared" si="50"/>
        <v>aMW_2025</v>
      </c>
      <c r="O147" s="69" t="str">
        <f t="shared" si="50"/>
        <v>aMW_2026</v>
      </c>
      <c r="P147" s="69" t="str">
        <f t="shared" si="50"/>
        <v>aMW_2027</v>
      </c>
      <c r="Q147" s="69" t="str">
        <f t="shared" si="50"/>
        <v>aMW_2028</v>
      </c>
      <c r="R147" s="69" t="str">
        <f t="shared" si="50"/>
        <v>aMW_2029</v>
      </c>
      <c r="S147" s="69" t="str">
        <f t="shared" si="50"/>
        <v>aMW_2030</v>
      </c>
      <c r="T147" s="69" t="str">
        <f t="shared" si="50"/>
        <v>aMW_2031</v>
      </c>
      <c r="U147" s="69" t="str">
        <f t="shared" si="50"/>
        <v>aMW_2032</v>
      </c>
      <c r="V147" s="69" t="str">
        <f t="shared" si="50"/>
        <v>aMW_2033</v>
      </c>
      <c r="W147" s="69" t="str">
        <f t="shared" si="50"/>
        <v>aMW_2034</v>
      </c>
      <c r="X147" s="69" t="str">
        <f t="shared" si="50"/>
        <v>aMW_2035</v>
      </c>
      <c r="Y147" s="70" t="s">
        <v>159</v>
      </c>
      <c r="Z147" s="1"/>
      <c r="AA147" s="1"/>
      <c r="AB147" s="1"/>
      <c r="AC147" s="1"/>
    </row>
    <row r="148" spans="1:29" customFormat="1">
      <c r="A148" s="1"/>
      <c r="B148" s="1" t="s">
        <v>78</v>
      </c>
      <c r="C148" s="73" t="s">
        <v>79</v>
      </c>
      <c r="D148" s="73" t="s">
        <v>80</v>
      </c>
      <c r="E148" s="37">
        <f>DSUM($A$80:$Y$140,E$80,$C$147:$D148)</f>
        <v>5.7006928262644472</v>
      </c>
      <c r="F148" s="37">
        <f>DSUM($A$80:$Y$140,F$80,$C$147:$D148)</f>
        <v>0</v>
      </c>
      <c r="G148" s="37">
        <f>DSUM($A$80:$Y$140,G$80,$C$147:$D148)</f>
        <v>0</v>
      </c>
      <c r="H148" s="37">
        <f>DSUM($A$80:$Y$140,H$80,$C$147:$D148)</f>
        <v>0</v>
      </c>
      <c r="I148" s="37">
        <f>DSUM($A$80:$Y$140,I$80,$C$147:$D148)</f>
        <v>0</v>
      </c>
      <c r="J148" s="37">
        <f>DSUM($A$80:$Y$140,J$80,$C$147:$D148)</f>
        <v>0</v>
      </c>
      <c r="K148" s="37">
        <f>DSUM($A$80:$Y$140,K$80,$C$147:$D148)</f>
        <v>0</v>
      </c>
      <c r="L148" s="37">
        <f>DSUM($A$80:$Y$140,L$80,$C$147:$D148)</f>
        <v>0</v>
      </c>
      <c r="M148" s="37">
        <f>DSUM($A$80:$Y$140,M$80,$C$147:$D148)</f>
        <v>0</v>
      </c>
      <c r="N148" s="37">
        <f>DSUM($A$80:$Y$140,N$80,$C$147:$D148)</f>
        <v>0</v>
      </c>
      <c r="O148" s="37">
        <f>DSUM($A$80:$Y$140,O$80,$C$147:$D148)</f>
        <v>0</v>
      </c>
      <c r="P148" s="37">
        <f>DSUM($A$80:$Y$140,P$80,$C$147:$D148)</f>
        <v>0</v>
      </c>
      <c r="Q148" s="37">
        <f>DSUM($A$80:$Y$140,Q$80,$C$147:$D148)</f>
        <v>0</v>
      </c>
      <c r="R148" s="37">
        <f>DSUM($A$80:$Y$140,R$80,$C$147:$D148)</f>
        <v>0</v>
      </c>
      <c r="S148" s="37">
        <f>DSUM($A$80:$Y$140,S$80,$C$147:$D148)</f>
        <v>0</v>
      </c>
      <c r="T148" s="37">
        <f>DSUM($A$80:$Y$140,T$80,$C$147:$D148)</f>
        <v>0</v>
      </c>
      <c r="U148" s="37">
        <f>DSUM($A$80:$Y$140,U$80,$C$147:$D148)</f>
        <v>0</v>
      </c>
      <c r="V148" s="37">
        <f>DSUM($A$80:$Y$140,V$80,$C$147:$D148)</f>
        <v>0</v>
      </c>
      <c r="W148" s="37">
        <f>DSUM($A$80:$Y$140,W$80,$C$147:$D148)</f>
        <v>0</v>
      </c>
      <c r="X148" s="37">
        <f>DSUM($A$80:$Y$140,X$80,$C$147:$D148)</f>
        <v>0</v>
      </c>
      <c r="Y148" s="37">
        <f>DSUM($A$80:$Y$140,Y$80,$C$147:$D148)</f>
        <v>25.771758622928015</v>
      </c>
      <c r="Z148" s="1"/>
      <c r="AA148" s="1"/>
      <c r="AB148" s="1"/>
      <c r="AC148" s="1"/>
    </row>
    <row r="149" spans="1:29" customFormat="1">
      <c r="A149" s="1"/>
      <c r="B149" s="1" t="s">
        <v>785</v>
      </c>
      <c r="C149" s="73" t="s">
        <v>82</v>
      </c>
      <c r="D149" s="73" t="s">
        <v>83</v>
      </c>
      <c r="E149" s="37">
        <f>DSUM($A$80:$Y$140,E$80,$C$147:$D149)</f>
        <v>5.7006928262644472</v>
      </c>
      <c r="F149" s="37">
        <f>DSUM($A$80:$Y$140,F$80,$C$147:$D149)</f>
        <v>0</v>
      </c>
      <c r="G149" s="37">
        <f>DSUM($A$80:$Y$140,G$80,$C$147:$D149)</f>
        <v>0</v>
      </c>
      <c r="H149" s="37">
        <f>DSUM($A$80:$Y$140,H$80,$C$147:$D149)</f>
        <v>0</v>
      </c>
      <c r="I149" s="37">
        <f>DSUM($A$80:$Y$140,I$80,$C$147:$D149)</f>
        <v>0</v>
      </c>
      <c r="J149" s="37">
        <f>DSUM($A$80:$Y$140,J$80,$C$147:$D149)</f>
        <v>0</v>
      </c>
      <c r="K149" s="37">
        <f>DSUM($A$80:$Y$140,K$80,$C$147:$D149)</f>
        <v>0</v>
      </c>
      <c r="L149" s="37">
        <f>DSUM($A$80:$Y$140,L$80,$C$147:$D149)</f>
        <v>0</v>
      </c>
      <c r="M149" s="37">
        <f>DSUM($A$80:$Y$140,M$80,$C$147:$D149)</f>
        <v>0</v>
      </c>
      <c r="N149" s="37">
        <f>DSUM($A$80:$Y$140,N$80,$C$147:$D149)</f>
        <v>0</v>
      </c>
      <c r="O149" s="37">
        <f>DSUM($A$80:$Y$140,O$80,$C$147:$D149)</f>
        <v>0</v>
      </c>
      <c r="P149" s="37">
        <f>DSUM($A$80:$Y$140,P$80,$C$147:$D149)</f>
        <v>0</v>
      </c>
      <c r="Q149" s="37">
        <f>DSUM($A$80:$Y$140,Q$80,$C$147:$D149)</f>
        <v>0</v>
      </c>
      <c r="R149" s="37">
        <f>DSUM($A$80:$Y$140,R$80,$C$147:$D149)</f>
        <v>0</v>
      </c>
      <c r="S149" s="37">
        <f>DSUM($A$80:$Y$140,S$80,$C$147:$D149)</f>
        <v>0</v>
      </c>
      <c r="T149" s="37">
        <f>DSUM($A$80:$Y$140,T$80,$C$147:$D149)</f>
        <v>0</v>
      </c>
      <c r="U149" s="37">
        <f>DSUM($A$80:$Y$140,U$80,$C$147:$D149)</f>
        <v>0</v>
      </c>
      <c r="V149" s="37">
        <f>DSUM($A$80:$Y$140,V$80,$C$147:$D149)</f>
        <v>0</v>
      </c>
      <c r="W149" s="37">
        <f>DSUM($A$80:$Y$140,W$80,$C$147:$D149)</f>
        <v>0</v>
      </c>
      <c r="X149" s="37">
        <f>DSUM($A$80:$Y$140,X$80,$C$147:$D149)</f>
        <v>0</v>
      </c>
      <c r="Y149" s="37">
        <f>DSUM($A$80:$Y$140,Y$80,$C$147:$D149)</f>
        <v>25.771758622928015</v>
      </c>
      <c r="Z149" s="1"/>
      <c r="AA149" s="1"/>
      <c r="AB149" s="1"/>
      <c r="AC149" s="1"/>
    </row>
    <row r="150" spans="1:29" customFormat="1">
      <c r="A150" s="1"/>
      <c r="B150" s="1" t="s">
        <v>84</v>
      </c>
      <c r="C150" s="73" t="s">
        <v>85</v>
      </c>
      <c r="D150" s="73" t="s">
        <v>86</v>
      </c>
      <c r="E150" s="37">
        <f>DSUM($A$80:$Y$140,E$80,$C$147:$D150)</f>
        <v>5.7006928262644472</v>
      </c>
      <c r="F150" s="37">
        <f>DSUM($A$80:$Y$140,F$80,$C$147:$D150)</f>
        <v>0</v>
      </c>
      <c r="G150" s="37">
        <f>DSUM($A$80:$Y$140,G$80,$C$147:$D150)</f>
        <v>0</v>
      </c>
      <c r="H150" s="37">
        <f>DSUM($A$80:$Y$140,H$80,$C$147:$D150)</f>
        <v>0</v>
      </c>
      <c r="I150" s="37">
        <f>DSUM($A$80:$Y$140,I$80,$C$147:$D150)</f>
        <v>0</v>
      </c>
      <c r="J150" s="37">
        <f>DSUM($A$80:$Y$140,J$80,$C$147:$D150)</f>
        <v>0</v>
      </c>
      <c r="K150" s="37">
        <f>DSUM($A$80:$Y$140,K$80,$C$147:$D150)</f>
        <v>0</v>
      </c>
      <c r="L150" s="37">
        <f>DSUM($A$80:$Y$140,L$80,$C$147:$D150)</f>
        <v>0</v>
      </c>
      <c r="M150" s="37">
        <f>DSUM($A$80:$Y$140,M$80,$C$147:$D150)</f>
        <v>0</v>
      </c>
      <c r="N150" s="37">
        <f>DSUM($A$80:$Y$140,N$80,$C$147:$D150)</f>
        <v>0</v>
      </c>
      <c r="O150" s="37">
        <f>DSUM($A$80:$Y$140,O$80,$C$147:$D150)</f>
        <v>0</v>
      </c>
      <c r="P150" s="37">
        <f>DSUM($A$80:$Y$140,P$80,$C$147:$D150)</f>
        <v>0</v>
      </c>
      <c r="Q150" s="37">
        <f>DSUM($A$80:$Y$140,Q$80,$C$147:$D150)</f>
        <v>0</v>
      </c>
      <c r="R150" s="37">
        <f>DSUM($A$80:$Y$140,R$80,$C$147:$D150)</f>
        <v>0</v>
      </c>
      <c r="S150" s="37">
        <f>DSUM($A$80:$Y$140,S$80,$C$147:$D150)</f>
        <v>0</v>
      </c>
      <c r="T150" s="37">
        <f>DSUM($A$80:$Y$140,T$80,$C$147:$D150)</f>
        <v>0</v>
      </c>
      <c r="U150" s="37">
        <f>DSUM($A$80:$Y$140,U$80,$C$147:$D150)</f>
        <v>0</v>
      </c>
      <c r="V150" s="37">
        <f>DSUM($A$80:$Y$140,V$80,$C$147:$D150)</f>
        <v>0</v>
      </c>
      <c r="W150" s="37">
        <f>DSUM($A$80:$Y$140,W$80,$C$147:$D150)</f>
        <v>0</v>
      </c>
      <c r="X150" s="37">
        <f>DSUM($A$80:$Y$140,X$80,$C$147:$D150)</f>
        <v>0</v>
      </c>
      <c r="Y150" s="37">
        <f>DSUM($A$80:$Y$140,Y$80,$C$147:$D150)</f>
        <v>25.771758622928015</v>
      </c>
      <c r="Z150" s="1"/>
      <c r="AA150" s="1"/>
      <c r="AB150" s="1"/>
      <c r="AC150" s="1"/>
    </row>
    <row r="151" spans="1:29" customFormat="1">
      <c r="A151" s="1"/>
      <c r="B151" s="1" t="s">
        <v>87</v>
      </c>
      <c r="C151" s="73" t="s">
        <v>88</v>
      </c>
      <c r="D151" s="73" t="s">
        <v>89</v>
      </c>
      <c r="E151" s="37">
        <f>DSUM($A$80:$Y$140,E$80,$C$147:$D151)</f>
        <v>5.7006928262644472</v>
      </c>
      <c r="F151" s="37">
        <f>DSUM($A$80:$Y$140,F$80,$C$147:$D151)</f>
        <v>0</v>
      </c>
      <c r="G151" s="37">
        <f>DSUM($A$80:$Y$140,G$80,$C$147:$D151)</f>
        <v>0</v>
      </c>
      <c r="H151" s="37">
        <f>DSUM($A$80:$Y$140,H$80,$C$147:$D151)</f>
        <v>0</v>
      </c>
      <c r="I151" s="37">
        <f>DSUM($A$80:$Y$140,I$80,$C$147:$D151)</f>
        <v>0</v>
      </c>
      <c r="J151" s="37">
        <f>DSUM($A$80:$Y$140,J$80,$C$147:$D151)</f>
        <v>0</v>
      </c>
      <c r="K151" s="37">
        <f>DSUM($A$80:$Y$140,K$80,$C$147:$D151)</f>
        <v>0</v>
      </c>
      <c r="L151" s="37">
        <f>DSUM($A$80:$Y$140,L$80,$C$147:$D151)</f>
        <v>0</v>
      </c>
      <c r="M151" s="37">
        <f>DSUM($A$80:$Y$140,M$80,$C$147:$D151)</f>
        <v>0</v>
      </c>
      <c r="N151" s="37">
        <f>DSUM($A$80:$Y$140,N$80,$C$147:$D151)</f>
        <v>0</v>
      </c>
      <c r="O151" s="37">
        <f>DSUM($A$80:$Y$140,O$80,$C$147:$D151)</f>
        <v>0</v>
      </c>
      <c r="P151" s="37">
        <f>DSUM($A$80:$Y$140,P$80,$C$147:$D151)</f>
        <v>0</v>
      </c>
      <c r="Q151" s="37">
        <f>DSUM($A$80:$Y$140,Q$80,$C$147:$D151)</f>
        <v>0</v>
      </c>
      <c r="R151" s="37">
        <f>DSUM($A$80:$Y$140,R$80,$C$147:$D151)</f>
        <v>0</v>
      </c>
      <c r="S151" s="37">
        <f>DSUM($A$80:$Y$140,S$80,$C$147:$D151)</f>
        <v>0</v>
      </c>
      <c r="T151" s="37">
        <f>DSUM($A$80:$Y$140,T$80,$C$147:$D151)</f>
        <v>0</v>
      </c>
      <c r="U151" s="37">
        <f>DSUM($A$80:$Y$140,U$80,$C$147:$D151)</f>
        <v>0</v>
      </c>
      <c r="V151" s="37">
        <f>DSUM($A$80:$Y$140,V$80,$C$147:$D151)</f>
        <v>0</v>
      </c>
      <c r="W151" s="37">
        <f>DSUM($A$80:$Y$140,W$80,$C$147:$D151)</f>
        <v>0</v>
      </c>
      <c r="X151" s="37">
        <f>DSUM($A$80:$Y$140,X$80,$C$147:$D151)</f>
        <v>0</v>
      </c>
      <c r="Y151" s="37">
        <f>DSUM($A$80:$Y$140,Y$80,$C$147:$D151)</f>
        <v>25.771758622928015</v>
      </c>
      <c r="Z151" s="1"/>
      <c r="AA151" s="1"/>
      <c r="AB151" s="1"/>
      <c r="AC151" s="1"/>
    </row>
    <row r="152" spans="1:29" customFormat="1">
      <c r="A152" s="1"/>
      <c r="B152" s="1" t="s">
        <v>90</v>
      </c>
      <c r="C152" s="73" t="s">
        <v>91</v>
      </c>
      <c r="D152" s="73" t="s">
        <v>92</v>
      </c>
      <c r="E152" s="37">
        <f>DSUM($A$80:$Y$140,E$80,$C$147:$D152)</f>
        <v>5.7006928262644472</v>
      </c>
      <c r="F152" s="37">
        <f>DSUM($A$80:$Y$140,F$80,$C$147:$D152)</f>
        <v>0</v>
      </c>
      <c r="G152" s="37">
        <f>DSUM($A$80:$Y$140,G$80,$C$147:$D152)</f>
        <v>0</v>
      </c>
      <c r="H152" s="37">
        <f>DSUM($A$80:$Y$140,H$80,$C$147:$D152)</f>
        <v>0</v>
      </c>
      <c r="I152" s="37">
        <f>DSUM($A$80:$Y$140,I$80,$C$147:$D152)</f>
        <v>0</v>
      </c>
      <c r="J152" s="37">
        <f>DSUM($A$80:$Y$140,J$80,$C$147:$D152)</f>
        <v>0</v>
      </c>
      <c r="K152" s="37">
        <f>DSUM($A$80:$Y$140,K$80,$C$147:$D152)</f>
        <v>0</v>
      </c>
      <c r="L152" s="37">
        <f>DSUM($A$80:$Y$140,L$80,$C$147:$D152)</f>
        <v>0</v>
      </c>
      <c r="M152" s="37">
        <f>DSUM($A$80:$Y$140,M$80,$C$147:$D152)</f>
        <v>0</v>
      </c>
      <c r="N152" s="37">
        <f>DSUM($A$80:$Y$140,N$80,$C$147:$D152)</f>
        <v>0</v>
      </c>
      <c r="O152" s="37">
        <f>DSUM($A$80:$Y$140,O$80,$C$147:$D152)</f>
        <v>0</v>
      </c>
      <c r="P152" s="37">
        <f>DSUM($A$80:$Y$140,P$80,$C$147:$D152)</f>
        <v>0</v>
      </c>
      <c r="Q152" s="37">
        <f>DSUM($A$80:$Y$140,Q$80,$C$147:$D152)</f>
        <v>0</v>
      </c>
      <c r="R152" s="37">
        <f>DSUM($A$80:$Y$140,R$80,$C$147:$D152)</f>
        <v>0</v>
      </c>
      <c r="S152" s="37">
        <f>DSUM($A$80:$Y$140,S$80,$C$147:$D152)</f>
        <v>0</v>
      </c>
      <c r="T152" s="37">
        <f>DSUM($A$80:$Y$140,T$80,$C$147:$D152)</f>
        <v>0</v>
      </c>
      <c r="U152" s="37">
        <f>DSUM($A$80:$Y$140,U$80,$C$147:$D152)</f>
        <v>0</v>
      </c>
      <c r="V152" s="37">
        <f>DSUM($A$80:$Y$140,V$80,$C$147:$D152)</f>
        <v>0</v>
      </c>
      <c r="W152" s="37">
        <f>DSUM($A$80:$Y$140,W$80,$C$147:$D152)</f>
        <v>0</v>
      </c>
      <c r="X152" s="37">
        <f>DSUM($A$80:$Y$140,X$80,$C$147:$D152)</f>
        <v>0</v>
      </c>
      <c r="Y152" s="37">
        <f>DSUM($A$80:$Y$140,Y$80,$C$147:$D152)</f>
        <v>25.771758622928015</v>
      </c>
      <c r="Z152" s="1"/>
      <c r="AA152" s="1"/>
      <c r="AB152" s="1"/>
      <c r="AC152" s="1"/>
    </row>
    <row r="153" spans="1:29" customFormat="1">
      <c r="A153" s="1"/>
      <c r="B153" s="1" t="s">
        <v>93</v>
      </c>
      <c r="C153" s="73" t="s">
        <v>94</v>
      </c>
      <c r="D153" s="73" t="s">
        <v>95</v>
      </c>
      <c r="E153" s="37">
        <f>DSUM($A$80:$Y$140,E$80,$C$147:$D153)</f>
        <v>5.8042998016985257</v>
      </c>
      <c r="F153" s="37">
        <f>DSUM($A$80:$Y$140,F$80,$C$147:$D153)</f>
        <v>0</v>
      </c>
      <c r="G153" s="37">
        <f>DSUM($A$80:$Y$140,G$80,$C$147:$D153)</f>
        <v>0</v>
      </c>
      <c r="H153" s="37">
        <f>DSUM($A$80:$Y$140,H$80,$C$147:$D153)</f>
        <v>0</v>
      </c>
      <c r="I153" s="37">
        <f>DSUM($A$80:$Y$140,I$80,$C$147:$D153)</f>
        <v>0</v>
      </c>
      <c r="J153" s="37">
        <f>DSUM($A$80:$Y$140,J$80,$C$147:$D153)</f>
        <v>0</v>
      </c>
      <c r="K153" s="37">
        <f>DSUM($A$80:$Y$140,K$80,$C$147:$D153)</f>
        <v>0</v>
      </c>
      <c r="L153" s="37">
        <f>DSUM($A$80:$Y$140,L$80,$C$147:$D153)</f>
        <v>0</v>
      </c>
      <c r="M153" s="37">
        <f>DSUM($A$80:$Y$140,M$80,$C$147:$D153)</f>
        <v>0</v>
      </c>
      <c r="N153" s="37">
        <f>DSUM($A$80:$Y$140,N$80,$C$147:$D153)</f>
        <v>0</v>
      </c>
      <c r="O153" s="37">
        <f>DSUM($A$80:$Y$140,O$80,$C$147:$D153)</f>
        <v>0</v>
      </c>
      <c r="P153" s="37">
        <f>DSUM($A$80:$Y$140,P$80,$C$147:$D153)</f>
        <v>0</v>
      </c>
      <c r="Q153" s="37">
        <f>DSUM($A$80:$Y$140,Q$80,$C$147:$D153)</f>
        <v>0</v>
      </c>
      <c r="R153" s="37">
        <f>DSUM($A$80:$Y$140,R$80,$C$147:$D153)</f>
        <v>0</v>
      </c>
      <c r="S153" s="37">
        <f>DSUM($A$80:$Y$140,S$80,$C$147:$D153)</f>
        <v>0</v>
      </c>
      <c r="T153" s="37">
        <f>DSUM($A$80:$Y$140,T$80,$C$147:$D153)</f>
        <v>0</v>
      </c>
      <c r="U153" s="37">
        <f>DSUM($A$80:$Y$140,U$80,$C$147:$D153)</f>
        <v>0</v>
      </c>
      <c r="V153" s="37">
        <f>DSUM($A$80:$Y$140,V$80,$C$147:$D153)</f>
        <v>0</v>
      </c>
      <c r="W153" s="37">
        <f>DSUM($A$80:$Y$140,W$80,$C$147:$D153)</f>
        <v>0</v>
      </c>
      <c r="X153" s="37">
        <f>DSUM($A$80:$Y$140,X$80,$C$147:$D153)</f>
        <v>0</v>
      </c>
      <c r="Y153" s="37">
        <f>DSUM($A$80:$Y$140,Y$80,$C$147:$D153)</f>
        <v>26.240146245961618</v>
      </c>
      <c r="Z153" s="1"/>
      <c r="AA153" s="1"/>
      <c r="AB153" s="1"/>
      <c r="AC153" s="1"/>
    </row>
    <row r="154" spans="1:29" customFormat="1">
      <c r="A154" s="1"/>
      <c r="B154" s="1" t="s">
        <v>96</v>
      </c>
      <c r="C154" s="73" t="s">
        <v>97</v>
      </c>
      <c r="D154" s="73" t="s">
        <v>98</v>
      </c>
      <c r="E154" s="37">
        <f>DSUM($A$80:$Y$140,E$80,$C$147:$D154)</f>
        <v>8.924725256632156</v>
      </c>
      <c r="F154" s="37">
        <f>DSUM($A$80:$Y$140,F$80,$C$147:$D154)</f>
        <v>0</v>
      </c>
      <c r="G154" s="37">
        <f>DSUM($A$80:$Y$140,G$80,$C$147:$D154)</f>
        <v>0</v>
      </c>
      <c r="H154" s="37">
        <f>DSUM($A$80:$Y$140,H$80,$C$147:$D154)</f>
        <v>0</v>
      </c>
      <c r="I154" s="37">
        <f>DSUM($A$80:$Y$140,I$80,$C$147:$D154)</f>
        <v>0</v>
      </c>
      <c r="J154" s="37">
        <f>DSUM($A$80:$Y$140,J$80,$C$147:$D154)</f>
        <v>0</v>
      </c>
      <c r="K154" s="37">
        <f>DSUM($A$80:$Y$140,K$80,$C$147:$D154)</f>
        <v>0</v>
      </c>
      <c r="L154" s="37">
        <f>DSUM($A$80:$Y$140,L$80,$C$147:$D154)</f>
        <v>0</v>
      </c>
      <c r="M154" s="37">
        <f>DSUM($A$80:$Y$140,M$80,$C$147:$D154)</f>
        <v>0</v>
      </c>
      <c r="N154" s="37">
        <f>DSUM($A$80:$Y$140,N$80,$C$147:$D154)</f>
        <v>0</v>
      </c>
      <c r="O154" s="37">
        <f>DSUM($A$80:$Y$140,O$80,$C$147:$D154)</f>
        <v>0</v>
      </c>
      <c r="P154" s="37">
        <f>DSUM($A$80:$Y$140,P$80,$C$147:$D154)</f>
        <v>0</v>
      </c>
      <c r="Q154" s="37">
        <f>DSUM($A$80:$Y$140,Q$80,$C$147:$D154)</f>
        <v>0</v>
      </c>
      <c r="R154" s="37">
        <f>DSUM($A$80:$Y$140,R$80,$C$147:$D154)</f>
        <v>0</v>
      </c>
      <c r="S154" s="37">
        <f>DSUM($A$80:$Y$140,S$80,$C$147:$D154)</f>
        <v>0</v>
      </c>
      <c r="T154" s="37">
        <f>DSUM($A$80:$Y$140,T$80,$C$147:$D154)</f>
        <v>0</v>
      </c>
      <c r="U154" s="37">
        <f>DSUM($A$80:$Y$140,U$80,$C$147:$D154)</f>
        <v>0</v>
      </c>
      <c r="V154" s="37">
        <f>DSUM($A$80:$Y$140,V$80,$C$147:$D154)</f>
        <v>0</v>
      </c>
      <c r="W154" s="37">
        <f>DSUM($A$80:$Y$140,W$80,$C$147:$D154)</f>
        <v>0</v>
      </c>
      <c r="X154" s="37">
        <f>DSUM($A$80:$Y$140,X$80,$C$147:$D154)</f>
        <v>0</v>
      </c>
      <c r="Y154" s="37">
        <f>DSUM($A$80:$Y$140,Y$80,$C$147:$D154)</f>
        <v>40.347002039854104</v>
      </c>
      <c r="Z154" s="1"/>
      <c r="AA154" s="1"/>
      <c r="AB154" s="1"/>
      <c r="AC154" s="1"/>
    </row>
    <row r="155" spans="1:29" customFormat="1">
      <c r="A155" s="1"/>
      <c r="B155" s="1" t="s">
        <v>99</v>
      </c>
      <c r="C155" s="73" t="s">
        <v>100</v>
      </c>
      <c r="D155" s="73" t="s">
        <v>101</v>
      </c>
      <c r="E155" s="37">
        <f>DSUM($A$80:$Y$140,E$80,$C$147:$D155)</f>
        <v>8.924725256632156</v>
      </c>
      <c r="F155" s="37">
        <f>DSUM($A$80:$Y$140,F$80,$C$147:$D155)</f>
        <v>0</v>
      </c>
      <c r="G155" s="37">
        <f>DSUM($A$80:$Y$140,G$80,$C$147:$D155)</f>
        <v>0</v>
      </c>
      <c r="H155" s="37">
        <f>DSUM($A$80:$Y$140,H$80,$C$147:$D155)</f>
        <v>0</v>
      </c>
      <c r="I155" s="37">
        <f>DSUM($A$80:$Y$140,I$80,$C$147:$D155)</f>
        <v>0</v>
      </c>
      <c r="J155" s="37">
        <f>DSUM($A$80:$Y$140,J$80,$C$147:$D155)</f>
        <v>0</v>
      </c>
      <c r="K155" s="37">
        <f>DSUM($A$80:$Y$140,K$80,$C$147:$D155)</f>
        <v>0</v>
      </c>
      <c r="L155" s="37">
        <f>DSUM($A$80:$Y$140,L$80,$C$147:$D155)</f>
        <v>0</v>
      </c>
      <c r="M155" s="37">
        <f>DSUM($A$80:$Y$140,M$80,$C$147:$D155)</f>
        <v>0</v>
      </c>
      <c r="N155" s="37">
        <f>DSUM($A$80:$Y$140,N$80,$C$147:$D155)</f>
        <v>0</v>
      </c>
      <c r="O155" s="37">
        <f>DSUM($A$80:$Y$140,O$80,$C$147:$D155)</f>
        <v>0</v>
      </c>
      <c r="P155" s="37">
        <f>DSUM($A$80:$Y$140,P$80,$C$147:$D155)</f>
        <v>0</v>
      </c>
      <c r="Q155" s="37">
        <f>DSUM($A$80:$Y$140,Q$80,$C$147:$D155)</f>
        <v>0</v>
      </c>
      <c r="R155" s="37">
        <f>DSUM($A$80:$Y$140,R$80,$C$147:$D155)</f>
        <v>0</v>
      </c>
      <c r="S155" s="37">
        <f>DSUM($A$80:$Y$140,S$80,$C$147:$D155)</f>
        <v>0</v>
      </c>
      <c r="T155" s="37">
        <f>DSUM($A$80:$Y$140,T$80,$C$147:$D155)</f>
        <v>0</v>
      </c>
      <c r="U155" s="37">
        <f>DSUM($A$80:$Y$140,U$80,$C$147:$D155)</f>
        <v>0</v>
      </c>
      <c r="V155" s="37">
        <f>DSUM($A$80:$Y$140,V$80,$C$147:$D155)</f>
        <v>0</v>
      </c>
      <c r="W155" s="37">
        <f>DSUM($A$80:$Y$140,W$80,$C$147:$D155)</f>
        <v>0</v>
      </c>
      <c r="X155" s="37">
        <f>DSUM($A$80:$Y$140,X$80,$C$147:$D155)</f>
        <v>0</v>
      </c>
      <c r="Y155" s="37">
        <f>DSUM($A$80:$Y$140,Y$80,$C$147:$D155)</f>
        <v>40.347002039854104</v>
      </c>
      <c r="Z155" s="1"/>
      <c r="AA155" s="1"/>
      <c r="AB155" s="1"/>
      <c r="AC155" s="1"/>
    </row>
    <row r="156" spans="1:29" customFormat="1">
      <c r="A156" s="1"/>
      <c r="B156" s="1" t="s">
        <v>102</v>
      </c>
      <c r="C156" s="73" t="s">
        <v>103</v>
      </c>
      <c r="D156" s="73" t="s">
        <v>104</v>
      </c>
      <c r="E156" s="37">
        <f>DSUM($A$80:$Y$140,E$80,$C$147:$D156)</f>
        <v>8.924725256632156</v>
      </c>
      <c r="F156" s="37">
        <f>DSUM($A$80:$Y$140,F$80,$C$147:$D156)</f>
        <v>0</v>
      </c>
      <c r="G156" s="37">
        <f>DSUM($A$80:$Y$140,G$80,$C$147:$D156)</f>
        <v>0</v>
      </c>
      <c r="H156" s="37">
        <f>DSUM($A$80:$Y$140,H$80,$C$147:$D156)</f>
        <v>0</v>
      </c>
      <c r="I156" s="37">
        <f>DSUM($A$80:$Y$140,I$80,$C$147:$D156)</f>
        <v>0</v>
      </c>
      <c r="J156" s="37">
        <f>DSUM($A$80:$Y$140,J$80,$C$147:$D156)</f>
        <v>0</v>
      </c>
      <c r="K156" s="37">
        <f>DSUM($A$80:$Y$140,K$80,$C$147:$D156)</f>
        <v>0</v>
      </c>
      <c r="L156" s="37">
        <f>DSUM($A$80:$Y$140,L$80,$C$147:$D156)</f>
        <v>0</v>
      </c>
      <c r="M156" s="37">
        <f>DSUM($A$80:$Y$140,M$80,$C$147:$D156)</f>
        <v>0</v>
      </c>
      <c r="N156" s="37">
        <f>DSUM($A$80:$Y$140,N$80,$C$147:$D156)</f>
        <v>0</v>
      </c>
      <c r="O156" s="37">
        <f>DSUM($A$80:$Y$140,O$80,$C$147:$D156)</f>
        <v>0</v>
      </c>
      <c r="P156" s="37">
        <f>DSUM($A$80:$Y$140,P$80,$C$147:$D156)</f>
        <v>0</v>
      </c>
      <c r="Q156" s="37">
        <f>DSUM($A$80:$Y$140,Q$80,$C$147:$D156)</f>
        <v>0</v>
      </c>
      <c r="R156" s="37">
        <f>DSUM($A$80:$Y$140,R$80,$C$147:$D156)</f>
        <v>0</v>
      </c>
      <c r="S156" s="37">
        <f>DSUM($A$80:$Y$140,S$80,$C$147:$D156)</f>
        <v>0</v>
      </c>
      <c r="T156" s="37">
        <f>DSUM($A$80:$Y$140,T$80,$C$147:$D156)</f>
        <v>0</v>
      </c>
      <c r="U156" s="37">
        <f>DSUM($A$80:$Y$140,U$80,$C$147:$D156)</f>
        <v>0</v>
      </c>
      <c r="V156" s="37">
        <f>DSUM($A$80:$Y$140,V$80,$C$147:$D156)</f>
        <v>0</v>
      </c>
      <c r="W156" s="37">
        <f>DSUM($A$80:$Y$140,W$80,$C$147:$D156)</f>
        <v>0</v>
      </c>
      <c r="X156" s="37">
        <f>DSUM($A$80:$Y$140,X$80,$C$147:$D156)</f>
        <v>0</v>
      </c>
      <c r="Y156" s="37">
        <f>DSUM($A$80:$Y$140,Y$80,$C$147:$D156)</f>
        <v>40.347002039854104</v>
      </c>
      <c r="Z156" s="1"/>
      <c r="AA156" s="1"/>
      <c r="AB156" s="1"/>
      <c r="AC156" s="1"/>
    </row>
    <row r="157" spans="1:29" customFormat="1">
      <c r="A157" s="1"/>
      <c r="B157" s="1" t="s">
        <v>105</v>
      </c>
      <c r="C157" s="73" t="s">
        <v>106</v>
      </c>
      <c r="D157" s="73" t="s">
        <v>107</v>
      </c>
      <c r="E157" s="37">
        <f>DSUM($A$80:$Y$140,E$80,$C$147:$D157)</f>
        <v>8.924725256632156</v>
      </c>
      <c r="F157" s="37">
        <f>DSUM($A$80:$Y$140,F$80,$C$147:$D157)</f>
        <v>0</v>
      </c>
      <c r="G157" s="37">
        <f>DSUM($A$80:$Y$140,G$80,$C$147:$D157)</f>
        <v>0</v>
      </c>
      <c r="H157" s="37">
        <f>DSUM($A$80:$Y$140,H$80,$C$147:$D157)</f>
        <v>0</v>
      </c>
      <c r="I157" s="37">
        <f>DSUM($A$80:$Y$140,I$80,$C$147:$D157)</f>
        <v>0</v>
      </c>
      <c r="J157" s="37">
        <f>DSUM($A$80:$Y$140,J$80,$C$147:$D157)</f>
        <v>0</v>
      </c>
      <c r="K157" s="37">
        <f>DSUM($A$80:$Y$140,K$80,$C$147:$D157)</f>
        <v>0</v>
      </c>
      <c r="L157" s="37">
        <f>DSUM($A$80:$Y$140,L$80,$C$147:$D157)</f>
        <v>0</v>
      </c>
      <c r="M157" s="37">
        <f>DSUM($A$80:$Y$140,M$80,$C$147:$D157)</f>
        <v>0</v>
      </c>
      <c r="N157" s="37">
        <f>DSUM($A$80:$Y$140,N$80,$C$147:$D157)</f>
        <v>0</v>
      </c>
      <c r="O157" s="37">
        <f>DSUM($A$80:$Y$140,O$80,$C$147:$D157)</f>
        <v>0</v>
      </c>
      <c r="P157" s="37">
        <f>DSUM($A$80:$Y$140,P$80,$C$147:$D157)</f>
        <v>0</v>
      </c>
      <c r="Q157" s="37">
        <f>DSUM($A$80:$Y$140,Q$80,$C$147:$D157)</f>
        <v>0</v>
      </c>
      <c r="R157" s="37">
        <f>DSUM($A$80:$Y$140,R$80,$C$147:$D157)</f>
        <v>0</v>
      </c>
      <c r="S157" s="37">
        <f>DSUM($A$80:$Y$140,S$80,$C$147:$D157)</f>
        <v>0</v>
      </c>
      <c r="T157" s="37">
        <f>DSUM($A$80:$Y$140,T$80,$C$147:$D157)</f>
        <v>0</v>
      </c>
      <c r="U157" s="37">
        <f>DSUM($A$80:$Y$140,U$80,$C$147:$D157)</f>
        <v>0</v>
      </c>
      <c r="V157" s="37">
        <f>DSUM($A$80:$Y$140,V$80,$C$147:$D157)</f>
        <v>0</v>
      </c>
      <c r="W157" s="37">
        <f>DSUM($A$80:$Y$140,W$80,$C$147:$D157)</f>
        <v>0</v>
      </c>
      <c r="X157" s="37">
        <f>DSUM($A$80:$Y$140,X$80,$C$147:$D157)</f>
        <v>0</v>
      </c>
      <c r="Y157" s="37">
        <f>DSUM($A$80:$Y$140,Y$80,$C$147:$D157)</f>
        <v>40.347002039854104</v>
      </c>
      <c r="Z157" s="1"/>
      <c r="AA157" s="1"/>
      <c r="AB157" s="1"/>
      <c r="AC157" s="1"/>
    </row>
    <row r="158" spans="1:29" customFormat="1">
      <c r="A158" s="1"/>
      <c r="B158" s="1" t="s">
        <v>108</v>
      </c>
      <c r="C158" s="73" t="s">
        <v>109</v>
      </c>
      <c r="D158" s="73" t="s">
        <v>110</v>
      </c>
      <c r="E158" s="37">
        <f>DSUM($A$80:$Y$140,E$80,$C$147:$D158)</f>
        <v>9.5060209731648229</v>
      </c>
      <c r="F158" s="37">
        <f>DSUM($A$80:$Y$140,F$80,$C$147:$D158)</f>
        <v>0</v>
      </c>
      <c r="G158" s="37">
        <f>DSUM($A$80:$Y$140,G$80,$C$147:$D158)</f>
        <v>0</v>
      </c>
      <c r="H158" s="37">
        <f>DSUM($A$80:$Y$140,H$80,$C$147:$D158)</f>
        <v>0</v>
      </c>
      <c r="I158" s="37">
        <f>DSUM($A$80:$Y$140,I$80,$C$147:$D158)</f>
        <v>0</v>
      </c>
      <c r="J158" s="37">
        <f>DSUM($A$80:$Y$140,J$80,$C$147:$D158)</f>
        <v>0</v>
      </c>
      <c r="K158" s="37">
        <f>DSUM($A$80:$Y$140,K$80,$C$147:$D158)</f>
        <v>0</v>
      </c>
      <c r="L158" s="37">
        <f>DSUM($A$80:$Y$140,L$80,$C$147:$D158)</f>
        <v>0</v>
      </c>
      <c r="M158" s="37">
        <f>DSUM($A$80:$Y$140,M$80,$C$147:$D158)</f>
        <v>0</v>
      </c>
      <c r="N158" s="37">
        <f>DSUM($A$80:$Y$140,N$80,$C$147:$D158)</f>
        <v>0</v>
      </c>
      <c r="O158" s="37">
        <f>DSUM($A$80:$Y$140,O$80,$C$147:$D158)</f>
        <v>0</v>
      </c>
      <c r="P158" s="37">
        <f>DSUM($A$80:$Y$140,P$80,$C$147:$D158)</f>
        <v>0</v>
      </c>
      <c r="Q158" s="37">
        <f>DSUM($A$80:$Y$140,Q$80,$C$147:$D158)</f>
        <v>0</v>
      </c>
      <c r="R158" s="37">
        <f>DSUM($A$80:$Y$140,R$80,$C$147:$D158)</f>
        <v>0</v>
      </c>
      <c r="S158" s="37">
        <f>DSUM($A$80:$Y$140,S$80,$C$147:$D158)</f>
        <v>0</v>
      </c>
      <c r="T158" s="37">
        <f>DSUM($A$80:$Y$140,T$80,$C$147:$D158)</f>
        <v>0</v>
      </c>
      <c r="U158" s="37">
        <f>DSUM($A$80:$Y$140,U$80,$C$147:$D158)</f>
        <v>0</v>
      </c>
      <c r="V158" s="37">
        <f>DSUM($A$80:$Y$140,V$80,$C$147:$D158)</f>
        <v>0</v>
      </c>
      <c r="W158" s="37">
        <f>DSUM($A$80:$Y$140,W$80,$C$147:$D158)</f>
        <v>0</v>
      </c>
      <c r="X158" s="37">
        <f>DSUM($A$80:$Y$140,X$80,$C$147:$D158)</f>
        <v>0</v>
      </c>
      <c r="Y158" s="37">
        <f>DSUM($A$80:$Y$140,Y$80,$C$147:$D158)</f>
        <v>42.974930495497375</v>
      </c>
      <c r="Z158" s="1"/>
      <c r="AA158" s="1"/>
      <c r="AB158" s="1"/>
      <c r="AC158" s="1"/>
    </row>
    <row r="159" spans="1:29" customFormat="1">
      <c r="A159" s="1"/>
      <c r="B159" s="1" t="s">
        <v>111</v>
      </c>
      <c r="C159" s="73" t="s">
        <v>112</v>
      </c>
      <c r="D159" s="73" t="s">
        <v>113</v>
      </c>
      <c r="E159" s="37">
        <f>DSUM($A$80:$Y$140,E$80,$C$147:$D159)</f>
        <v>9.5060209731648229</v>
      </c>
      <c r="F159" s="37">
        <f>DSUM($A$80:$Y$140,F$80,$C$147:$D159)</f>
        <v>0</v>
      </c>
      <c r="G159" s="37">
        <f>DSUM($A$80:$Y$140,G$80,$C$147:$D159)</f>
        <v>0</v>
      </c>
      <c r="H159" s="37">
        <f>DSUM($A$80:$Y$140,H$80,$C$147:$D159)</f>
        <v>0</v>
      </c>
      <c r="I159" s="37">
        <f>DSUM($A$80:$Y$140,I$80,$C$147:$D159)</f>
        <v>0</v>
      </c>
      <c r="J159" s="37">
        <f>DSUM($A$80:$Y$140,J$80,$C$147:$D159)</f>
        <v>0</v>
      </c>
      <c r="K159" s="37">
        <f>DSUM($A$80:$Y$140,K$80,$C$147:$D159)</f>
        <v>0</v>
      </c>
      <c r="L159" s="37">
        <f>DSUM($A$80:$Y$140,L$80,$C$147:$D159)</f>
        <v>0</v>
      </c>
      <c r="M159" s="37">
        <f>DSUM($A$80:$Y$140,M$80,$C$147:$D159)</f>
        <v>0</v>
      </c>
      <c r="N159" s="37">
        <f>DSUM($A$80:$Y$140,N$80,$C$147:$D159)</f>
        <v>0</v>
      </c>
      <c r="O159" s="37">
        <f>DSUM($A$80:$Y$140,O$80,$C$147:$D159)</f>
        <v>0</v>
      </c>
      <c r="P159" s="37">
        <f>DSUM($A$80:$Y$140,P$80,$C$147:$D159)</f>
        <v>0</v>
      </c>
      <c r="Q159" s="37">
        <f>DSUM($A$80:$Y$140,Q$80,$C$147:$D159)</f>
        <v>0</v>
      </c>
      <c r="R159" s="37">
        <f>DSUM($A$80:$Y$140,R$80,$C$147:$D159)</f>
        <v>0</v>
      </c>
      <c r="S159" s="37">
        <f>DSUM($A$80:$Y$140,S$80,$C$147:$D159)</f>
        <v>0</v>
      </c>
      <c r="T159" s="37">
        <f>DSUM($A$80:$Y$140,T$80,$C$147:$D159)</f>
        <v>0</v>
      </c>
      <c r="U159" s="37">
        <f>DSUM($A$80:$Y$140,U$80,$C$147:$D159)</f>
        <v>0</v>
      </c>
      <c r="V159" s="37">
        <f>DSUM($A$80:$Y$140,V$80,$C$147:$D159)</f>
        <v>0</v>
      </c>
      <c r="W159" s="37">
        <f>DSUM($A$80:$Y$140,W$80,$C$147:$D159)</f>
        <v>0</v>
      </c>
      <c r="X159" s="37">
        <f>DSUM($A$80:$Y$140,X$80,$C$147:$D159)</f>
        <v>0</v>
      </c>
      <c r="Y159" s="37">
        <f>DSUM($A$80:$Y$140,Y$80,$C$147:$D159)</f>
        <v>42.974930495497375</v>
      </c>
      <c r="Z159" s="1"/>
      <c r="AA159" s="1"/>
      <c r="AB159" s="1"/>
      <c r="AC159" s="1"/>
    </row>
    <row r="160" spans="1:29" customFormat="1">
      <c r="A160" s="1"/>
      <c r="B160" s="1" t="s">
        <v>114</v>
      </c>
      <c r="C160" s="73" t="s">
        <v>115</v>
      </c>
      <c r="D160" s="73" t="s">
        <v>116</v>
      </c>
      <c r="E160" s="37">
        <f>DSUM($A$80:$Y$140,E$80,$C$147:$D160)</f>
        <v>9.5060209731648229</v>
      </c>
      <c r="F160" s="37">
        <f>DSUM($A$80:$Y$140,F$80,$C$147:$D160)</f>
        <v>0</v>
      </c>
      <c r="G160" s="37">
        <f>DSUM($A$80:$Y$140,G$80,$C$147:$D160)</f>
        <v>0</v>
      </c>
      <c r="H160" s="37">
        <f>DSUM($A$80:$Y$140,H$80,$C$147:$D160)</f>
        <v>0</v>
      </c>
      <c r="I160" s="37">
        <f>DSUM($A$80:$Y$140,I$80,$C$147:$D160)</f>
        <v>0</v>
      </c>
      <c r="J160" s="37">
        <f>DSUM($A$80:$Y$140,J$80,$C$147:$D160)</f>
        <v>0</v>
      </c>
      <c r="K160" s="37">
        <f>DSUM($A$80:$Y$140,K$80,$C$147:$D160)</f>
        <v>0</v>
      </c>
      <c r="L160" s="37">
        <f>DSUM($A$80:$Y$140,L$80,$C$147:$D160)</f>
        <v>0</v>
      </c>
      <c r="M160" s="37">
        <f>DSUM($A$80:$Y$140,M$80,$C$147:$D160)</f>
        <v>0</v>
      </c>
      <c r="N160" s="37">
        <f>DSUM($A$80:$Y$140,N$80,$C$147:$D160)</f>
        <v>0</v>
      </c>
      <c r="O160" s="37">
        <f>DSUM($A$80:$Y$140,O$80,$C$147:$D160)</f>
        <v>0</v>
      </c>
      <c r="P160" s="37">
        <f>DSUM($A$80:$Y$140,P$80,$C$147:$D160)</f>
        <v>0</v>
      </c>
      <c r="Q160" s="37">
        <f>DSUM($A$80:$Y$140,Q$80,$C$147:$D160)</f>
        <v>0</v>
      </c>
      <c r="R160" s="37">
        <f>DSUM($A$80:$Y$140,R$80,$C$147:$D160)</f>
        <v>0</v>
      </c>
      <c r="S160" s="37">
        <f>DSUM($A$80:$Y$140,S$80,$C$147:$D160)</f>
        <v>0</v>
      </c>
      <c r="T160" s="37">
        <f>DSUM($A$80:$Y$140,T$80,$C$147:$D160)</f>
        <v>0</v>
      </c>
      <c r="U160" s="37">
        <f>DSUM($A$80:$Y$140,U$80,$C$147:$D160)</f>
        <v>0</v>
      </c>
      <c r="V160" s="37">
        <f>DSUM($A$80:$Y$140,V$80,$C$147:$D160)</f>
        <v>0</v>
      </c>
      <c r="W160" s="37">
        <f>DSUM($A$80:$Y$140,W$80,$C$147:$D160)</f>
        <v>0</v>
      </c>
      <c r="X160" s="37">
        <f>DSUM($A$80:$Y$140,X$80,$C$147:$D160)</f>
        <v>0</v>
      </c>
      <c r="Y160" s="37">
        <f>DSUM($A$80:$Y$140,Y$80,$C$147:$D160)</f>
        <v>42.974930495497375</v>
      </c>
      <c r="Z160" s="1"/>
      <c r="AA160" s="1"/>
      <c r="AB160" s="1"/>
      <c r="AC160" s="1"/>
    </row>
    <row r="161" spans="1:29" customFormat="1">
      <c r="A161" s="1"/>
      <c r="B161" s="1" t="s">
        <v>117</v>
      </c>
      <c r="C161" s="73" t="s">
        <v>118</v>
      </c>
      <c r="D161" s="73" t="s">
        <v>119</v>
      </c>
      <c r="E161" s="37">
        <f>DSUM($A$80:$Y$140,E$80,$C$147:$D161)</f>
        <v>9.5060209731648229</v>
      </c>
      <c r="F161" s="37">
        <f>DSUM($A$80:$Y$140,F$80,$C$147:$D161)</f>
        <v>0</v>
      </c>
      <c r="G161" s="37">
        <f>DSUM($A$80:$Y$140,G$80,$C$147:$D161)</f>
        <v>0</v>
      </c>
      <c r="H161" s="37">
        <f>DSUM($A$80:$Y$140,H$80,$C$147:$D161)</f>
        <v>0</v>
      </c>
      <c r="I161" s="37">
        <f>DSUM($A$80:$Y$140,I$80,$C$147:$D161)</f>
        <v>0</v>
      </c>
      <c r="J161" s="37">
        <f>DSUM($A$80:$Y$140,J$80,$C$147:$D161)</f>
        <v>0</v>
      </c>
      <c r="K161" s="37">
        <f>DSUM($A$80:$Y$140,K$80,$C$147:$D161)</f>
        <v>0</v>
      </c>
      <c r="L161" s="37">
        <f>DSUM($A$80:$Y$140,L$80,$C$147:$D161)</f>
        <v>0</v>
      </c>
      <c r="M161" s="37">
        <f>DSUM($A$80:$Y$140,M$80,$C$147:$D161)</f>
        <v>0</v>
      </c>
      <c r="N161" s="37">
        <f>DSUM($A$80:$Y$140,N$80,$C$147:$D161)</f>
        <v>0</v>
      </c>
      <c r="O161" s="37">
        <f>DSUM($A$80:$Y$140,O$80,$C$147:$D161)</f>
        <v>0</v>
      </c>
      <c r="P161" s="37">
        <f>DSUM($A$80:$Y$140,P$80,$C$147:$D161)</f>
        <v>0</v>
      </c>
      <c r="Q161" s="37">
        <f>DSUM($A$80:$Y$140,Q$80,$C$147:$D161)</f>
        <v>0</v>
      </c>
      <c r="R161" s="37">
        <f>DSUM($A$80:$Y$140,R$80,$C$147:$D161)</f>
        <v>0</v>
      </c>
      <c r="S161" s="37">
        <f>DSUM($A$80:$Y$140,S$80,$C$147:$D161)</f>
        <v>0</v>
      </c>
      <c r="T161" s="37">
        <f>DSUM($A$80:$Y$140,T$80,$C$147:$D161)</f>
        <v>0</v>
      </c>
      <c r="U161" s="37">
        <f>DSUM($A$80:$Y$140,U$80,$C$147:$D161)</f>
        <v>0</v>
      </c>
      <c r="V161" s="37">
        <f>DSUM($A$80:$Y$140,V$80,$C$147:$D161)</f>
        <v>0</v>
      </c>
      <c r="W161" s="37">
        <f>DSUM($A$80:$Y$140,W$80,$C$147:$D161)</f>
        <v>0</v>
      </c>
      <c r="X161" s="37">
        <f>DSUM($A$80:$Y$140,X$80,$C$147:$D161)</f>
        <v>0</v>
      </c>
      <c r="Y161" s="37">
        <f>DSUM($A$80:$Y$140,Y$80,$C$147:$D161)</f>
        <v>42.974930495497375</v>
      </c>
      <c r="Z161" s="1"/>
      <c r="AA161" s="1"/>
      <c r="AB161" s="1"/>
      <c r="AC161" s="1"/>
    </row>
    <row r="162" spans="1:29" customFormat="1">
      <c r="A162" s="1"/>
      <c r="B162" s="1" t="s">
        <v>120</v>
      </c>
      <c r="C162" s="73" t="s">
        <v>121</v>
      </c>
      <c r="D162" s="73" t="s">
        <v>122</v>
      </c>
      <c r="E162" s="37">
        <f>DSUM($A$80:$Y$140,E$80,$C$147:$D162)</f>
        <v>9.5060209731648229</v>
      </c>
      <c r="F162" s="37">
        <f>DSUM($A$80:$Y$140,F$80,$C$147:$D162)</f>
        <v>0</v>
      </c>
      <c r="G162" s="37">
        <f>DSUM($A$80:$Y$140,G$80,$C$147:$D162)</f>
        <v>0</v>
      </c>
      <c r="H162" s="37">
        <f>DSUM($A$80:$Y$140,H$80,$C$147:$D162)</f>
        <v>0</v>
      </c>
      <c r="I162" s="37">
        <f>DSUM($A$80:$Y$140,I$80,$C$147:$D162)</f>
        <v>0</v>
      </c>
      <c r="J162" s="37">
        <f>DSUM($A$80:$Y$140,J$80,$C$147:$D162)</f>
        <v>0</v>
      </c>
      <c r="K162" s="37">
        <f>DSUM($A$80:$Y$140,K$80,$C$147:$D162)</f>
        <v>0</v>
      </c>
      <c r="L162" s="37">
        <f>DSUM($A$80:$Y$140,L$80,$C$147:$D162)</f>
        <v>0</v>
      </c>
      <c r="M162" s="37">
        <f>DSUM($A$80:$Y$140,M$80,$C$147:$D162)</f>
        <v>0</v>
      </c>
      <c r="N162" s="37">
        <f>DSUM($A$80:$Y$140,N$80,$C$147:$D162)</f>
        <v>0</v>
      </c>
      <c r="O162" s="37">
        <f>DSUM($A$80:$Y$140,O$80,$C$147:$D162)</f>
        <v>0</v>
      </c>
      <c r="P162" s="37">
        <f>DSUM($A$80:$Y$140,P$80,$C$147:$D162)</f>
        <v>0</v>
      </c>
      <c r="Q162" s="37">
        <f>DSUM($A$80:$Y$140,Q$80,$C$147:$D162)</f>
        <v>0</v>
      </c>
      <c r="R162" s="37">
        <f>DSUM($A$80:$Y$140,R$80,$C$147:$D162)</f>
        <v>0</v>
      </c>
      <c r="S162" s="37">
        <f>DSUM($A$80:$Y$140,S$80,$C$147:$D162)</f>
        <v>0</v>
      </c>
      <c r="T162" s="37">
        <f>DSUM($A$80:$Y$140,T$80,$C$147:$D162)</f>
        <v>0</v>
      </c>
      <c r="U162" s="37">
        <f>DSUM($A$80:$Y$140,U$80,$C$147:$D162)</f>
        <v>0</v>
      </c>
      <c r="V162" s="37">
        <f>DSUM($A$80:$Y$140,V$80,$C$147:$D162)</f>
        <v>0</v>
      </c>
      <c r="W162" s="37">
        <f>DSUM($A$80:$Y$140,W$80,$C$147:$D162)</f>
        <v>0</v>
      </c>
      <c r="X162" s="37">
        <f>DSUM($A$80:$Y$140,X$80,$C$147:$D162)</f>
        <v>0</v>
      </c>
      <c r="Y162" s="37">
        <f>DSUM($A$80:$Y$140,Y$80,$C$147:$D162)</f>
        <v>42.974930495497375</v>
      </c>
      <c r="Z162" s="1"/>
      <c r="AA162" s="1"/>
      <c r="AB162" s="1"/>
      <c r="AC162" s="1"/>
    </row>
    <row r="163" spans="1:29" customFormat="1">
      <c r="A163" s="1"/>
      <c r="B163" s="1" t="s">
        <v>123</v>
      </c>
      <c r="C163" s="73" t="s">
        <v>124</v>
      </c>
      <c r="D163" s="73" t="s">
        <v>125</v>
      </c>
      <c r="E163" s="37">
        <f>DSUM($A$80:$Y$140,E$80,$C$147:$D163)</f>
        <v>9.5060209731648229</v>
      </c>
      <c r="F163" s="37">
        <f>DSUM($A$80:$Y$140,F$80,$C$147:$D163)</f>
        <v>0</v>
      </c>
      <c r="G163" s="37">
        <f>DSUM($A$80:$Y$140,G$80,$C$147:$D163)</f>
        <v>0</v>
      </c>
      <c r="H163" s="37">
        <f>DSUM($A$80:$Y$140,H$80,$C$147:$D163)</f>
        <v>0</v>
      </c>
      <c r="I163" s="37">
        <f>DSUM($A$80:$Y$140,I$80,$C$147:$D163)</f>
        <v>0</v>
      </c>
      <c r="J163" s="37">
        <f>DSUM($A$80:$Y$140,J$80,$C$147:$D163)</f>
        <v>0</v>
      </c>
      <c r="K163" s="37">
        <f>DSUM($A$80:$Y$140,K$80,$C$147:$D163)</f>
        <v>0</v>
      </c>
      <c r="L163" s="37">
        <f>DSUM($A$80:$Y$140,L$80,$C$147:$D163)</f>
        <v>0</v>
      </c>
      <c r="M163" s="37">
        <f>DSUM($A$80:$Y$140,M$80,$C$147:$D163)</f>
        <v>0</v>
      </c>
      <c r="N163" s="37">
        <f>DSUM($A$80:$Y$140,N$80,$C$147:$D163)</f>
        <v>0</v>
      </c>
      <c r="O163" s="37">
        <f>DSUM($A$80:$Y$140,O$80,$C$147:$D163)</f>
        <v>0</v>
      </c>
      <c r="P163" s="37">
        <f>DSUM($A$80:$Y$140,P$80,$C$147:$D163)</f>
        <v>0</v>
      </c>
      <c r="Q163" s="37">
        <f>DSUM($A$80:$Y$140,Q$80,$C$147:$D163)</f>
        <v>0</v>
      </c>
      <c r="R163" s="37">
        <f>DSUM($A$80:$Y$140,R$80,$C$147:$D163)</f>
        <v>0</v>
      </c>
      <c r="S163" s="37">
        <f>DSUM($A$80:$Y$140,S$80,$C$147:$D163)</f>
        <v>0</v>
      </c>
      <c r="T163" s="37">
        <f>DSUM($A$80:$Y$140,T$80,$C$147:$D163)</f>
        <v>0</v>
      </c>
      <c r="U163" s="37">
        <f>DSUM($A$80:$Y$140,U$80,$C$147:$D163)</f>
        <v>0</v>
      </c>
      <c r="V163" s="37">
        <f>DSUM($A$80:$Y$140,V$80,$C$147:$D163)</f>
        <v>0</v>
      </c>
      <c r="W163" s="37">
        <f>DSUM($A$80:$Y$140,W$80,$C$147:$D163)</f>
        <v>0</v>
      </c>
      <c r="X163" s="37">
        <f>DSUM($A$80:$Y$140,X$80,$C$147:$D163)</f>
        <v>0</v>
      </c>
      <c r="Y163" s="37">
        <f>DSUM($A$80:$Y$140,Y$80,$C$147:$D163)</f>
        <v>42.974930495497375</v>
      </c>
      <c r="Z163" s="1"/>
      <c r="AA163" s="1"/>
      <c r="AB163" s="1"/>
      <c r="AC163" s="1"/>
    </row>
    <row r="164" spans="1:29" customFormat="1">
      <c r="A164" s="1"/>
      <c r="B164" s="1" t="s">
        <v>126</v>
      </c>
      <c r="C164" s="73" t="s">
        <v>127</v>
      </c>
      <c r="D164" s="73" t="s">
        <v>128</v>
      </c>
      <c r="E164" s="37">
        <f>DSUM($A$80:$Y$140,E$80,$C$147:$D164)</f>
        <v>9.5060209731648229</v>
      </c>
      <c r="F164" s="37">
        <f>DSUM($A$80:$Y$140,F$80,$C$147:$D164)</f>
        <v>0</v>
      </c>
      <c r="G164" s="37">
        <f>DSUM($A$80:$Y$140,G$80,$C$147:$D164)</f>
        <v>0</v>
      </c>
      <c r="H164" s="37">
        <f>DSUM($A$80:$Y$140,H$80,$C$147:$D164)</f>
        <v>0</v>
      </c>
      <c r="I164" s="37">
        <f>DSUM($A$80:$Y$140,I$80,$C$147:$D164)</f>
        <v>0</v>
      </c>
      <c r="J164" s="37">
        <f>DSUM($A$80:$Y$140,J$80,$C$147:$D164)</f>
        <v>0</v>
      </c>
      <c r="K164" s="37">
        <f>DSUM($A$80:$Y$140,K$80,$C$147:$D164)</f>
        <v>0</v>
      </c>
      <c r="L164" s="37">
        <f>DSUM($A$80:$Y$140,L$80,$C$147:$D164)</f>
        <v>0</v>
      </c>
      <c r="M164" s="37">
        <f>DSUM($A$80:$Y$140,M$80,$C$147:$D164)</f>
        <v>0</v>
      </c>
      <c r="N164" s="37">
        <f>DSUM($A$80:$Y$140,N$80,$C$147:$D164)</f>
        <v>0</v>
      </c>
      <c r="O164" s="37">
        <f>DSUM($A$80:$Y$140,O$80,$C$147:$D164)</f>
        <v>0</v>
      </c>
      <c r="P164" s="37">
        <f>DSUM($A$80:$Y$140,P$80,$C$147:$D164)</f>
        <v>0</v>
      </c>
      <c r="Q164" s="37">
        <f>DSUM($A$80:$Y$140,Q$80,$C$147:$D164)</f>
        <v>0</v>
      </c>
      <c r="R164" s="37">
        <f>DSUM($A$80:$Y$140,R$80,$C$147:$D164)</f>
        <v>0</v>
      </c>
      <c r="S164" s="37">
        <f>DSUM($A$80:$Y$140,S$80,$C$147:$D164)</f>
        <v>0</v>
      </c>
      <c r="T164" s="37">
        <f>DSUM($A$80:$Y$140,T$80,$C$147:$D164)</f>
        <v>0</v>
      </c>
      <c r="U164" s="37">
        <f>DSUM($A$80:$Y$140,U$80,$C$147:$D164)</f>
        <v>0</v>
      </c>
      <c r="V164" s="37">
        <f>DSUM($A$80:$Y$140,V$80,$C$147:$D164)</f>
        <v>0</v>
      </c>
      <c r="W164" s="37">
        <f>DSUM($A$80:$Y$140,W$80,$C$147:$D164)</f>
        <v>0</v>
      </c>
      <c r="X164" s="37">
        <f>DSUM($A$80:$Y$140,X$80,$C$147:$D164)</f>
        <v>0</v>
      </c>
      <c r="Y164" s="37">
        <f>DSUM($A$80:$Y$140,Y$80,$C$147:$D164)</f>
        <v>42.974930495497375</v>
      </c>
      <c r="Z164" s="1"/>
      <c r="AA164" s="1"/>
      <c r="AB164" s="1"/>
      <c r="AC164" s="1"/>
    </row>
    <row r="165" spans="1:29" customFormat="1">
      <c r="A165" s="1"/>
      <c r="B165" s="1" t="s">
        <v>129</v>
      </c>
      <c r="C165" s="73" t="s">
        <v>130</v>
      </c>
      <c r="D165" s="73" t="s">
        <v>131</v>
      </c>
      <c r="E165" s="37">
        <f>DSUM($A$80:$Y$140,E$80,$C$147:$D165)</f>
        <v>9.5060209731648229</v>
      </c>
      <c r="F165" s="37">
        <f>DSUM($A$80:$Y$140,F$80,$C$147:$D165)</f>
        <v>0</v>
      </c>
      <c r="G165" s="37">
        <f>DSUM($A$80:$Y$140,G$80,$C$147:$D165)</f>
        <v>0</v>
      </c>
      <c r="H165" s="37">
        <f>DSUM($A$80:$Y$140,H$80,$C$147:$D165)</f>
        <v>0</v>
      </c>
      <c r="I165" s="37">
        <f>DSUM($A$80:$Y$140,I$80,$C$147:$D165)</f>
        <v>0</v>
      </c>
      <c r="J165" s="37">
        <f>DSUM($A$80:$Y$140,J$80,$C$147:$D165)</f>
        <v>0</v>
      </c>
      <c r="K165" s="37">
        <f>DSUM($A$80:$Y$140,K$80,$C$147:$D165)</f>
        <v>0</v>
      </c>
      <c r="L165" s="37">
        <f>DSUM($A$80:$Y$140,L$80,$C$147:$D165)</f>
        <v>0</v>
      </c>
      <c r="M165" s="37">
        <f>DSUM($A$80:$Y$140,M$80,$C$147:$D165)</f>
        <v>0</v>
      </c>
      <c r="N165" s="37">
        <f>DSUM($A$80:$Y$140,N$80,$C$147:$D165)</f>
        <v>0</v>
      </c>
      <c r="O165" s="37">
        <f>DSUM($A$80:$Y$140,O$80,$C$147:$D165)</f>
        <v>0</v>
      </c>
      <c r="P165" s="37">
        <f>DSUM($A$80:$Y$140,P$80,$C$147:$D165)</f>
        <v>0</v>
      </c>
      <c r="Q165" s="37">
        <f>DSUM($A$80:$Y$140,Q$80,$C$147:$D165)</f>
        <v>0</v>
      </c>
      <c r="R165" s="37">
        <f>DSUM($A$80:$Y$140,R$80,$C$147:$D165)</f>
        <v>0</v>
      </c>
      <c r="S165" s="37">
        <f>DSUM($A$80:$Y$140,S$80,$C$147:$D165)</f>
        <v>0</v>
      </c>
      <c r="T165" s="37">
        <f>DSUM($A$80:$Y$140,T$80,$C$147:$D165)</f>
        <v>0</v>
      </c>
      <c r="U165" s="37">
        <f>DSUM($A$80:$Y$140,U$80,$C$147:$D165)</f>
        <v>0</v>
      </c>
      <c r="V165" s="37">
        <f>DSUM($A$80:$Y$140,V$80,$C$147:$D165)</f>
        <v>0</v>
      </c>
      <c r="W165" s="37">
        <f>DSUM($A$80:$Y$140,W$80,$C$147:$D165)</f>
        <v>0</v>
      </c>
      <c r="X165" s="37">
        <f>DSUM($A$80:$Y$140,X$80,$C$147:$D165)</f>
        <v>0</v>
      </c>
      <c r="Y165" s="37">
        <f>DSUM($A$80:$Y$140,Y$80,$C$147:$D165)</f>
        <v>42.974930495497375</v>
      </c>
      <c r="Z165" s="1"/>
      <c r="AA165" s="1"/>
      <c r="AB165" s="1"/>
      <c r="AC165" s="1"/>
    </row>
    <row r="166" spans="1:29" customFormat="1">
      <c r="A166" s="1"/>
      <c r="B166" s="1" t="s">
        <v>132</v>
      </c>
      <c r="C166" s="73" t="s">
        <v>133</v>
      </c>
      <c r="D166" s="73" t="s">
        <v>134</v>
      </c>
      <c r="E166" s="37">
        <f>DSUM($A$80:$Y$140,E$80,$C$147:$D166)</f>
        <v>9.5060209731648229</v>
      </c>
      <c r="F166" s="37">
        <f>DSUM($A$80:$Y$140,F$80,$C$147:$D166)</f>
        <v>0</v>
      </c>
      <c r="G166" s="37">
        <f>DSUM($A$80:$Y$140,G$80,$C$147:$D166)</f>
        <v>0</v>
      </c>
      <c r="H166" s="37">
        <f>DSUM($A$80:$Y$140,H$80,$C$147:$D166)</f>
        <v>0</v>
      </c>
      <c r="I166" s="37">
        <f>DSUM($A$80:$Y$140,I$80,$C$147:$D166)</f>
        <v>0</v>
      </c>
      <c r="J166" s="37">
        <f>DSUM($A$80:$Y$140,J$80,$C$147:$D166)</f>
        <v>0</v>
      </c>
      <c r="K166" s="37">
        <f>DSUM($A$80:$Y$140,K$80,$C$147:$D166)</f>
        <v>0</v>
      </c>
      <c r="L166" s="37">
        <f>DSUM($A$80:$Y$140,L$80,$C$147:$D166)</f>
        <v>0</v>
      </c>
      <c r="M166" s="37">
        <f>DSUM($A$80:$Y$140,M$80,$C$147:$D166)</f>
        <v>0</v>
      </c>
      <c r="N166" s="37">
        <f>DSUM($A$80:$Y$140,N$80,$C$147:$D166)</f>
        <v>0</v>
      </c>
      <c r="O166" s="37">
        <f>DSUM($A$80:$Y$140,O$80,$C$147:$D166)</f>
        <v>0</v>
      </c>
      <c r="P166" s="37">
        <f>DSUM($A$80:$Y$140,P$80,$C$147:$D166)</f>
        <v>0</v>
      </c>
      <c r="Q166" s="37">
        <f>DSUM($A$80:$Y$140,Q$80,$C$147:$D166)</f>
        <v>0</v>
      </c>
      <c r="R166" s="37">
        <f>DSUM($A$80:$Y$140,R$80,$C$147:$D166)</f>
        <v>0</v>
      </c>
      <c r="S166" s="37">
        <f>DSUM($A$80:$Y$140,S$80,$C$147:$D166)</f>
        <v>0</v>
      </c>
      <c r="T166" s="37">
        <f>DSUM($A$80:$Y$140,T$80,$C$147:$D166)</f>
        <v>0</v>
      </c>
      <c r="U166" s="37">
        <f>DSUM($A$80:$Y$140,U$80,$C$147:$D166)</f>
        <v>0</v>
      </c>
      <c r="V166" s="37">
        <f>DSUM($A$80:$Y$140,V$80,$C$147:$D166)</f>
        <v>0</v>
      </c>
      <c r="W166" s="37">
        <f>DSUM($A$80:$Y$140,W$80,$C$147:$D166)</f>
        <v>0</v>
      </c>
      <c r="X166" s="37">
        <f>DSUM($A$80:$Y$140,X$80,$C$147:$D166)</f>
        <v>0</v>
      </c>
      <c r="Y166" s="37">
        <f>DSUM($A$80:$Y$140,Y$80,$C$147:$D166)</f>
        <v>42.974930495497375</v>
      </c>
      <c r="Z166" s="1"/>
      <c r="AA166" s="1"/>
      <c r="AB166" s="1"/>
      <c r="AC166" s="1"/>
    </row>
    <row r="167" spans="1:29" customFormat="1">
      <c r="A167" s="1"/>
      <c r="B167" s="1" t="s">
        <v>135</v>
      </c>
      <c r="C167" s="73" t="s">
        <v>136</v>
      </c>
      <c r="D167" s="73" t="s">
        <v>137</v>
      </c>
      <c r="E167" s="37">
        <f>DSUM($A$80:$Y$140,E$80,$C$147:$D167)</f>
        <v>9.5060209731648229</v>
      </c>
      <c r="F167" s="37">
        <f>DSUM($A$80:$Y$140,F$80,$C$147:$D167)</f>
        <v>0</v>
      </c>
      <c r="G167" s="37">
        <f>DSUM($A$80:$Y$140,G$80,$C$147:$D167)</f>
        <v>0</v>
      </c>
      <c r="H167" s="37">
        <f>DSUM($A$80:$Y$140,H$80,$C$147:$D167)</f>
        <v>0</v>
      </c>
      <c r="I167" s="37">
        <f>DSUM($A$80:$Y$140,I$80,$C$147:$D167)</f>
        <v>0</v>
      </c>
      <c r="J167" s="37">
        <f>DSUM($A$80:$Y$140,J$80,$C$147:$D167)</f>
        <v>0</v>
      </c>
      <c r="K167" s="37">
        <f>DSUM($A$80:$Y$140,K$80,$C$147:$D167)</f>
        <v>0</v>
      </c>
      <c r="L167" s="37">
        <f>DSUM($A$80:$Y$140,L$80,$C$147:$D167)</f>
        <v>0</v>
      </c>
      <c r="M167" s="37">
        <f>DSUM($A$80:$Y$140,M$80,$C$147:$D167)</f>
        <v>0</v>
      </c>
      <c r="N167" s="37">
        <f>DSUM($A$80:$Y$140,N$80,$C$147:$D167)</f>
        <v>0</v>
      </c>
      <c r="O167" s="37">
        <f>DSUM($A$80:$Y$140,O$80,$C$147:$D167)</f>
        <v>0</v>
      </c>
      <c r="P167" s="37">
        <f>DSUM($A$80:$Y$140,P$80,$C$147:$D167)</f>
        <v>0</v>
      </c>
      <c r="Q167" s="37">
        <f>DSUM($A$80:$Y$140,Q$80,$C$147:$D167)</f>
        <v>0</v>
      </c>
      <c r="R167" s="37">
        <f>DSUM($A$80:$Y$140,R$80,$C$147:$D167)</f>
        <v>0</v>
      </c>
      <c r="S167" s="37">
        <f>DSUM($A$80:$Y$140,S$80,$C$147:$D167)</f>
        <v>0</v>
      </c>
      <c r="T167" s="37">
        <f>DSUM($A$80:$Y$140,T$80,$C$147:$D167)</f>
        <v>0</v>
      </c>
      <c r="U167" s="37">
        <f>DSUM($A$80:$Y$140,U$80,$C$147:$D167)</f>
        <v>0</v>
      </c>
      <c r="V167" s="37">
        <f>DSUM($A$80:$Y$140,V$80,$C$147:$D167)</f>
        <v>0</v>
      </c>
      <c r="W167" s="37">
        <f>DSUM($A$80:$Y$140,W$80,$C$147:$D167)</f>
        <v>0</v>
      </c>
      <c r="X167" s="37">
        <f>DSUM($A$80:$Y$140,X$80,$C$147:$D167)</f>
        <v>0</v>
      </c>
      <c r="Y167" s="37">
        <f>DSUM($A$80:$Y$140,Y$80,$C$147:$D167)</f>
        <v>42.974930495497375</v>
      </c>
      <c r="Z167" s="1"/>
      <c r="AA167" s="1"/>
      <c r="AB167" s="1"/>
      <c r="AC167" s="1"/>
    </row>
    <row r="168" spans="1:29" customFormat="1">
      <c r="A168" s="1"/>
      <c r="B168" s="1" t="s">
        <v>138</v>
      </c>
      <c r="C168" s="73" t="s">
        <v>139</v>
      </c>
      <c r="D168" s="73" t="s">
        <v>140</v>
      </c>
      <c r="E168" s="37">
        <f>DSUM($A$80:$Y$140,E$80,$C$147:$D168)</f>
        <v>9.5060209731648229</v>
      </c>
      <c r="F168" s="37">
        <f>DSUM($A$80:$Y$140,F$80,$C$147:$D168)</f>
        <v>0</v>
      </c>
      <c r="G168" s="37">
        <f>DSUM($A$80:$Y$140,G$80,$C$147:$D168)</f>
        <v>0</v>
      </c>
      <c r="H168" s="37">
        <f>DSUM($A$80:$Y$140,H$80,$C$147:$D168)</f>
        <v>0</v>
      </c>
      <c r="I168" s="37">
        <f>DSUM($A$80:$Y$140,I$80,$C$147:$D168)</f>
        <v>0</v>
      </c>
      <c r="J168" s="37">
        <f>DSUM($A$80:$Y$140,J$80,$C$147:$D168)</f>
        <v>0</v>
      </c>
      <c r="K168" s="37">
        <f>DSUM($A$80:$Y$140,K$80,$C$147:$D168)</f>
        <v>0</v>
      </c>
      <c r="L168" s="37">
        <f>DSUM($A$80:$Y$140,L$80,$C$147:$D168)</f>
        <v>0</v>
      </c>
      <c r="M168" s="37">
        <f>DSUM($A$80:$Y$140,M$80,$C$147:$D168)</f>
        <v>0</v>
      </c>
      <c r="N168" s="37">
        <f>DSUM($A$80:$Y$140,N$80,$C$147:$D168)</f>
        <v>0</v>
      </c>
      <c r="O168" s="37">
        <f>DSUM($A$80:$Y$140,O$80,$C$147:$D168)</f>
        <v>0</v>
      </c>
      <c r="P168" s="37">
        <f>DSUM($A$80:$Y$140,P$80,$C$147:$D168)</f>
        <v>0</v>
      </c>
      <c r="Q168" s="37">
        <f>DSUM($A$80:$Y$140,Q$80,$C$147:$D168)</f>
        <v>0</v>
      </c>
      <c r="R168" s="37">
        <f>DSUM($A$80:$Y$140,R$80,$C$147:$D168)</f>
        <v>0</v>
      </c>
      <c r="S168" s="37">
        <f>DSUM($A$80:$Y$140,S$80,$C$147:$D168)</f>
        <v>0</v>
      </c>
      <c r="T168" s="37">
        <f>DSUM($A$80:$Y$140,T$80,$C$147:$D168)</f>
        <v>0</v>
      </c>
      <c r="U168" s="37">
        <f>DSUM($A$80:$Y$140,U$80,$C$147:$D168)</f>
        <v>0</v>
      </c>
      <c r="V168" s="37">
        <f>DSUM($A$80:$Y$140,V$80,$C$147:$D168)</f>
        <v>0</v>
      </c>
      <c r="W168" s="37">
        <f>DSUM($A$80:$Y$140,W$80,$C$147:$D168)</f>
        <v>0</v>
      </c>
      <c r="X168" s="37">
        <f>DSUM($A$80:$Y$140,X$80,$C$147:$D168)</f>
        <v>0</v>
      </c>
      <c r="Y168" s="37">
        <f>DSUM($A$80:$Y$140,Y$80,$C$147:$D168)</f>
        <v>42.974930495497375</v>
      </c>
      <c r="Z168" s="1"/>
      <c r="AA168" s="1"/>
      <c r="AB168" s="1"/>
      <c r="AC168" s="1"/>
    </row>
    <row r="169" spans="1:29" customFormat="1">
      <c r="A169" s="1"/>
      <c r="B169" s="1" t="s">
        <v>365</v>
      </c>
      <c r="C169" s="73" t="s">
        <v>142</v>
      </c>
      <c r="D169" s="73" t="s">
        <v>366</v>
      </c>
      <c r="E169" s="37">
        <f>DSUM($A$80:$Y$140,E$80,$C$147:$D169)</f>
        <v>9.5060209731648229</v>
      </c>
      <c r="F169" s="37">
        <f>DSUM($A$80:$Y$140,F$80,$C$147:$D169)</f>
        <v>0</v>
      </c>
      <c r="G169" s="37">
        <f>DSUM($A$80:$Y$140,G$80,$C$147:$D169)</f>
        <v>0</v>
      </c>
      <c r="H169" s="37">
        <f>DSUM($A$80:$Y$140,H$80,$C$147:$D169)</f>
        <v>0</v>
      </c>
      <c r="I169" s="37">
        <f>DSUM($A$80:$Y$140,I$80,$C$147:$D169)</f>
        <v>0</v>
      </c>
      <c r="J169" s="37">
        <f>DSUM($A$80:$Y$140,J$80,$C$147:$D169)</f>
        <v>0</v>
      </c>
      <c r="K169" s="37">
        <f>DSUM($A$80:$Y$140,K$80,$C$147:$D169)</f>
        <v>0</v>
      </c>
      <c r="L169" s="37">
        <f>DSUM($A$80:$Y$140,L$80,$C$147:$D169)</f>
        <v>0</v>
      </c>
      <c r="M169" s="37">
        <f>DSUM($A$80:$Y$140,M$80,$C$147:$D169)</f>
        <v>0</v>
      </c>
      <c r="N169" s="37">
        <f>DSUM($A$80:$Y$140,N$80,$C$147:$D169)</f>
        <v>0</v>
      </c>
      <c r="O169" s="37">
        <f>DSUM($A$80:$Y$140,O$80,$C$147:$D169)</f>
        <v>0</v>
      </c>
      <c r="P169" s="37">
        <f>DSUM($A$80:$Y$140,P$80,$C$147:$D169)</f>
        <v>0</v>
      </c>
      <c r="Q169" s="37">
        <f>DSUM($A$80:$Y$140,Q$80,$C$147:$D169)</f>
        <v>0</v>
      </c>
      <c r="R169" s="37">
        <f>DSUM($A$80:$Y$140,R$80,$C$147:$D169)</f>
        <v>0</v>
      </c>
      <c r="S169" s="37">
        <f>DSUM($A$80:$Y$140,S$80,$C$147:$D169)</f>
        <v>0</v>
      </c>
      <c r="T169" s="37">
        <f>DSUM($A$80:$Y$140,T$80,$C$147:$D169)</f>
        <v>0</v>
      </c>
      <c r="U169" s="37">
        <f>DSUM($A$80:$Y$140,U$80,$C$147:$D169)</f>
        <v>0</v>
      </c>
      <c r="V169" s="37">
        <f>DSUM($A$80:$Y$140,V$80,$C$147:$D169)</f>
        <v>0</v>
      </c>
      <c r="W169" s="37">
        <f>DSUM($A$80:$Y$140,W$80,$C$147:$D169)</f>
        <v>0</v>
      </c>
      <c r="X169" s="37">
        <f>DSUM($A$80:$Y$140,X$80,$C$147:$D169)</f>
        <v>0</v>
      </c>
      <c r="Y169" s="37">
        <f>DSUM($A$80:$Y$140,Y$80,$C$147:$D169)</f>
        <v>42.974930495497375</v>
      </c>
      <c r="Z169" s="1"/>
      <c r="AA169" s="1"/>
      <c r="AB169" s="1"/>
      <c r="AC169" s="1"/>
    </row>
    <row r="170" spans="1:29" customFormat="1">
      <c r="A170" s="1"/>
      <c r="B170" s="1" t="s">
        <v>367</v>
      </c>
      <c r="C170" s="73" t="s">
        <v>368</v>
      </c>
      <c r="D170" s="73" t="s">
        <v>369</v>
      </c>
      <c r="E170" s="37">
        <f>DSUM($A$80:$Y$140,E$80,$C$147:$D170)</f>
        <v>9.5060209731648229</v>
      </c>
      <c r="F170" s="37">
        <f>DSUM($A$80:$Y$140,F$80,$C$147:$D170)</f>
        <v>0</v>
      </c>
      <c r="G170" s="37">
        <f>DSUM($A$80:$Y$140,G$80,$C$147:$D170)</f>
        <v>0</v>
      </c>
      <c r="H170" s="37">
        <f>DSUM($A$80:$Y$140,H$80,$C$147:$D170)</f>
        <v>0</v>
      </c>
      <c r="I170" s="37">
        <f>DSUM($A$80:$Y$140,I$80,$C$147:$D170)</f>
        <v>0</v>
      </c>
      <c r="J170" s="37">
        <f>DSUM($A$80:$Y$140,J$80,$C$147:$D170)</f>
        <v>0</v>
      </c>
      <c r="K170" s="37">
        <f>DSUM($A$80:$Y$140,K$80,$C$147:$D170)</f>
        <v>0</v>
      </c>
      <c r="L170" s="37">
        <f>DSUM($A$80:$Y$140,L$80,$C$147:$D170)</f>
        <v>0</v>
      </c>
      <c r="M170" s="37">
        <f>DSUM($A$80:$Y$140,M$80,$C$147:$D170)</f>
        <v>0</v>
      </c>
      <c r="N170" s="37">
        <f>DSUM($A$80:$Y$140,N$80,$C$147:$D170)</f>
        <v>0</v>
      </c>
      <c r="O170" s="37">
        <f>DSUM($A$80:$Y$140,O$80,$C$147:$D170)</f>
        <v>0</v>
      </c>
      <c r="P170" s="37">
        <f>DSUM($A$80:$Y$140,P$80,$C$147:$D170)</f>
        <v>0</v>
      </c>
      <c r="Q170" s="37">
        <f>DSUM($A$80:$Y$140,Q$80,$C$147:$D170)</f>
        <v>0</v>
      </c>
      <c r="R170" s="37">
        <f>DSUM($A$80:$Y$140,R$80,$C$147:$D170)</f>
        <v>0</v>
      </c>
      <c r="S170" s="37">
        <f>DSUM($A$80:$Y$140,S$80,$C$147:$D170)</f>
        <v>0</v>
      </c>
      <c r="T170" s="37">
        <f>DSUM($A$80:$Y$140,T$80,$C$147:$D170)</f>
        <v>0</v>
      </c>
      <c r="U170" s="37">
        <f>DSUM($A$80:$Y$140,U$80,$C$147:$D170)</f>
        <v>0</v>
      </c>
      <c r="V170" s="37">
        <f>DSUM($A$80:$Y$140,V$80,$C$147:$D170)</f>
        <v>0</v>
      </c>
      <c r="W170" s="37">
        <f>DSUM($A$80:$Y$140,W$80,$C$147:$D170)</f>
        <v>0</v>
      </c>
      <c r="X170" s="37">
        <f>DSUM($A$80:$Y$140,X$80,$C$147:$D170)</f>
        <v>0</v>
      </c>
      <c r="Y170" s="37">
        <f>DSUM($A$80:$Y$140,Y$80,$C$147:$D170)</f>
        <v>42.974930495497375</v>
      </c>
      <c r="Z170" s="1"/>
      <c r="AA170" s="1"/>
      <c r="AB170" s="1"/>
      <c r="AC170" s="1"/>
    </row>
    <row r="171" spans="1:29" customFormat="1">
      <c r="A171" s="1"/>
      <c r="B171" s="1" t="s">
        <v>370</v>
      </c>
      <c r="C171" s="73" t="s">
        <v>371</v>
      </c>
      <c r="D171" s="73" t="s">
        <v>372</v>
      </c>
      <c r="E171" s="37">
        <f>DSUM($A$80:$Y$140,E$80,$C$147:$D171)</f>
        <v>9.5060209731648229</v>
      </c>
      <c r="F171" s="37">
        <f>DSUM($A$80:$Y$140,F$80,$C$147:$D171)</f>
        <v>0</v>
      </c>
      <c r="G171" s="37">
        <f>DSUM($A$80:$Y$140,G$80,$C$147:$D171)</f>
        <v>0</v>
      </c>
      <c r="H171" s="37">
        <f>DSUM($A$80:$Y$140,H$80,$C$147:$D171)</f>
        <v>0</v>
      </c>
      <c r="I171" s="37">
        <f>DSUM($A$80:$Y$140,I$80,$C$147:$D171)</f>
        <v>0</v>
      </c>
      <c r="J171" s="37">
        <f>DSUM($A$80:$Y$140,J$80,$C$147:$D171)</f>
        <v>0</v>
      </c>
      <c r="K171" s="37">
        <f>DSUM($A$80:$Y$140,K$80,$C$147:$D171)</f>
        <v>0</v>
      </c>
      <c r="L171" s="37">
        <f>DSUM($A$80:$Y$140,L$80,$C$147:$D171)</f>
        <v>0</v>
      </c>
      <c r="M171" s="37">
        <f>DSUM($A$80:$Y$140,M$80,$C$147:$D171)</f>
        <v>0</v>
      </c>
      <c r="N171" s="37">
        <f>DSUM($A$80:$Y$140,N$80,$C$147:$D171)</f>
        <v>0</v>
      </c>
      <c r="O171" s="37">
        <f>DSUM($A$80:$Y$140,O$80,$C$147:$D171)</f>
        <v>0</v>
      </c>
      <c r="P171" s="37">
        <f>DSUM($A$80:$Y$140,P$80,$C$147:$D171)</f>
        <v>0</v>
      </c>
      <c r="Q171" s="37">
        <f>DSUM($A$80:$Y$140,Q$80,$C$147:$D171)</f>
        <v>0</v>
      </c>
      <c r="R171" s="37">
        <f>DSUM($A$80:$Y$140,R$80,$C$147:$D171)</f>
        <v>0</v>
      </c>
      <c r="S171" s="37">
        <f>DSUM($A$80:$Y$140,S$80,$C$147:$D171)</f>
        <v>0</v>
      </c>
      <c r="T171" s="37">
        <f>DSUM($A$80:$Y$140,T$80,$C$147:$D171)</f>
        <v>0</v>
      </c>
      <c r="U171" s="37">
        <f>DSUM($A$80:$Y$140,U$80,$C$147:$D171)</f>
        <v>0</v>
      </c>
      <c r="V171" s="37">
        <f>DSUM($A$80:$Y$140,V$80,$C$147:$D171)</f>
        <v>0</v>
      </c>
      <c r="W171" s="37">
        <f>DSUM($A$80:$Y$140,W$80,$C$147:$D171)</f>
        <v>0</v>
      </c>
      <c r="X171" s="37">
        <f>DSUM($A$80:$Y$140,X$80,$C$147:$D171)</f>
        <v>0</v>
      </c>
      <c r="Y171" s="37">
        <f>DSUM($A$80:$Y$140,Y$80,$C$147:$D171)</f>
        <v>42.974930495497375</v>
      </c>
      <c r="Z171" s="1"/>
      <c r="AA171" s="1"/>
      <c r="AB171" s="1"/>
      <c r="AC171" s="1"/>
    </row>
    <row r="172" spans="1:29" customFormat="1">
      <c r="A172" s="1"/>
      <c r="B172" s="1" t="s">
        <v>373</v>
      </c>
      <c r="C172" s="73" t="s">
        <v>374</v>
      </c>
      <c r="D172" s="73" t="s">
        <v>375</v>
      </c>
      <c r="E172" s="37">
        <f>DSUM($A$80:$Y$140,E$80,$C$147:$D172)</f>
        <v>9.5060209731648229</v>
      </c>
      <c r="F172" s="37">
        <f>DSUM($A$80:$Y$140,F$80,$C$147:$D172)</f>
        <v>0</v>
      </c>
      <c r="G172" s="37">
        <f>DSUM($A$80:$Y$140,G$80,$C$147:$D172)</f>
        <v>0</v>
      </c>
      <c r="H172" s="37">
        <f>DSUM($A$80:$Y$140,H$80,$C$147:$D172)</f>
        <v>0</v>
      </c>
      <c r="I172" s="37">
        <f>DSUM($A$80:$Y$140,I$80,$C$147:$D172)</f>
        <v>0</v>
      </c>
      <c r="J172" s="37">
        <f>DSUM($A$80:$Y$140,J$80,$C$147:$D172)</f>
        <v>0</v>
      </c>
      <c r="K172" s="37">
        <f>DSUM($A$80:$Y$140,K$80,$C$147:$D172)</f>
        <v>0</v>
      </c>
      <c r="L172" s="37">
        <f>DSUM($A$80:$Y$140,L$80,$C$147:$D172)</f>
        <v>0</v>
      </c>
      <c r="M172" s="37">
        <f>DSUM($A$80:$Y$140,M$80,$C$147:$D172)</f>
        <v>0</v>
      </c>
      <c r="N172" s="37">
        <f>DSUM($A$80:$Y$140,N$80,$C$147:$D172)</f>
        <v>0</v>
      </c>
      <c r="O172" s="37">
        <f>DSUM($A$80:$Y$140,O$80,$C$147:$D172)</f>
        <v>0</v>
      </c>
      <c r="P172" s="37">
        <f>DSUM($A$80:$Y$140,P$80,$C$147:$D172)</f>
        <v>0</v>
      </c>
      <c r="Q172" s="37">
        <f>DSUM($A$80:$Y$140,Q$80,$C$147:$D172)</f>
        <v>0</v>
      </c>
      <c r="R172" s="37">
        <f>DSUM($A$80:$Y$140,R$80,$C$147:$D172)</f>
        <v>0</v>
      </c>
      <c r="S172" s="37">
        <f>DSUM($A$80:$Y$140,S$80,$C$147:$D172)</f>
        <v>0</v>
      </c>
      <c r="T172" s="37">
        <f>DSUM($A$80:$Y$140,T$80,$C$147:$D172)</f>
        <v>0</v>
      </c>
      <c r="U172" s="37">
        <f>DSUM($A$80:$Y$140,U$80,$C$147:$D172)</f>
        <v>0</v>
      </c>
      <c r="V172" s="37">
        <f>DSUM($A$80:$Y$140,V$80,$C$147:$D172)</f>
        <v>0</v>
      </c>
      <c r="W172" s="37">
        <f>DSUM($A$80:$Y$140,W$80,$C$147:$D172)</f>
        <v>0</v>
      </c>
      <c r="X172" s="37">
        <f>DSUM($A$80:$Y$140,X$80,$C$147:$D172)</f>
        <v>0</v>
      </c>
      <c r="Y172" s="37">
        <f>DSUM($A$80:$Y$140,Y$80,$C$147:$D172)</f>
        <v>42.974930495497375</v>
      </c>
      <c r="Z172" s="1"/>
      <c r="AA172" s="1"/>
      <c r="AB172" s="1"/>
      <c r="AC172" s="1"/>
    </row>
    <row r="173" spans="1:29" customFormat="1">
      <c r="A173" s="1"/>
      <c r="B173" s="1" t="s">
        <v>376</v>
      </c>
      <c r="C173" s="73" t="s">
        <v>377</v>
      </c>
      <c r="D173" s="73" t="s">
        <v>378</v>
      </c>
      <c r="E173" s="37">
        <f>DSUM($A$80:$Y$140,E$80,$C$147:$D173)</f>
        <v>9.5060209731648229</v>
      </c>
      <c r="F173" s="37">
        <f>DSUM($A$80:$Y$140,F$80,$C$147:$D173)</f>
        <v>0</v>
      </c>
      <c r="G173" s="37">
        <f>DSUM($A$80:$Y$140,G$80,$C$147:$D173)</f>
        <v>0</v>
      </c>
      <c r="H173" s="37">
        <f>DSUM($A$80:$Y$140,H$80,$C$147:$D173)</f>
        <v>0</v>
      </c>
      <c r="I173" s="37">
        <f>DSUM($A$80:$Y$140,I$80,$C$147:$D173)</f>
        <v>0</v>
      </c>
      <c r="J173" s="37">
        <f>DSUM($A$80:$Y$140,J$80,$C$147:$D173)</f>
        <v>0</v>
      </c>
      <c r="K173" s="37">
        <f>DSUM($A$80:$Y$140,K$80,$C$147:$D173)</f>
        <v>0</v>
      </c>
      <c r="L173" s="37">
        <f>DSUM($A$80:$Y$140,L$80,$C$147:$D173)</f>
        <v>0</v>
      </c>
      <c r="M173" s="37">
        <f>DSUM($A$80:$Y$140,M$80,$C$147:$D173)</f>
        <v>0</v>
      </c>
      <c r="N173" s="37">
        <f>DSUM($A$80:$Y$140,N$80,$C$147:$D173)</f>
        <v>0</v>
      </c>
      <c r="O173" s="37">
        <f>DSUM($A$80:$Y$140,O$80,$C$147:$D173)</f>
        <v>0</v>
      </c>
      <c r="P173" s="37">
        <f>DSUM($A$80:$Y$140,P$80,$C$147:$D173)</f>
        <v>0</v>
      </c>
      <c r="Q173" s="37">
        <f>DSUM($A$80:$Y$140,Q$80,$C$147:$D173)</f>
        <v>0</v>
      </c>
      <c r="R173" s="37">
        <f>DSUM($A$80:$Y$140,R$80,$C$147:$D173)</f>
        <v>0</v>
      </c>
      <c r="S173" s="37">
        <f>DSUM($A$80:$Y$140,S$80,$C$147:$D173)</f>
        <v>0</v>
      </c>
      <c r="T173" s="37">
        <f>DSUM($A$80:$Y$140,T$80,$C$147:$D173)</f>
        <v>0</v>
      </c>
      <c r="U173" s="37">
        <f>DSUM($A$80:$Y$140,U$80,$C$147:$D173)</f>
        <v>0</v>
      </c>
      <c r="V173" s="37">
        <f>DSUM($A$80:$Y$140,V$80,$C$147:$D173)</f>
        <v>0</v>
      </c>
      <c r="W173" s="37">
        <f>DSUM($A$80:$Y$140,W$80,$C$147:$D173)</f>
        <v>0</v>
      </c>
      <c r="X173" s="37">
        <f>DSUM($A$80:$Y$140,X$80,$C$147:$D173)</f>
        <v>0</v>
      </c>
      <c r="Y173" s="37">
        <f>DSUM($A$80:$Y$140,Y$80,$C$147:$D173)</f>
        <v>42.974930495497375</v>
      </c>
      <c r="Z173" s="1"/>
      <c r="AA173" s="1"/>
      <c r="AB173" s="1"/>
      <c r="AC173" s="1"/>
    </row>
    <row r="174" spans="1:29" customFormat="1">
      <c r="A174" s="1"/>
      <c r="B174" s="1" t="s">
        <v>379</v>
      </c>
      <c r="C174" s="73" t="s">
        <v>380</v>
      </c>
      <c r="D174" s="73" t="s">
        <v>381</v>
      </c>
      <c r="E174" s="37">
        <f>DSUM($A$80:$Y$140,E$80,$C$147:$D174)</f>
        <v>9.5060209731648229</v>
      </c>
      <c r="F174" s="37">
        <f>DSUM($A$80:$Y$140,F$80,$C$147:$D174)</f>
        <v>0</v>
      </c>
      <c r="G174" s="37">
        <f>DSUM($A$80:$Y$140,G$80,$C$147:$D174)</f>
        <v>0</v>
      </c>
      <c r="H174" s="37">
        <f>DSUM($A$80:$Y$140,H$80,$C$147:$D174)</f>
        <v>0</v>
      </c>
      <c r="I174" s="37">
        <f>DSUM($A$80:$Y$140,I$80,$C$147:$D174)</f>
        <v>0</v>
      </c>
      <c r="J174" s="37">
        <f>DSUM($A$80:$Y$140,J$80,$C$147:$D174)</f>
        <v>0</v>
      </c>
      <c r="K174" s="37">
        <f>DSUM($A$80:$Y$140,K$80,$C$147:$D174)</f>
        <v>0</v>
      </c>
      <c r="L174" s="37">
        <f>DSUM($A$80:$Y$140,L$80,$C$147:$D174)</f>
        <v>0</v>
      </c>
      <c r="M174" s="37">
        <f>DSUM($A$80:$Y$140,M$80,$C$147:$D174)</f>
        <v>0</v>
      </c>
      <c r="N174" s="37">
        <f>DSUM($A$80:$Y$140,N$80,$C$147:$D174)</f>
        <v>0</v>
      </c>
      <c r="O174" s="37">
        <f>DSUM($A$80:$Y$140,O$80,$C$147:$D174)</f>
        <v>0</v>
      </c>
      <c r="P174" s="37">
        <f>DSUM($A$80:$Y$140,P$80,$C$147:$D174)</f>
        <v>0</v>
      </c>
      <c r="Q174" s="37">
        <f>DSUM($A$80:$Y$140,Q$80,$C$147:$D174)</f>
        <v>0</v>
      </c>
      <c r="R174" s="37">
        <f>DSUM($A$80:$Y$140,R$80,$C$147:$D174)</f>
        <v>0</v>
      </c>
      <c r="S174" s="37">
        <f>DSUM($A$80:$Y$140,S$80,$C$147:$D174)</f>
        <v>0</v>
      </c>
      <c r="T174" s="37">
        <f>DSUM($A$80:$Y$140,T$80,$C$147:$D174)</f>
        <v>0</v>
      </c>
      <c r="U174" s="37">
        <f>DSUM($A$80:$Y$140,U$80,$C$147:$D174)</f>
        <v>0</v>
      </c>
      <c r="V174" s="37">
        <f>DSUM($A$80:$Y$140,V$80,$C$147:$D174)</f>
        <v>0</v>
      </c>
      <c r="W174" s="37">
        <f>DSUM($A$80:$Y$140,W$80,$C$147:$D174)</f>
        <v>0</v>
      </c>
      <c r="X174" s="37">
        <f>DSUM($A$80:$Y$140,X$80,$C$147:$D174)</f>
        <v>0</v>
      </c>
      <c r="Y174" s="37">
        <f>DSUM($A$80:$Y$140,Y$80,$C$147:$D174)</f>
        <v>42.974930495497375</v>
      </c>
      <c r="Z174" s="1"/>
      <c r="AA174" s="1"/>
      <c r="AB174" s="1"/>
      <c r="AC174" s="1"/>
    </row>
    <row r="175" spans="1:29" customFormat="1">
      <c r="A175" s="1"/>
      <c r="B175" s="1" t="s">
        <v>382</v>
      </c>
      <c r="C175" s="73" t="s">
        <v>383</v>
      </c>
      <c r="D175" s="73" t="s">
        <v>384</v>
      </c>
      <c r="E175" s="37">
        <f>DSUM($A$80:$Y$140,E$80,$C$147:$D175)</f>
        <v>9.5060209731648229</v>
      </c>
      <c r="F175" s="37">
        <f>DSUM($A$80:$Y$140,F$80,$C$147:$D175)</f>
        <v>0</v>
      </c>
      <c r="G175" s="37">
        <f>DSUM($A$80:$Y$140,G$80,$C$147:$D175)</f>
        <v>0</v>
      </c>
      <c r="H175" s="37">
        <f>DSUM($A$80:$Y$140,H$80,$C$147:$D175)</f>
        <v>0</v>
      </c>
      <c r="I175" s="37">
        <f>DSUM($A$80:$Y$140,I$80,$C$147:$D175)</f>
        <v>0</v>
      </c>
      <c r="J175" s="37">
        <f>DSUM($A$80:$Y$140,J$80,$C$147:$D175)</f>
        <v>0</v>
      </c>
      <c r="K175" s="37">
        <f>DSUM($A$80:$Y$140,K$80,$C$147:$D175)</f>
        <v>0</v>
      </c>
      <c r="L175" s="37">
        <f>DSUM($A$80:$Y$140,L$80,$C$147:$D175)</f>
        <v>0</v>
      </c>
      <c r="M175" s="37">
        <f>DSUM($A$80:$Y$140,M$80,$C$147:$D175)</f>
        <v>0</v>
      </c>
      <c r="N175" s="37">
        <f>DSUM($A$80:$Y$140,N$80,$C$147:$D175)</f>
        <v>0</v>
      </c>
      <c r="O175" s="37">
        <f>DSUM($A$80:$Y$140,O$80,$C$147:$D175)</f>
        <v>0</v>
      </c>
      <c r="P175" s="37">
        <f>DSUM($A$80:$Y$140,P$80,$C$147:$D175)</f>
        <v>0</v>
      </c>
      <c r="Q175" s="37">
        <f>DSUM($A$80:$Y$140,Q$80,$C$147:$D175)</f>
        <v>0</v>
      </c>
      <c r="R175" s="37">
        <f>DSUM($A$80:$Y$140,R$80,$C$147:$D175)</f>
        <v>0</v>
      </c>
      <c r="S175" s="37">
        <f>DSUM($A$80:$Y$140,S$80,$C$147:$D175)</f>
        <v>0</v>
      </c>
      <c r="T175" s="37">
        <f>DSUM($A$80:$Y$140,T$80,$C$147:$D175)</f>
        <v>0</v>
      </c>
      <c r="U175" s="37">
        <f>DSUM($A$80:$Y$140,U$80,$C$147:$D175)</f>
        <v>0</v>
      </c>
      <c r="V175" s="37">
        <f>DSUM($A$80:$Y$140,V$80,$C$147:$D175)</f>
        <v>0</v>
      </c>
      <c r="W175" s="37">
        <f>DSUM($A$80:$Y$140,W$80,$C$147:$D175)</f>
        <v>0</v>
      </c>
      <c r="X175" s="37">
        <f>DSUM($A$80:$Y$140,X$80,$C$147:$D175)</f>
        <v>0</v>
      </c>
      <c r="Y175" s="37">
        <f>DSUM($A$80:$Y$140,Y$80,$C$147:$D175)</f>
        <v>42.974930495497375</v>
      </c>
      <c r="Z175" s="1"/>
      <c r="AA175" s="1"/>
      <c r="AB175" s="1"/>
      <c r="AC175" s="1"/>
    </row>
    <row r="176" spans="1:29" customFormat="1">
      <c r="A176" s="1"/>
      <c r="B176" s="1" t="s">
        <v>385</v>
      </c>
      <c r="C176" s="73" t="s">
        <v>386</v>
      </c>
      <c r="D176" s="73" t="s">
        <v>387</v>
      </c>
      <c r="E176" s="37">
        <f>DSUM($A$80:$Y$140,E$80,$C$147:$D176)</f>
        <v>9.5060209731648229</v>
      </c>
      <c r="F176" s="37">
        <f>DSUM($A$80:$Y$140,F$80,$C$147:$D176)</f>
        <v>0</v>
      </c>
      <c r="G176" s="37">
        <f>DSUM($A$80:$Y$140,G$80,$C$147:$D176)</f>
        <v>0</v>
      </c>
      <c r="H176" s="37">
        <f>DSUM($A$80:$Y$140,H$80,$C$147:$D176)</f>
        <v>0</v>
      </c>
      <c r="I176" s="37">
        <f>DSUM($A$80:$Y$140,I$80,$C$147:$D176)</f>
        <v>0</v>
      </c>
      <c r="J176" s="37">
        <f>DSUM($A$80:$Y$140,J$80,$C$147:$D176)</f>
        <v>0</v>
      </c>
      <c r="K176" s="37">
        <f>DSUM($A$80:$Y$140,K$80,$C$147:$D176)</f>
        <v>0</v>
      </c>
      <c r="L176" s="37">
        <f>DSUM($A$80:$Y$140,L$80,$C$147:$D176)</f>
        <v>0</v>
      </c>
      <c r="M176" s="37">
        <f>DSUM($A$80:$Y$140,M$80,$C$147:$D176)</f>
        <v>0</v>
      </c>
      <c r="N176" s="37">
        <f>DSUM($A$80:$Y$140,N$80,$C$147:$D176)</f>
        <v>0</v>
      </c>
      <c r="O176" s="37">
        <f>DSUM($A$80:$Y$140,O$80,$C$147:$D176)</f>
        <v>0</v>
      </c>
      <c r="P176" s="37">
        <f>DSUM($A$80:$Y$140,P$80,$C$147:$D176)</f>
        <v>0</v>
      </c>
      <c r="Q176" s="37">
        <f>DSUM($A$80:$Y$140,Q$80,$C$147:$D176)</f>
        <v>0</v>
      </c>
      <c r="R176" s="37">
        <f>DSUM($A$80:$Y$140,R$80,$C$147:$D176)</f>
        <v>0</v>
      </c>
      <c r="S176" s="37">
        <f>DSUM($A$80:$Y$140,S$80,$C$147:$D176)</f>
        <v>0</v>
      </c>
      <c r="T176" s="37">
        <f>DSUM($A$80:$Y$140,T$80,$C$147:$D176)</f>
        <v>0</v>
      </c>
      <c r="U176" s="37">
        <f>DSUM($A$80:$Y$140,U$80,$C$147:$D176)</f>
        <v>0</v>
      </c>
      <c r="V176" s="37">
        <f>DSUM($A$80:$Y$140,V$80,$C$147:$D176)</f>
        <v>0</v>
      </c>
      <c r="W176" s="37">
        <f>DSUM($A$80:$Y$140,W$80,$C$147:$D176)</f>
        <v>0</v>
      </c>
      <c r="X176" s="37">
        <f>DSUM($A$80:$Y$140,X$80,$C$147:$D176)</f>
        <v>0</v>
      </c>
      <c r="Y176" s="37">
        <f>DSUM($A$80:$Y$140,Y$80,$C$147:$D176)</f>
        <v>42.974930495497375</v>
      </c>
      <c r="Z176" s="1"/>
      <c r="AA176" s="1"/>
      <c r="AB176" s="1"/>
      <c r="AC176" s="1"/>
    </row>
    <row r="177" spans="1:29" customFormat="1">
      <c r="A177" s="1"/>
      <c r="B177" s="1" t="s">
        <v>388</v>
      </c>
      <c r="C177" s="73" t="s">
        <v>389</v>
      </c>
      <c r="D177" s="73" t="s">
        <v>390</v>
      </c>
      <c r="E177" s="37">
        <f>DSUM($A$80:$Y$140,E$80,$C$147:$D177)</f>
        <v>9.5060209731648229</v>
      </c>
      <c r="F177" s="37">
        <f>DSUM($A$80:$Y$140,F$80,$C$147:$D177)</f>
        <v>0</v>
      </c>
      <c r="G177" s="37">
        <f>DSUM($A$80:$Y$140,G$80,$C$147:$D177)</f>
        <v>0</v>
      </c>
      <c r="H177" s="37">
        <f>DSUM($A$80:$Y$140,H$80,$C$147:$D177)</f>
        <v>0</v>
      </c>
      <c r="I177" s="37">
        <f>DSUM($A$80:$Y$140,I$80,$C$147:$D177)</f>
        <v>0</v>
      </c>
      <c r="J177" s="37">
        <f>DSUM($A$80:$Y$140,J$80,$C$147:$D177)</f>
        <v>0</v>
      </c>
      <c r="K177" s="37">
        <f>DSUM($A$80:$Y$140,K$80,$C$147:$D177)</f>
        <v>0</v>
      </c>
      <c r="L177" s="37">
        <f>DSUM($A$80:$Y$140,L$80,$C$147:$D177)</f>
        <v>0</v>
      </c>
      <c r="M177" s="37">
        <f>DSUM($A$80:$Y$140,M$80,$C$147:$D177)</f>
        <v>0</v>
      </c>
      <c r="N177" s="37">
        <f>DSUM($A$80:$Y$140,N$80,$C$147:$D177)</f>
        <v>0</v>
      </c>
      <c r="O177" s="37">
        <f>DSUM($A$80:$Y$140,O$80,$C$147:$D177)</f>
        <v>0</v>
      </c>
      <c r="P177" s="37">
        <f>DSUM($A$80:$Y$140,P$80,$C$147:$D177)</f>
        <v>0</v>
      </c>
      <c r="Q177" s="37">
        <f>DSUM($A$80:$Y$140,Q$80,$C$147:$D177)</f>
        <v>0</v>
      </c>
      <c r="R177" s="37">
        <f>DSUM($A$80:$Y$140,R$80,$C$147:$D177)</f>
        <v>0</v>
      </c>
      <c r="S177" s="37">
        <f>DSUM($A$80:$Y$140,S$80,$C$147:$D177)</f>
        <v>0</v>
      </c>
      <c r="T177" s="37">
        <f>DSUM($A$80:$Y$140,T$80,$C$147:$D177)</f>
        <v>0</v>
      </c>
      <c r="U177" s="37">
        <f>DSUM($A$80:$Y$140,U$80,$C$147:$D177)</f>
        <v>0</v>
      </c>
      <c r="V177" s="37">
        <f>DSUM($A$80:$Y$140,V$80,$C$147:$D177)</f>
        <v>0</v>
      </c>
      <c r="W177" s="37">
        <f>DSUM($A$80:$Y$140,W$80,$C$147:$D177)</f>
        <v>0</v>
      </c>
      <c r="X177" s="37">
        <f>DSUM($A$80:$Y$140,X$80,$C$147:$D177)</f>
        <v>0</v>
      </c>
      <c r="Y177" s="37">
        <f>DSUM($A$80:$Y$140,Y$80,$C$147:$D177)</f>
        <v>42.974930495497375</v>
      </c>
      <c r="Z177" s="1"/>
      <c r="AA177" s="1"/>
      <c r="AB177" s="1"/>
      <c r="AC177" s="1"/>
    </row>
    <row r="178" spans="1:29" customFormat="1">
      <c r="A178" s="1"/>
      <c r="B178" s="1" t="s">
        <v>391</v>
      </c>
      <c r="C178" s="73" t="s">
        <v>392</v>
      </c>
      <c r="D178" s="73" t="s">
        <v>393</v>
      </c>
      <c r="E178" s="37">
        <f>DSUM($A$80:$Y$140,E$80,$C$147:$D178)</f>
        <v>9.5060209731648229</v>
      </c>
      <c r="F178" s="37">
        <f>DSUM($A$80:$Y$140,F$80,$C$147:$D178)</f>
        <v>0</v>
      </c>
      <c r="G178" s="37">
        <f>DSUM($A$80:$Y$140,G$80,$C$147:$D178)</f>
        <v>0</v>
      </c>
      <c r="H178" s="37">
        <f>DSUM($A$80:$Y$140,H$80,$C$147:$D178)</f>
        <v>0</v>
      </c>
      <c r="I178" s="37">
        <f>DSUM($A$80:$Y$140,I$80,$C$147:$D178)</f>
        <v>0</v>
      </c>
      <c r="J178" s="37">
        <f>DSUM($A$80:$Y$140,J$80,$C$147:$D178)</f>
        <v>0</v>
      </c>
      <c r="K178" s="37">
        <f>DSUM($A$80:$Y$140,K$80,$C$147:$D178)</f>
        <v>0</v>
      </c>
      <c r="L178" s="37">
        <f>DSUM($A$80:$Y$140,L$80,$C$147:$D178)</f>
        <v>0</v>
      </c>
      <c r="M178" s="37">
        <f>DSUM($A$80:$Y$140,M$80,$C$147:$D178)</f>
        <v>0</v>
      </c>
      <c r="N178" s="37">
        <f>DSUM($A$80:$Y$140,N$80,$C$147:$D178)</f>
        <v>0</v>
      </c>
      <c r="O178" s="37">
        <f>DSUM($A$80:$Y$140,O$80,$C$147:$D178)</f>
        <v>0</v>
      </c>
      <c r="P178" s="37">
        <f>DSUM($A$80:$Y$140,P$80,$C$147:$D178)</f>
        <v>0</v>
      </c>
      <c r="Q178" s="37">
        <f>DSUM($A$80:$Y$140,Q$80,$C$147:$D178)</f>
        <v>0</v>
      </c>
      <c r="R178" s="37">
        <f>DSUM($A$80:$Y$140,R$80,$C$147:$D178)</f>
        <v>0</v>
      </c>
      <c r="S178" s="37">
        <f>DSUM($A$80:$Y$140,S$80,$C$147:$D178)</f>
        <v>0</v>
      </c>
      <c r="T178" s="37">
        <f>DSUM($A$80:$Y$140,T$80,$C$147:$D178)</f>
        <v>0</v>
      </c>
      <c r="U178" s="37">
        <f>DSUM($A$80:$Y$140,U$80,$C$147:$D178)</f>
        <v>0</v>
      </c>
      <c r="V178" s="37">
        <f>DSUM($A$80:$Y$140,V$80,$C$147:$D178)</f>
        <v>0</v>
      </c>
      <c r="W178" s="37">
        <f>DSUM($A$80:$Y$140,W$80,$C$147:$D178)</f>
        <v>0</v>
      </c>
      <c r="X178" s="37">
        <f>DSUM($A$80:$Y$140,X$80,$C$147:$D178)</f>
        <v>0</v>
      </c>
      <c r="Y178" s="37">
        <f>DSUM($A$80:$Y$140,Y$80,$C$147:$D178)</f>
        <v>42.974930495497375</v>
      </c>
      <c r="Z178" s="1"/>
      <c r="AA178" s="1"/>
      <c r="AB178" s="1"/>
      <c r="AC178" s="1"/>
    </row>
    <row r="179" spans="1:29" customFormat="1">
      <c r="A179" s="1"/>
      <c r="B179" s="1" t="s">
        <v>394</v>
      </c>
      <c r="C179" s="73" t="s">
        <v>395</v>
      </c>
      <c r="D179" s="73" t="s">
        <v>143</v>
      </c>
      <c r="E179" s="37">
        <f>DSUM($A$80:$Y$140,E$80,$C$147:$D179)</f>
        <v>9.508634918805372</v>
      </c>
      <c r="F179" s="37">
        <f>DSUM($A$80:$Y$140,F$80,$C$147:$D179)</f>
        <v>0</v>
      </c>
      <c r="G179" s="37">
        <f>DSUM($A$80:$Y$140,G$80,$C$147:$D179)</f>
        <v>0</v>
      </c>
      <c r="H179" s="37">
        <f>DSUM($A$80:$Y$140,H$80,$C$147:$D179)</f>
        <v>0</v>
      </c>
      <c r="I179" s="37">
        <f>DSUM($A$80:$Y$140,I$80,$C$147:$D179)</f>
        <v>0</v>
      </c>
      <c r="J179" s="37">
        <f>DSUM($A$80:$Y$140,J$80,$C$147:$D179)</f>
        <v>0</v>
      </c>
      <c r="K179" s="37">
        <f>DSUM($A$80:$Y$140,K$80,$C$147:$D179)</f>
        <v>0</v>
      </c>
      <c r="L179" s="37">
        <f>DSUM($A$80:$Y$140,L$80,$C$147:$D179)</f>
        <v>0</v>
      </c>
      <c r="M179" s="37">
        <f>DSUM($A$80:$Y$140,M$80,$C$147:$D179)</f>
        <v>0</v>
      </c>
      <c r="N179" s="37">
        <f>DSUM($A$80:$Y$140,N$80,$C$147:$D179)</f>
        <v>0</v>
      </c>
      <c r="O179" s="37">
        <f>DSUM($A$80:$Y$140,O$80,$C$147:$D179)</f>
        <v>0</v>
      </c>
      <c r="P179" s="37">
        <f>DSUM($A$80:$Y$140,P$80,$C$147:$D179)</f>
        <v>0</v>
      </c>
      <c r="Q179" s="37">
        <f>DSUM($A$80:$Y$140,Q$80,$C$147:$D179)</f>
        <v>0</v>
      </c>
      <c r="R179" s="37">
        <f>DSUM($A$80:$Y$140,R$80,$C$147:$D179)</f>
        <v>0</v>
      </c>
      <c r="S179" s="37">
        <f>DSUM($A$80:$Y$140,S$80,$C$147:$D179)</f>
        <v>0</v>
      </c>
      <c r="T179" s="37">
        <f>DSUM($A$80:$Y$140,T$80,$C$147:$D179)</f>
        <v>0</v>
      </c>
      <c r="U179" s="37">
        <f>DSUM($A$80:$Y$140,U$80,$C$147:$D179)</f>
        <v>0</v>
      </c>
      <c r="V179" s="37">
        <f>DSUM($A$80:$Y$140,V$80,$C$147:$D179)</f>
        <v>0</v>
      </c>
      <c r="W179" s="37">
        <f>DSUM($A$80:$Y$140,W$80,$C$147:$D179)</f>
        <v>0</v>
      </c>
      <c r="X179" s="37">
        <f>DSUM($A$80:$Y$140,X$80,$C$147:$D179)</f>
        <v>0</v>
      </c>
      <c r="Y179" s="37">
        <f>DSUM($A$80:$Y$140,Y$80,$C$147:$D179)</f>
        <v>42.986747651438726</v>
      </c>
      <c r="Z179" s="1"/>
      <c r="AA179" s="1"/>
      <c r="AB179" s="1"/>
      <c r="AC179" s="1"/>
    </row>
    <row r="180" spans="1:29" customForma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ustomForma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ustomFormat="1" ht="15">
      <c r="A182" s="63" t="s">
        <v>144</v>
      </c>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ustomFormat="1" ht="15">
      <c r="A183" s="1"/>
      <c r="B183" s="1"/>
      <c r="C183" s="1"/>
      <c r="D183" s="66" t="str">
        <f>C8</f>
        <v>Lighting</v>
      </c>
      <c r="E183" s="74">
        <f t="shared" ref="E183:X183" si="51">E11</f>
        <v>2016</v>
      </c>
      <c r="F183" s="67">
        <f t="shared" si="51"/>
        <v>2017</v>
      </c>
      <c r="G183" s="67">
        <f t="shared" si="51"/>
        <v>2018</v>
      </c>
      <c r="H183" s="67">
        <f t="shared" si="51"/>
        <v>2019</v>
      </c>
      <c r="I183" s="67">
        <f t="shared" si="51"/>
        <v>2020</v>
      </c>
      <c r="J183" s="67">
        <f t="shared" si="51"/>
        <v>2021</v>
      </c>
      <c r="K183" s="67">
        <f t="shared" si="51"/>
        <v>2022</v>
      </c>
      <c r="L183" s="67">
        <f t="shared" si="51"/>
        <v>2023</v>
      </c>
      <c r="M183" s="67">
        <f t="shared" si="51"/>
        <v>2024</v>
      </c>
      <c r="N183" s="67">
        <f t="shared" si="51"/>
        <v>2025</v>
      </c>
      <c r="O183" s="67">
        <f t="shared" si="51"/>
        <v>2026</v>
      </c>
      <c r="P183" s="67">
        <f t="shared" si="51"/>
        <v>2027</v>
      </c>
      <c r="Q183" s="67">
        <f t="shared" si="51"/>
        <v>2028</v>
      </c>
      <c r="R183" s="67">
        <f t="shared" si="51"/>
        <v>2029</v>
      </c>
      <c r="S183" s="67">
        <f t="shared" si="51"/>
        <v>2030</v>
      </c>
      <c r="T183" s="67">
        <f t="shared" si="51"/>
        <v>2031</v>
      </c>
      <c r="U183" s="67">
        <f t="shared" si="51"/>
        <v>2032</v>
      </c>
      <c r="V183" s="67">
        <f t="shared" si="51"/>
        <v>2033</v>
      </c>
      <c r="W183" s="67">
        <f t="shared" si="51"/>
        <v>2034</v>
      </c>
      <c r="X183" s="67">
        <f t="shared" si="51"/>
        <v>2035</v>
      </c>
      <c r="Y183" s="68" t="s">
        <v>159</v>
      </c>
      <c r="Z183" s="1"/>
      <c r="AA183" s="1"/>
      <c r="AB183" s="1"/>
      <c r="AC183" s="1"/>
    </row>
    <row r="184" spans="1:29" customFormat="1" ht="15">
      <c r="A184" s="1"/>
      <c r="B184" s="1"/>
      <c r="C184" s="1"/>
      <c r="D184" s="1" t="str">
        <f>C8</f>
        <v>Lighting</v>
      </c>
      <c r="E184" s="75" t="str">
        <f>CONCATENATE($E$78,"_",E$11)</f>
        <v>aMW_2016</v>
      </c>
      <c r="F184" s="69" t="str">
        <f t="shared" ref="F184:X184" si="52">CONCATENATE($E$78,"_",F$11)</f>
        <v>aMW_2017</v>
      </c>
      <c r="G184" s="69" t="str">
        <f t="shared" si="52"/>
        <v>aMW_2018</v>
      </c>
      <c r="H184" s="69" t="str">
        <f t="shared" si="52"/>
        <v>aMW_2019</v>
      </c>
      <c r="I184" s="69" t="str">
        <f t="shared" si="52"/>
        <v>aMW_2020</v>
      </c>
      <c r="J184" s="69" t="str">
        <f t="shared" si="52"/>
        <v>aMW_2021</v>
      </c>
      <c r="K184" s="69" t="str">
        <f t="shared" si="52"/>
        <v>aMW_2022</v>
      </c>
      <c r="L184" s="69" t="str">
        <f t="shared" si="52"/>
        <v>aMW_2023</v>
      </c>
      <c r="M184" s="69" t="str">
        <f t="shared" si="52"/>
        <v>aMW_2024</v>
      </c>
      <c r="N184" s="69" t="str">
        <f t="shared" si="52"/>
        <v>aMW_2025</v>
      </c>
      <c r="O184" s="69" t="str">
        <f t="shared" si="52"/>
        <v>aMW_2026</v>
      </c>
      <c r="P184" s="69" t="str">
        <f t="shared" si="52"/>
        <v>aMW_2027</v>
      </c>
      <c r="Q184" s="69" t="str">
        <f t="shared" si="52"/>
        <v>aMW_2028</v>
      </c>
      <c r="R184" s="69" t="str">
        <f t="shared" si="52"/>
        <v>aMW_2029</v>
      </c>
      <c r="S184" s="69" t="str">
        <f t="shared" si="52"/>
        <v>aMW_2030</v>
      </c>
      <c r="T184" s="69" t="str">
        <f t="shared" si="52"/>
        <v>aMW_2031</v>
      </c>
      <c r="U184" s="69" t="str">
        <f t="shared" si="52"/>
        <v>aMW_2032</v>
      </c>
      <c r="V184" s="69" t="str">
        <f t="shared" si="52"/>
        <v>aMW_2033</v>
      </c>
      <c r="W184" s="69" t="str">
        <f t="shared" si="52"/>
        <v>aMW_2034</v>
      </c>
      <c r="X184" s="69" t="str">
        <f t="shared" si="52"/>
        <v>aMW_2035</v>
      </c>
      <c r="Y184" s="70" t="s">
        <v>159</v>
      </c>
      <c r="Z184" s="1"/>
      <c r="AA184" s="1"/>
      <c r="AB184" s="1"/>
      <c r="AC184" s="1"/>
    </row>
    <row r="185" spans="1:29" customFormat="1">
      <c r="A185" s="1"/>
      <c r="B185" s="1"/>
      <c r="C185" s="1"/>
      <c r="D185" s="1" t="s">
        <v>78</v>
      </c>
      <c r="E185" s="37">
        <f t="shared" ref="E185:Y185" si="53">E148</f>
        <v>5.7006928262644472</v>
      </c>
      <c r="F185" s="37">
        <f t="shared" si="53"/>
        <v>0</v>
      </c>
      <c r="G185" s="37">
        <f t="shared" si="53"/>
        <v>0</v>
      </c>
      <c r="H185" s="37">
        <f t="shared" si="53"/>
        <v>0</v>
      </c>
      <c r="I185" s="37">
        <f t="shared" si="53"/>
        <v>0</v>
      </c>
      <c r="J185" s="37">
        <f t="shared" si="53"/>
        <v>0</v>
      </c>
      <c r="K185" s="37">
        <f t="shared" si="53"/>
        <v>0</v>
      </c>
      <c r="L185" s="37">
        <f t="shared" si="53"/>
        <v>0</v>
      </c>
      <c r="M185" s="37">
        <f t="shared" si="53"/>
        <v>0</v>
      </c>
      <c r="N185" s="37">
        <f t="shared" si="53"/>
        <v>0</v>
      </c>
      <c r="O185" s="37">
        <f t="shared" si="53"/>
        <v>0</v>
      </c>
      <c r="P185" s="37">
        <f t="shared" si="53"/>
        <v>0</v>
      </c>
      <c r="Q185" s="37">
        <f t="shared" si="53"/>
        <v>0</v>
      </c>
      <c r="R185" s="37">
        <f t="shared" si="53"/>
        <v>0</v>
      </c>
      <c r="S185" s="37">
        <f t="shared" si="53"/>
        <v>0</v>
      </c>
      <c r="T185" s="37">
        <f t="shared" si="53"/>
        <v>0</v>
      </c>
      <c r="U185" s="37">
        <f t="shared" si="53"/>
        <v>0</v>
      </c>
      <c r="V185" s="37">
        <f t="shared" si="53"/>
        <v>0</v>
      </c>
      <c r="W185" s="37">
        <f t="shared" si="53"/>
        <v>0</v>
      </c>
      <c r="X185" s="37">
        <f t="shared" si="53"/>
        <v>0</v>
      </c>
      <c r="Y185" s="37">
        <f t="shared" si="53"/>
        <v>25.771758622928015</v>
      </c>
      <c r="Z185" s="1"/>
      <c r="AA185" s="1"/>
      <c r="AB185" s="1"/>
      <c r="AC185" s="1"/>
    </row>
    <row r="186" spans="1:29" customFormat="1">
      <c r="A186" s="1"/>
      <c r="B186" s="1"/>
      <c r="C186" s="1"/>
      <c r="D186" s="1" t="s">
        <v>785</v>
      </c>
      <c r="E186" s="37">
        <f t="shared" ref="E186:X198" si="54">E149-E148</f>
        <v>0</v>
      </c>
      <c r="F186" s="37">
        <f>F149-F148</f>
        <v>0</v>
      </c>
      <c r="G186" s="37">
        <f t="shared" si="54"/>
        <v>0</v>
      </c>
      <c r="H186" s="37">
        <f t="shared" si="54"/>
        <v>0</v>
      </c>
      <c r="I186" s="37">
        <f t="shared" si="54"/>
        <v>0</v>
      </c>
      <c r="J186" s="37">
        <f t="shared" si="54"/>
        <v>0</v>
      </c>
      <c r="K186" s="37">
        <f t="shared" si="54"/>
        <v>0</v>
      </c>
      <c r="L186" s="37">
        <f t="shared" si="54"/>
        <v>0</v>
      </c>
      <c r="M186" s="37">
        <f t="shared" si="54"/>
        <v>0</v>
      </c>
      <c r="N186" s="37">
        <f t="shared" si="54"/>
        <v>0</v>
      </c>
      <c r="O186" s="37">
        <f t="shared" si="54"/>
        <v>0</v>
      </c>
      <c r="P186" s="37">
        <f t="shared" si="54"/>
        <v>0</v>
      </c>
      <c r="Q186" s="37">
        <f t="shared" si="54"/>
        <v>0</v>
      </c>
      <c r="R186" s="37">
        <f t="shared" si="54"/>
        <v>0</v>
      </c>
      <c r="S186" s="37">
        <f t="shared" si="54"/>
        <v>0</v>
      </c>
      <c r="T186" s="37">
        <f t="shared" si="54"/>
        <v>0</v>
      </c>
      <c r="U186" s="37">
        <f t="shared" si="54"/>
        <v>0</v>
      </c>
      <c r="V186" s="37">
        <f t="shared" si="54"/>
        <v>0</v>
      </c>
      <c r="W186" s="37">
        <f t="shared" si="54"/>
        <v>0</v>
      </c>
      <c r="X186" s="37">
        <f t="shared" si="54"/>
        <v>0</v>
      </c>
      <c r="Y186" s="37">
        <f t="shared" ref="Y186" si="55">Y149-Y148</f>
        <v>0</v>
      </c>
      <c r="Z186" s="1"/>
      <c r="AA186" s="1"/>
      <c r="AB186" s="1"/>
      <c r="AC186" s="1"/>
    </row>
    <row r="187" spans="1:29" customFormat="1">
      <c r="A187" s="1"/>
      <c r="B187" s="1"/>
      <c r="C187" s="1"/>
      <c r="D187" s="1" t="s">
        <v>84</v>
      </c>
      <c r="E187" s="37">
        <f t="shared" si="54"/>
        <v>0</v>
      </c>
      <c r="F187" s="37">
        <f t="shared" si="54"/>
        <v>0</v>
      </c>
      <c r="G187" s="37">
        <f t="shared" si="54"/>
        <v>0</v>
      </c>
      <c r="H187" s="37">
        <f t="shared" si="54"/>
        <v>0</v>
      </c>
      <c r="I187" s="37">
        <f t="shared" si="54"/>
        <v>0</v>
      </c>
      <c r="J187" s="37">
        <f t="shared" si="54"/>
        <v>0</v>
      </c>
      <c r="K187" s="37">
        <f t="shared" si="54"/>
        <v>0</v>
      </c>
      <c r="L187" s="37">
        <f t="shared" si="54"/>
        <v>0</v>
      </c>
      <c r="M187" s="37">
        <f t="shared" si="54"/>
        <v>0</v>
      </c>
      <c r="N187" s="37">
        <f t="shared" si="54"/>
        <v>0</v>
      </c>
      <c r="O187" s="37">
        <f t="shared" si="54"/>
        <v>0</v>
      </c>
      <c r="P187" s="37">
        <f t="shared" si="54"/>
        <v>0</v>
      </c>
      <c r="Q187" s="37">
        <f t="shared" si="54"/>
        <v>0</v>
      </c>
      <c r="R187" s="37">
        <f t="shared" si="54"/>
        <v>0</v>
      </c>
      <c r="S187" s="37">
        <f t="shared" si="54"/>
        <v>0</v>
      </c>
      <c r="T187" s="37">
        <f t="shared" si="54"/>
        <v>0</v>
      </c>
      <c r="U187" s="37">
        <f t="shared" si="54"/>
        <v>0</v>
      </c>
      <c r="V187" s="37">
        <f t="shared" si="54"/>
        <v>0</v>
      </c>
      <c r="W187" s="37">
        <f t="shared" si="54"/>
        <v>0</v>
      </c>
      <c r="X187" s="37">
        <f t="shared" si="54"/>
        <v>0</v>
      </c>
      <c r="Y187" s="37">
        <f t="shared" ref="Y187" si="56">Y150-Y149</f>
        <v>0</v>
      </c>
      <c r="Z187" s="1"/>
      <c r="AA187" s="1"/>
      <c r="AB187" s="1"/>
      <c r="AC187" s="1"/>
    </row>
    <row r="188" spans="1:29" customFormat="1">
      <c r="A188" s="1"/>
      <c r="B188" s="1"/>
      <c r="C188" s="1"/>
      <c r="D188" s="1" t="s">
        <v>87</v>
      </c>
      <c r="E188" s="37">
        <f t="shared" si="54"/>
        <v>0</v>
      </c>
      <c r="F188" s="37">
        <f t="shared" si="54"/>
        <v>0</v>
      </c>
      <c r="G188" s="37">
        <f t="shared" si="54"/>
        <v>0</v>
      </c>
      <c r="H188" s="37">
        <f t="shared" si="54"/>
        <v>0</v>
      </c>
      <c r="I188" s="37">
        <f t="shared" si="54"/>
        <v>0</v>
      </c>
      <c r="J188" s="37">
        <f t="shared" si="54"/>
        <v>0</v>
      </c>
      <c r="K188" s="37">
        <f t="shared" si="54"/>
        <v>0</v>
      </c>
      <c r="L188" s="37">
        <f t="shared" si="54"/>
        <v>0</v>
      </c>
      <c r="M188" s="37">
        <f t="shared" si="54"/>
        <v>0</v>
      </c>
      <c r="N188" s="37">
        <f t="shared" si="54"/>
        <v>0</v>
      </c>
      <c r="O188" s="37">
        <f t="shared" si="54"/>
        <v>0</v>
      </c>
      <c r="P188" s="37">
        <f t="shared" si="54"/>
        <v>0</v>
      </c>
      <c r="Q188" s="37">
        <f t="shared" si="54"/>
        <v>0</v>
      </c>
      <c r="R188" s="37">
        <f t="shared" si="54"/>
        <v>0</v>
      </c>
      <c r="S188" s="37">
        <f t="shared" si="54"/>
        <v>0</v>
      </c>
      <c r="T188" s="37">
        <f t="shared" si="54"/>
        <v>0</v>
      </c>
      <c r="U188" s="37">
        <f t="shared" si="54"/>
        <v>0</v>
      </c>
      <c r="V188" s="37">
        <f t="shared" si="54"/>
        <v>0</v>
      </c>
      <c r="W188" s="37">
        <f t="shared" si="54"/>
        <v>0</v>
      </c>
      <c r="X188" s="37">
        <f t="shared" si="54"/>
        <v>0</v>
      </c>
      <c r="Y188" s="37">
        <f t="shared" ref="Y188" si="57">Y151-Y150</f>
        <v>0</v>
      </c>
      <c r="Z188" s="1"/>
      <c r="AA188" s="1"/>
      <c r="AB188" s="1"/>
      <c r="AC188" s="1"/>
    </row>
    <row r="189" spans="1:29" customFormat="1">
      <c r="A189" s="1"/>
      <c r="B189" s="1"/>
      <c r="C189" s="1"/>
      <c r="D189" s="1" t="s">
        <v>90</v>
      </c>
      <c r="E189" s="37">
        <f t="shared" si="54"/>
        <v>0</v>
      </c>
      <c r="F189" s="37">
        <f t="shared" si="54"/>
        <v>0</v>
      </c>
      <c r="G189" s="37">
        <f t="shared" si="54"/>
        <v>0</v>
      </c>
      <c r="H189" s="37">
        <f t="shared" si="54"/>
        <v>0</v>
      </c>
      <c r="I189" s="37">
        <f t="shared" si="54"/>
        <v>0</v>
      </c>
      <c r="J189" s="37">
        <f t="shared" si="54"/>
        <v>0</v>
      </c>
      <c r="K189" s="37">
        <f t="shared" si="54"/>
        <v>0</v>
      </c>
      <c r="L189" s="37">
        <f t="shared" si="54"/>
        <v>0</v>
      </c>
      <c r="M189" s="37">
        <f t="shared" si="54"/>
        <v>0</v>
      </c>
      <c r="N189" s="37">
        <f t="shared" si="54"/>
        <v>0</v>
      </c>
      <c r="O189" s="37">
        <f t="shared" si="54"/>
        <v>0</v>
      </c>
      <c r="P189" s="37">
        <f t="shared" si="54"/>
        <v>0</v>
      </c>
      <c r="Q189" s="37">
        <f t="shared" si="54"/>
        <v>0</v>
      </c>
      <c r="R189" s="37">
        <f t="shared" si="54"/>
        <v>0</v>
      </c>
      <c r="S189" s="37">
        <f t="shared" si="54"/>
        <v>0</v>
      </c>
      <c r="T189" s="37">
        <f t="shared" si="54"/>
        <v>0</v>
      </c>
      <c r="U189" s="37">
        <f t="shared" si="54"/>
        <v>0</v>
      </c>
      <c r="V189" s="37">
        <f t="shared" si="54"/>
        <v>0</v>
      </c>
      <c r="W189" s="37">
        <f t="shared" si="54"/>
        <v>0</v>
      </c>
      <c r="X189" s="37">
        <f t="shared" si="54"/>
        <v>0</v>
      </c>
      <c r="Y189" s="37">
        <f t="shared" ref="Y189" si="58">Y152-Y151</f>
        <v>0</v>
      </c>
      <c r="Z189" s="1"/>
      <c r="AA189" s="1"/>
      <c r="AB189" s="1"/>
      <c r="AC189" s="1"/>
    </row>
    <row r="190" spans="1:29" customFormat="1">
      <c r="A190" s="1"/>
      <c r="B190" s="1"/>
      <c r="C190" s="1"/>
      <c r="D190" s="1" t="s">
        <v>93</v>
      </c>
      <c r="E190" s="37">
        <f t="shared" si="54"/>
        <v>0.10360697543407849</v>
      </c>
      <c r="F190" s="37">
        <f>F153-F152</f>
        <v>0</v>
      </c>
      <c r="G190" s="37">
        <f t="shared" si="54"/>
        <v>0</v>
      </c>
      <c r="H190" s="37">
        <f t="shared" si="54"/>
        <v>0</v>
      </c>
      <c r="I190" s="37">
        <f t="shared" si="54"/>
        <v>0</v>
      </c>
      <c r="J190" s="37">
        <f t="shared" si="54"/>
        <v>0</v>
      </c>
      <c r="K190" s="37">
        <f t="shared" si="54"/>
        <v>0</v>
      </c>
      <c r="L190" s="37">
        <f t="shared" si="54"/>
        <v>0</v>
      </c>
      <c r="M190" s="37">
        <f t="shared" si="54"/>
        <v>0</v>
      </c>
      <c r="N190" s="37">
        <f t="shared" si="54"/>
        <v>0</v>
      </c>
      <c r="O190" s="37">
        <f t="shared" si="54"/>
        <v>0</v>
      </c>
      <c r="P190" s="37">
        <f t="shared" si="54"/>
        <v>0</v>
      </c>
      <c r="Q190" s="37">
        <f t="shared" si="54"/>
        <v>0</v>
      </c>
      <c r="R190" s="37">
        <f t="shared" si="54"/>
        <v>0</v>
      </c>
      <c r="S190" s="37">
        <f t="shared" si="54"/>
        <v>0</v>
      </c>
      <c r="T190" s="37">
        <f t="shared" si="54"/>
        <v>0</v>
      </c>
      <c r="U190" s="37">
        <f t="shared" si="54"/>
        <v>0</v>
      </c>
      <c r="V190" s="37">
        <f t="shared" si="54"/>
        <v>0</v>
      </c>
      <c r="W190" s="37">
        <f t="shared" si="54"/>
        <v>0</v>
      </c>
      <c r="X190" s="37">
        <f t="shared" si="54"/>
        <v>0</v>
      </c>
      <c r="Y190" s="37">
        <f t="shared" ref="Y190" si="59">Y153-Y152</f>
        <v>0.46838762303360326</v>
      </c>
      <c r="Z190" s="1"/>
      <c r="AA190" s="1"/>
      <c r="AB190" s="1"/>
      <c r="AC190" s="1"/>
    </row>
    <row r="191" spans="1:29" customFormat="1">
      <c r="A191" s="1"/>
      <c r="B191" s="1"/>
      <c r="C191" s="1"/>
      <c r="D191" s="1" t="s">
        <v>96</v>
      </c>
      <c r="E191" s="37">
        <f t="shared" si="54"/>
        <v>3.1204254549336303</v>
      </c>
      <c r="F191" s="37">
        <f t="shared" si="54"/>
        <v>0</v>
      </c>
      <c r="G191" s="37">
        <f t="shared" si="54"/>
        <v>0</v>
      </c>
      <c r="H191" s="37">
        <f t="shared" si="54"/>
        <v>0</v>
      </c>
      <c r="I191" s="37">
        <f t="shared" si="54"/>
        <v>0</v>
      </c>
      <c r="J191" s="37">
        <f t="shared" si="54"/>
        <v>0</v>
      </c>
      <c r="K191" s="37">
        <f t="shared" si="54"/>
        <v>0</v>
      </c>
      <c r="L191" s="37">
        <f t="shared" si="54"/>
        <v>0</v>
      </c>
      <c r="M191" s="37">
        <f t="shared" si="54"/>
        <v>0</v>
      </c>
      <c r="N191" s="37">
        <f t="shared" si="54"/>
        <v>0</v>
      </c>
      <c r="O191" s="37">
        <f t="shared" si="54"/>
        <v>0</v>
      </c>
      <c r="P191" s="37">
        <f t="shared" si="54"/>
        <v>0</v>
      </c>
      <c r="Q191" s="37">
        <f t="shared" si="54"/>
        <v>0</v>
      </c>
      <c r="R191" s="37">
        <f t="shared" si="54"/>
        <v>0</v>
      </c>
      <c r="S191" s="37">
        <f t="shared" si="54"/>
        <v>0</v>
      </c>
      <c r="T191" s="37">
        <f t="shared" si="54"/>
        <v>0</v>
      </c>
      <c r="U191" s="37">
        <f t="shared" si="54"/>
        <v>0</v>
      </c>
      <c r="V191" s="37">
        <f t="shared" si="54"/>
        <v>0</v>
      </c>
      <c r="W191" s="37">
        <f t="shared" si="54"/>
        <v>0</v>
      </c>
      <c r="X191" s="37">
        <f t="shared" si="54"/>
        <v>0</v>
      </c>
      <c r="Y191" s="37">
        <f>Y154-Y153</f>
        <v>14.106855793892485</v>
      </c>
      <c r="Z191" s="1"/>
      <c r="AA191" s="1"/>
      <c r="AB191" s="1"/>
      <c r="AC191" s="1"/>
    </row>
    <row r="192" spans="1:29" customFormat="1">
      <c r="A192" s="1"/>
      <c r="B192" s="1"/>
      <c r="C192" s="1"/>
      <c r="D192" s="1" t="s">
        <v>99</v>
      </c>
      <c r="E192" s="37">
        <f t="shared" si="54"/>
        <v>0</v>
      </c>
      <c r="F192" s="37">
        <f t="shared" si="54"/>
        <v>0</v>
      </c>
      <c r="G192" s="37">
        <f t="shared" si="54"/>
        <v>0</v>
      </c>
      <c r="H192" s="37">
        <f t="shared" si="54"/>
        <v>0</v>
      </c>
      <c r="I192" s="37">
        <f t="shared" si="54"/>
        <v>0</v>
      </c>
      <c r="J192" s="37">
        <f t="shared" si="54"/>
        <v>0</v>
      </c>
      <c r="K192" s="37">
        <f t="shared" si="54"/>
        <v>0</v>
      </c>
      <c r="L192" s="37">
        <f t="shared" si="54"/>
        <v>0</v>
      </c>
      <c r="M192" s="37">
        <f t="shared" si="54"/>
        <v>0</v>
      </c>
      <c r="N192" s="37">
        <f t="shared" si="54"/>
        <v>0</v>
      </c>
      <c r="O192" s="37">
        <f t="shared" si="54"/>
        <v>0</v>
      </c>
      <c r="P192" s="37">
        <f t="shared" si="54"/>
        <v>0</v>
      </c>
      <c r="Q192" s="37">
        <f t="shared" si="54"/>
        <v>0</v>
      </c>
      <c r="R192" s="37">
        <f t="shared" si="54"/>
        <v>0</v>
      </c>
      <c r="S192" s="37">
        <f t="shared" si="54"/>
        <v>0</v>
      </c>
      <c r="T192" s="37">
        <f t="shared" si="54"/>
        <v>0</v>
      </c>
      <c r="U192" s="37">
        <f t="shared" si="54"/>
        <v>0</v>
      </c>
      <c r="V192" s="37">
        <f t="shared" si="54"/>
        <v>0</v>
      </c>
      <c r="W192" s="37">
        <f t="shared" si="54"/>
        <v>0</v>
      </c>
      <c r="X192" s="37">
        <f t="shared" si="54"/>
        <v>0</v>
      </c>
      <c r="Y192" s="37">
        <f t="shared" ref="Y192" si="60">Y155-Y154</f>
        <v>0</v>
      </c>
      <c r="Z192" s="1"/>
      <c r="AA192" s="1"/>
      <c r="AB192" s="1"/>
      <c r="AC192" s="1"/>
    </row>
    <row r="193" spans="1:29" customFormat="1">
      <c r="A193" s="1"/>
      <c r="B193" s="1"/>
      <c r="C193" s="1"/>
      <c r="D193" s="1" t="s">
        <v>102</v>
      </c>
      <c r="E193" s="37">
        <f t="shared" si="54"/>
        <v>0</v>
      </c>
      <c r="F193" s="37">
        <f t="shared" si="54"/>
        <v>0</v>
      </c>
      <c r="G193" s="37">
        <f t="shared" si="54"/>
        <v>0</v>
      </c>
      <c r="H193" s="37">
        <f t="shared" si="54"/>
        <v>0</v>
      </c>
      <c r="I193" s="37">
        <f t="shared" si="54"/>
        <v>0</v>
      </c>
      <c r="J193" s="37">
        <f t="shared" si="54"/>
        <v>0</v>
      </c>
      <c r="K193" s="37">
        <f t="shared" si="54"/>
        <v>0</v>
      </c>
      <c r="L193" s="37">
        <f t="shared" si="54"/>
        <v>0</v>
      </c>
      <c r="M193" s="37">
        <f t="shared" si="54"/>
        <v>0</v>
      </c>
      <c r="N193" s="37">
        <f t="shared" si="54"/>
        <v>0</v>
      </c>
      <c r="O193" s="37">
        <f t="shared" si="54"/>
        <v>0</v>
      </c>
      <c r="P193" s="37">
        <f t="shared" si="54"/>
        <v>0</v>
      </c>
      <c r="Q193" s="37">
        <f t="shared" si="54"/>
        <v>0</v>
      </c>
      <c r="R193" s="37">
        <f t="shared" si="54"/>
        <v>0</v>
      </c>
      <c r="S193" s="37">
        <f t="shared" si="54"/>
        <v>0</v>
      </c>
      <c r="T193" s="37">
        <f t="shared" si="54"/>
        <v>0</v>
      </c>
      <c r="U193" s="37">
        <f t="shared" si="54"/>
        <v>0</v>
      </c>
      <c r="V193" s="37">
        <f t="shared" si="54"/>
        <v>0</v>
      </c>
      <c r="W193" s="37">
        <f t="shared" si="54"/>
        <v>0</v>
      </c>
      <c r="X193" s="37">
        <f t="shared" si="54"/>
        <v>0</v>
      </c>
      <c r="Y193" s="37">
        <f t="shared" ref="Y193" si="61">Y156-Y155</f>
        <v>0</v>
      </c>
      <c r="Z193" s="1"/>
      <c r="AA193" s="1"/>
      <c r="AB193" s="1"/>
      <c r="AC193" s="1"/>
    </row>
    <row r="194" spans="1:29" customFormat="1">
      <c r="A194" s="1"/>
      <c r="B194" s="1"/>
      <c r="C194" s="1"/>
      <c r="D194" s="1" t="s">
        <v>105</v>
      </c>
      <c r="E194" s="37">
        <f t="shared" si="54"/>
        <v>0</v>
      </c>
      <c r="F194" s="37">
        <f t="shared" si="54"/>
        <v>0</v>
      </c>
      <c r="G194" s="37">
        <f t="shared" si="54"/>
        <v>0</v>
      </c>
      <c r="H194" s="37">
        <f t="shared" si="54"/>
        <v>0</v>
      </c>
      <c r="I194" s="37">
        <f t="shared" si="54"/>
        <v>0</v>
      </c>
      <c r="J194" s="37">
        <f t="shared" si="54"/>
        <v>0</v>
      </c>
      <c r="K194" s="37">
        <f t="shared" si="54"/>
        <v>0</v>
      </c>
      <c r="L194" s="37">
        <f t="shared" si="54"/>
        <v>0</v>
      </c>
      <c r="M194" s="37">
        <f t="shared" si="54"/>
        <v>0</v>
      </c>
      <c r="N194" s="37">
        <f t="shared" si="54"/>
        <v>0</v>
      </c>
      <c r="O194" s="37">
        <f t="shared" si="54"/>
        <v>0</v>
      </c>
      <c r="P194" s="37">
        <f t="shared" si="54"/>
        <v>0</v>
      </c>
      <c r="Q194" s="37">
        <f t="shared" si="54"/>
        <v>0</v>
      </c>
      <c r="R194" s="37">
        <f t="shared" si="54"/>
        <v>0</v>
      </c>
      <c r="S194" s="37">
        <f t="shared" si="54"/>
        <v>0</v>
      </c>
      <c r="T194" s="37">
        <f t="shared" si="54"/>
        <v>0</v>
      </c>
      <c r="U194" s="37">
        <f t="shared" si="54"/>
        <v>0</v>
      </c>
      <c r="V194" s="37">
        <f t="shared" si="54"/>
        <v>0</v>
      </c>
      <c r="W194" s="37">
        <f t="shared" si="54"/>
        <v>0</v>
      </c>
      <c r="X194" s="37">
        <f t="shared" si="54"/>
        <v>0</v>
      </c>
      <c r="Y194" s="37">
        <f t="shared" ref="Y194" si="62">Y157-Y156</f>
        <v>0</v>
      </c>
      <c r="Z194" s="1"/>
      <c r="AA194" s="1"/>
      <c r="AB194" s="1"/>
      <c r="AC194" s="1"/>
    </row>
    <row r="195" spans="1:29" customFormat="1">
      <c r="A195" s="1"/>
      <c r="B195" s="1"/>
      <c r="C195" s="1"/>
      <c r="D195" s="1" t="s">
        <v>108</v>
      </c>
      <c r="E195" s="37">
        <f t="shared" si="54"/>
        <v>0.58129571653266687</v>
      </c>
      <c r="F195" s="37">
        <f t="shared" si="54"/>
        <v>0</v>
      </c>
      <c r="G195" s="37">
        <f t="shared" si="54"/>
        <v>0</v>
      </c>
      <c r="H195" s="37">
        <f t="shared" si="54"/>
        <v>0</v>
      </c>
      <c r="I195" s="37">
        <f t="shared" si="54"/>
        <v>0</v>
      </c>
      <c r="J195" s="37">
        <f t="shared" si="54"/>
        <v>0</v>
      </c>
      <c r="K195" s="37">
        <f t="shared" si="54"/>
        <v>0</v>
      </c>
      <c r="L195" s="37">
        <f t="shared" si="54"/>
        <v>0</v>
      </c>
      <c r="M195" s="37">
        <f t="shared" si="54"/>
        <v>0</v>
      </c>
      <c r="N195" s="37">
        <f t="shared" si="54"/>
        <v>0</v>
      </c>
      <c r="O195" s="37">
        <f t="shared" si="54"/>
        <v>0</v>
      </c>
      <c r="P195" s="37">
        <f t="shared" si="54"/>
        <v>0</v>
      </c>
      <c r="Q195" s="37">
        <f t="shared" si="54"/>
        <v>0</v>
      </c>
      <c r="R195" s="37">
        <f t="shared" si="54"/>
        <v>0</v>
      </c>
      <c r="S195" s="37">
        <f t="shared" si="54"/>
        <v>0</v>
      </c>
      <c r="T195" s="37">
        <f t="shared" si="54"/>
        <v>0</v>
      </c>
      <c r="U195" s="37">
        <f t="shared" si="54"/>
        <v>0</v>
      </c>
      <c r="V195" s="37">
        <f t="shared" si="54"/>
        <v>0</v>
      </c>
      <c r="W195" s="37">
        <f t="shared" si="54"/>
        <v>0</v>
      </c>
      <c r="X195" s="37">
        <f t="shared" si="54"/>
        <v>0</v>
      </c>
      <c r="Y195" s="37">
        <f t="shared" ref="Y195" si="63">Y158-Y157</f>
        <v>2.6279284556432714</v>
      </c>
      <c r="Z195" s="1"/>
      <c r="AA195" s="1"/>
      <c r="AB195" s="1"/>
      <c r="AC195" s="1"/>
    </row>
    <row r="196" spans="1:29" customFormat="1">
      <c r="A196" s="1"/>
      <c r="B196" s="1"/>
      <c r="C196" s="1"/>
      <c r="D196" s="1" t="s">
        <v>111</v>
      </c>
      <c r="E196" s="37">
        <f t="shared" si="54"/>
        <v>0</v>
      </c>
      <c r="F196" s="37">
        <f t="shared" si="54"/>
        <v>0</v>
      </c>
      <c r="G196" s="37">
        <f t="shared" si="54"/>
        <v>0</v>
      </c>
      <c r="H196" s="37">
        <f t="shared" si="54"/>
        <v>0</v>
      </c>
      <c r="I196" s="37">
        <f t="shared" si="54"/>
        <v>0</v>
      </c>
      <c r="J196" s="37">
        <f t="shared" si="54"/>
        <v>0</v>
      </c>
      <c r="K196" s="37">
        <f t="shared" si="54"/>
        <v>0</v>
      </c>
      <c r="L196" s="37">
        <f t="shared" si="54"/>
        <v>0</v>
      </c>
      <c r="M196" s="37">
        <f t="shared" si="54"/>
        <v>0</v>
      </c>
      <c r="N196" s="37">
        <f t="shared" si="54"/>
        <v>0</v>
      </c>
      <c r="O196" s="37">
        <f t="shared" si="54"/>
        <v>0</v>
      </c>
      <c r="P196" s="37">
        <f t="shared" si="54"/>
        <v>0</v>
      </c>
      <c r="Q196" s="37">
        <f t="shared" si="54"/>
        <v>0</v>
      </c>
      <c r="R196" s="37">
        <f t="shared" si="54"/>
        <v>0</v>
      </c>
      <c r="S196" s="37">
        <f t="shared" si="54"/>
        <v>0</v>
      </c>
      <c r="T196" s="37">
        <f t="shared" si="54"/>
        <v>0</v>
      </c>
      <c r="U196" s="37">
        <f t="shared" si="54"/>
        <v>0</v>
      </c>
      <c r="V196" s="37">
        <f t="shared" si="54"/>
        <v>0</v>
      </c>
      <c r="W196" s="37">
        <f t="shared" si="54"/>
        <v>0</v>
      </c>
      <c r="X196" s="37">
        <f t="shared" si="54"/>
        <v>0</v>
      </c>
      <c r="Y196" s="37">
        <f t="shared" ref="Y196" si="64">Y159-Y158</f>
        <v>0</v>
      </c>
      <c r="Z196" s="1"/>
      <c r="AA196" s="1"/>
      <c r="AB196" s="1"/>
      <c r="AC196" s="1"/>
    </row>
    <row r="197" spans="1:29" customFormat="1">
      <c r="A197" s="1"/>
      <c r="B197" s="1"/>
      <c r="C197" s="1"/>
      <c r="D197" s="1" t="s">
        <v>114</v>
      </c>
      <c r="E197" s="37">
        <f t="shared" si="54"/>
        <v>0</v>
      </c>
      <c r="F197" s="37">
        <f t="shared" si="54"/>
        <v>0</v>
      </c>
      <c r="G197" s="37">
        <f t="shared" si="54"/>
        <v>0</v>
      </c>
      <c r="H197" s="37">
        <f t="shared" si="54"/>
        <v>0</v>
      </c>
      <c r="I197" s="37">
        <f t="shared" si="54"/>
        <v>0</v>
      </c>
      <c r="J197" s="37">
        <f t="shared" si="54"/>
        <v>0</v>
      </c>
      <c r="K197" s="37">
        <f t="shared" si="54"/>
        <v>0</v>
      </c>
      <c r="L197" s="37">
        <f t="shared" si="54"/>
        <v>0</v>
      </c>
      <c r="M197" s="37">
        <f t="shared" si="54"/>
        <v>0</v>
      </c>
      <c r="N197" s="37">
        <f t="shared" si="54"/>
        <v>0</v>
      </c>
      <c r="O197" s="37">
        <f t="shared" si="54"/>
        <v>0</v>
      </c>
      <c r="P197" s="37">
        <f t="shared" si="54"/>
        <v>0</v>
      </c>
      <c r="Q197" s="37">
        <f t="shared" si="54"/>
        <v>0</v>
      </c>
      <c r="R197" s="37">
        <f t="shared" si="54"/>
        <v>0</v>
      </c>
      <c r="S197" s="37">
        <f t="shared" si="54"/>
        <v>0</v>
      </c>
      <c r="T197" s="37">
        <f t="shared" si="54"/>
        <v>0</v>
      </c>
      <c r="U197" s="37">
        <f t="shared" si="54"/>
        <v>0</v>
      </c>
      <c r="V197" s="37">
        <f t="shared" si="54"/>
        <v>0</v>
      </c>
      <c r="W197" s="37">
        <f t="shared" si="54"/>
        <v>0</v>
      </c>
      <c r="X197" s="37">
        <f t="shared" si="54"/>
        <v>0</v>
      </c>
      <c r="Y197" s="37">
        <f t="shared" ref="Y197" si="65">Y160-Y159</f>
        <v>0</v>
      </c>
      <c r="Z197" s="1"/>
      <c r="AA197" s="1"/>
      <c r="AB197" s="1"/>
      <c r="AC197" s="1"/>
    </row>
    <row r="198" spans="1:29" customFormat="1">
      <c r="A198" s="1"/>
      <c r="B198" s="1"/>
      <c r="C198" s="1"/>
      <c r="D198" s="1" t="s">
        <v>117</v>
      </c>
      <c r="E198" s="37">
        <f t="shared" si="54"/>
        <v>0</v>
      </c>
      <c r="F198" s="37">
        <f t="shared" si="54"/>
        <v>0</v>
      </c>
      <c r="G198" s="37">
        <f t="shared" si="54"/>
        <v>0</v>
      </c>
      <c r="H198" s="37">
        <f t="shared" si="54"/>
        <v>0</v>
      </c>
      <c r="I198" s="37">
        <f t="shared" ref="I198:X198" si="66">I161-I160</f>
        <v>0</v>
      </c>
      <c r="J198" s="37">
        <f t="shared" si="66"/>
        <v>0</v>
      </c>
      <c r="K198" s="37">
        <f t="shared" si="66"/>
        <v>0</v>
      </c>
      <c r="L198" s="37">
        <f t="shared" si="66"/>
        <v>0</v>
      </c>
      <c r="M198" s="37">
        <f t="shared" si="66"/>
        <v>0</v>
      </c>
      <c r="N198" s="37">
        <f t="shared" si="66"/>
        <v>0</v>
      </c>
      <c r="O198" s="37">
        <f t="shared" si="66"/>
        <v>0</v>
      </c>
      <c r="P198" s="37">
        <f t="shared" si="66"/>
        <v>0</v>
      </c>
      <c r="Q198" s="37">
        <f t="shared" si="66"/>
        <v>0</v>
      </c>
      <c r="R198" s="37">
        <f t="shared" si="66"/>
        <v>0</v>
      </c>
      <c r="S198" s="37">
        <f t="shared" si="66"/>
        <v>0</v>
      </c>
      <c r="T198" s="37">
        <f t="shared" si="66"/>
        <v>0</v>
      </c>
      <c r="U198" s="37">
        <f t="shared" si="66"/>
        <v>0</v>
      </c>
      <c r="V198" s="37">
        <f t="shared" si="66"/>
        <v>0</v>
      </c>
      <c r="W198" s="37">
        <f t="shared" si="66"/>
        <v>0</v>
      </c>
      <c r="X198" s="37">
        <f t="shared" si="66"/>
        <v>0</v>
      </c>
      <c r="Y198" s="37">
        <f t="shared" ref="Y198" si="67">Y161-Y160</f>
        <v>0</v>
      </c>
      <c r="Z198" s="1"/>
      <c r="AA198" s="1"/>
      <c r="AB198" s="1"/>
      <c r="AC198" s="1"/>
    </row>
    <row r="199" spans="1:29" customFormat="1">
      <c r="A199" s="1"/>
      <c r="B199" s="1"/>
      <c r="C199" s="1"/>
      <c r="D199" s="1" t="s">
        <v>120</v>
      </c>
      <c r="E199" s="37">
        <f t="shared" ref="E199:X199" si="68">E162-E161</f>
        <v>0</v>
      </c>
      <c r="F199" s="37">
        <f t="shared" si="68"/>
        <v>0</v>
      </c>
      <c r="G199" s="37">
        <f t="shared" si="68"/>
        <v>0</v>
      </c>
      <c r="H199" s="37">
        <f t="shared" si="68"/>
        <v>0</v>
      </c>
      <c r="I199" s="37">
        <f t="shared" si="68"/>
        <v>0</v>
      </c>
      <c r="J199" s="37">
        <f t="shared" si="68"/>
        <v>0</v>
      </c>
      <c r="K199" s="37">
        <f t="shared" si="68"/>
        <v>0</v>
      </c>
      <c r="L199" s="37">
        <f t="shared" si="68"/>
        <v>0</v>
      </c>
      <c r="M199" s="37">
        <f t="shared" si="68"/>
        <v>0</v>
      </c>
      <c r="N199" s="37">
        <f t="shared" si="68"/>
        <v>0</v>
      </c>
      <c r="O199" s="37">
        <f t="shared" si="68"/>
        <v>0</v>
      </c>
      <c r="P199" s="37">
        <f t="shared" si="68"/>
        <v>0</v>
      </c>
      <c r="Q199" s="37">
        <f t="shared" si="68"/>
        <v>0</v>
      </c>
      <c r="R199" s="37">
        <f t="shared" si="68"/>
        <v>0</v>
      </c>
      <c r="S199" s="37">
        <f t="shared" si="68"/>
        <v>0</v>
      </c>
      <c r="T199" s="37">
        <f t="shared" si="68"/>
        <v>0</v>
      </c>
      <c r="U199" s="37">
        <f t="shared" si="68"/>
        <v>0</v>
      </c>
      <c r="V199" s="37">
        <f t="shared" si="68"/>
        <v>0</v>
      </c>
      <c r="W199" s="37">
        <f t="shared" si="68"/>
        <v>0</v>
      </c>
      <c r="X199" s="37">
        <f t="shared" si="68"/>
        <v>0</v>
      </c>
      <c r="Y199" s="37">
        <f t="shared" ref="Y199" si="69">Y162-Y161</f>
        <v>0</v>
      </c>
      <c r="Z199" s="1"/>
      <c r="AA199" s="1"/>
      <c r="AB199" s="1"/>
      <c r="AC199" s="1"/>
    </row>
    <row r="200" spans="1:29" customFormat="1">
      <c r="A200" s="1"/>
      <c r="B200" s="1"/>
      <c r="C200" s="1"/>
      <c r="D200" s="1" t="s">
        <v>123</v>
      </c>
      <c r="E200" s="37">
        <f t="shared" ref="E200:X200" si="70">E163-E162</f>
        <v>0</v>
      </c>
      <c r="F200" s="37">
        <f t="shared" si="70"/>
        <v>0</v>
      </c>
      <c r="G200" s="37">
        <f t="shared" si="70"/>
        <v>0</v>
      </c>
      <c r="H200" s="37">
        <f t="shared" si="70"/>
        <v>0</v>
      </c>
      <c r="I200" s="37">
        <f t="shared" si="70"/>
        <v>0</v>
      </c>
      <c r="J200" s="37">
        <f t="shared" si="70"/>
        <v>0</v>
      </c>
      <c r="K200" s="37">
        <f t="shared" si="70"/>
        <v>0</v>
      </c>
      <c r="L200" s="37">
        <f t="shared" si="70"/>
        <v>0</v>
      </c>
      <c r="M200" s="37">
        <f t="shared" si="70"/>
        <v>0</v>
      </c>
      <c r="N200" s="37">
        <f t="shared" si="70"/>
        <v>0</v>
      </c>
      <c r="O200" s="37">
        <f t="shared" si="70"/>
        <v>0</v>
      </c>
      <c r="P200" s="37">
        <f t="shared" si="70"/>
        <v>0</v>
      </c>
      <c r="Q200" s="37">
        <f t="shared" si="70"/>
        <v>0</v>
      </c>
      <c r="R200" s="37">
        <f t="shared" si="70"/>
        <v>0</v>
      </c>
      <c r="S200" s="37">
        <f t="shared" si="70"/>
        <v>0</v>
      </c>
      <c r="T200" s="37">
        <f t="shared" si="70"/>
        <v>0</v>
      </c>
      <c r="U200" s="37">
        <f t="shared" si="70"/>
        <v>0</v>
      </c>
      <c r="V200" s="37">
        <f t="shared" si="70"/>
        <v>0</v>
      </c>
      <c r="W200" s="37">
        <f t="shared" si="70"/>
        <v>0</v>
      </c>
      <c r="X200" s="37">
        <f t="shared" si="70"/>
        <v>0</v>
      </c>
      <c r="Y200" s="37">
        <f t="shared" ref="Y200" si="71">Y163-Y162</f>
        <v>0</v>
      </c>
      <c r="Z200" s="1"/>
      <c r="AA200" s="1"/>
      <c r="AB200" s="1"/>
      <c r="AC200" s="1"/>
    </row>
    <row r="201" spans="1:29" customFormat="1">
      <c r="A201" s="1"/>
      <c r="B201" s="1"/>
      <c r="C201" s="1"/>
      <c r="D201" s="1" t="s">
        <v>126</v>
      </c>
      <c r="E201" s="37">
        <f t="shared" ref="E201:X201" si="72">E164-E163</f>
        <v>0</v>
      </c>
      <c r="F201" s="37">
        <f t="shared" si="72"/>
        <v>0</v>
      </c>
      <c r="G201" s="37">
        <f t="shared" si="72"/>
        <v>0</v>
      </c>
      <c r="H201" s="37">
        <f t="shared" si="72"/>
        <v>0</v>
      </c>
      <c r="I201" s="37">
        <f t="shared" si="72"/>
        <v>0</v>
      </c>
      <c r="J201" s="37">
        <f t="shared" si="72"/>
        <v>0</v>
      </c>
      <c r="K201" s="37">
        <f t="shared" si="72"/>
        <v>0</v>
      </c>
      <c r="L201" s="37">
        <f t="shared" si="72"/>
        <v>0</v>
      </c>
      <c r="M201" s="37">
        <f t="shared" si="72"/>
        <v>0</v>
      </c>
      <c r="N201" s="37">
        <f t="shared" si="72"/>
        <v>0</v>
      </c>
      <c r="O201" s="37">
        <f t="shared" si="72"/>
        <v>0</v>
      </c>
      <c r="P201" s="37">
        <f t="shared" si="72"/>
        <v>0</v>
      </c>
      <c r="Q201" s="37">
        <f t="shared" si="72"/>
        <v>0</v>
      </c>
      <c r="R201" s="37">
        <f t="shared" si="72"/>
        <v>0</v>
      </c>
      <c r="S201" s="37">
        <f t="shared" si="72"/>
        <v>0</v>
      </c>
      <c r="T201" s="37">
        <f t="shared" si="72"/>
        <v>0</v>
      </c>
      <c r="U201" s="37">
        <f t="shared" si="72"/>
        <v>0</v>
      </c>
      <c r="V201" s="37">
        <f t="shared" si="72"/>
        <v>0</v>
      </c>
      <c r="W201" s="37">
        <f t="shared" si="72"/>
        <v>0</v>
      </c>
      <c r="X201" s="37">
        <f t="shared" si="72"/>
        <v>0</v>
      </c>
      <c r="Y201" s="37">
        <f t="shared" ref="Y201" si="73">Y164-Y163</f>
        <v>0</v>
      </c>
      <c r="Z201" s="1"/>
      <c r="AA201" s="1"/>
      <c r="AB201" s="1"/>
      <c r="AC201" s="1"/>
    </row>
    <row r="202" spans="1:29" customFormat="1">
      <c r="A202" s="1"/>
      <c r="B202" s="1"/>
      <c r="C202" s="1"/>
      <c r="D202" s="1" t="s">
        <v>129</v>
      </c>
      <c r="E202" s="37">
        <f t="shared" ref="E202:X202" si="74">E165-E164</f>
        <v>0</v>
      </c>
      <c r="F202" s="37">
        <f t="shared" si="74"/>
        <v>0</v>
      </c>
      <c r="G202" s="37">
        <f t="shared" si="74"/>
        <v>0</v>
      </c>
      <c r="H202" s="37">
        <f t="shared" si="74"/>
        <v>0</v>
      </c>
      <c r="I202" s="37">
        <f t="shared" si="74"/>
        <v>0</v>
      </c>
      <c r="J202" s="37">
        <f t="shared" si="74"/>
        <v>0</v>
      </c>
      <c r="K202" s="37">
        <f t="shared" si="74"/>
        <v>0</v>
      </c>
      <c r="L202" s="37">
        <f t="shared" si="74"/>
        <v>0</v>
      </c>
      <c r="M202" s="37">
        <f t="shared" si="74"/>
        <v>0</v>
      </c>
      <c r="N202" s="37">
        <f t="shared" si="74"/>
        <v>0</v>
      </c>
      <c r="O202" s="37">
        <f t="shared" si="74"/>
        <v>0</v>
      </c>
      <c r="P202" s="37">
        <f t="shared" si="74"/>
        <v>0</v>
      </c>
      <c r="Q202" s="37">
        <f t="shared" si="74"/>
        <v>0</v>
      </c>
      <c r="R202" s="37">
        <f t="shared" si="74"/>
        <v>0</v>
      </c>
      <c r="S202" s="37">
        <f t="shared" si="74"/>
        <v>0</v>
      </c>
      <c r="T202" s="37">
        <f t="shared" si="74"/>
        <v>0</v>
      </c>
      <c r="U202" s="37">
        <f t="shared" si="74"/>
        <v>0</v>
      </c>
      <c r="V202" s="37">
        <f t="shared" si="74"/>
        <v>0</v>
      </c>
      <c r="W202" s="37">
        <f t="shared" si="74"/>
        <v>0</v>
      </c>
      <c r="X202" s="37">
        <f t="shared" si="74"/>
        <v>0</v>
      </c>
      <c r="Y202" s="37">
        <f t="shared" ref="Y202" si="75">Y165-Y164</f>
        <v>0</v>
      </c>
      <c r="Z202" s="1"/>
      <c r="AA202" s="1"/>
      <c r="AB202" s="1"/>
      <c r="AC202" s="1"/>
    </row>
    <row r="203" spans="1:29" customFormat="1">
      <c r="A203" s="1"/>
      <c r="B203" s="1"/>
      <c r="C203" s="1"/>
      <c r="D203" s="1" t="s">
        <v>132</v>
      </c>
      <c r="E203" s="37">
        <f t="shared" ref="E203:X203" si="76">E166-E165</f>
        <v>0</v>
      </c>
      <c r="F203" s="37">
        <f t="shared" si="76"/>
        <v>0</v>
      </c>
      <c r="G203" s="37">
        <f t="shared" si="76"/>
        <v>0</v>
      </c>
      <c r="H203" s="37">
        <f t="shared" si="76"/>
        <v>0</v>
      </c>
      <c r="I203" s="37">
        <f t="shared" si="76"/>
        <v>0</v>
      </c>
      <c r="J203" s="37">
        <f t="shared" si="76"/>
        <v>0</v>
      </c>
      <c r="K203" s="37">
        <f t="shared" si="76"/>
        <v>0</v>
      </c>
      <c r="L203" s="37">
        <f t="shared" si="76"/>
        <v>0</v>
      </c>
      <c r="M203" s="37">
        <f t="shared" si="76"/>
        <v>0</v>
      </c>
      <c r="N203" s="37">
        <f t="shared" si="76"/>
        <v>0</v>
      </c>
      <c r="O203" s="37">
        <f t="shared" si="76"/>
        <v>0</v>
      </c>
      <c r="P203" s="37">
        <f t="shared" si="76"/>
        <v>0</v>
      </c>
      <c r="Q203" s="37">
        <f t="shared" si="76"/>
        <v>0</v>
      </c>
      <c r="R203" s="37">
        <f t="shared" si="76"/>
        <v>0</v>
      </c>
      <c r="S203" s="37">
        <f t="shared" si="76"/>
        <v>0</v>
      </c>
      <c r="T203" s="37">
        <f t="shared" si="76"/>
        <v>0</v>
      </c>
      <c r="U203" s="37">
        <f t="shared" si="76"/>
        <v>0</v>
      </c>
      <c r="V203" s="37">
        <f t="shared" si="76"/>
        <v>0</v>
      </c>
      <c r="W203" s="37">
        <f t="shared" si="76"/>
        <v>0</v>
      </c>
      <c r="X203" s="37">
        <f t="shared" si="76"/>
        <v>0</v>
      </c>
      <c r="Y203" s="37">
        <f t="shared" ref="Y203" si="77">Y166-Y165</f>
        <v>0</v>
      </c>
      <c r="Z203" s="1"/>
      <c r="AA203" s="1"/>
      <c r="AB203" s="1"/>
      <c r="AC203" s="1"/>
    </row>
    <row r="204" spans="1:29" customFormat="1">
      <c r="A204" s="1"/>
      <c r="B204" s="1"/>
      <c r="C204" s="1"/>
      <c r="D204" s="1" t="s">
        <v>135</v>
      </c>
      <c r="E204" s="37">
        <f t="shared" ref="E204:X204" si="78">E167-E166</f>
        <v>0</v>
      </c>
      <c r="F204" s="37">
        <f t="shared" si="78"/>
        <v>0</v>
      </c>
      <c r="G204" s="37">
        <f t="shared" si="78"/>
        <v>0</v>
      </c>
      <c r="H204" s="37">
        <f t="shared" si="78"/>
        <v>0</v>
      </c>
      <c r="I204" s="37">
        <f t="shared" si="78"/>
        <v>0</v>
      </c>
      <c r="J204" s="37">
        <f t="shared" si="78"/>
        <v>0</v>
      </c>
      <c r="K204" s="37">
        <f t="shared" si="78"/>
        <v>0</v>
      </c>
      <c r="L204" s="37">
        <f t="shared" si="78"/>
        <v>0</v>
      </c>
      <c r="M204" s="37">
        <f t="shared" si="78"/>
        <v>0</v>
      </c>
      <c r="N204" s="37">
        <f t="shared" si="78"/>
        <v>0</v>
      </c>
      <c r="O204" s="37">
        <f t="shared" si="78"/>
        <v>0</v>
      </c>
      <c r="P204" s="37">
        <f t="shared" si="78"/>
        <v>0</v>
      </c>
      <c r="Q204" s="37">
        <f t="shared" si="78"/>
        <v>0</v>
      </c>
      <c r="R204" s="37">
        <f t="shared" si="78"/>
        <v>0</v>
      </c>
      <c r="S204" s="37">
        <f t="shared" si="78"/>
        <v>0</v>
      </c>
      <c r="T204" s="37">
        <f t="shared" si="78"/>
        <v>0</v>
      </c>
      <c r="U204" s="37">
        <f t="shared" si="78"/>
        <v>0</v>
      </c>
      <c r="V204" s="37">
        <f t="shared" si="78"/>
        <v>0</v>
      </c>
      <c r="W204" s="37">
        <f t="shared" si="78"/>
        <v>0</v>
      </c>
      <c r="X204" s="37">
        <f t="shared" si="78"/>
        <v>0</v>
      </c>
      <c r="Y204" s="37">
        <f t="shared" ref="Y204" si="79">Y167-Y166</f>
        <v>0</v>
      </c>
      <c r="Z204" s="1"/>
      <c r="AA204" s="1"/>
      <c r="AB204" s="1"/>
      <c r="AC204" s="1"/>
    </row>
    <row r="205" spans="1:29" customFormat="1">
      <c r="A205" s="1"/>
      <c r="B205" s="1"/>
      <c r="C205" s="1"/>
      <c r="D205" s="1" t="s">
        <v>138</v>
      </c>
      <c r="E205" s="37">
        <f t="shared" ref="E205:X205" si="80">E168-E167</f>
        <v>0</v>
      </c>
      <c r="F205" s="37">
        <f t="shared" si="80"/>
        <v>0</v>
      </c>
      <c r="G205" s="37">
        <f t="shared" si="80"/>
        <v>0</v>
      </c>
      <c r="H205" s="37">
        <f t="shared" si="80"/>
        <v>0</v>
      </c>
      <c r="I205" s="37">
        <f t="shared" si="80"/>
        <v>0</v>
      </c>
      <c r="J205" s="37">
        <f t="shared" si="80"/>
        <v>0</v>
      </c>
      <c r="K205" s="37">
        <f t="shared" si="80"/>
        <v>0</v>
      </c>
      <c r="L205" s="37">
        <f t="shared" si="80"/>
        <v>0</v>
      </c>
      <c r="M205" s="37">
        <f t="shared" si="80"/>
        <v>0</v>
      </c>
      <c r="N205" s="37">
        <f t="shared" si="80"/>
        <v>0</v>
      </c>
      <c r="O205" s="37">
        <f t="shared" si="80"/>
        <v>0</v>
      </c>
      <c r="P205" s="37">
        <f t="shared" si="80"/>
        <v>0</v>
      </c>
      <c r="Q205" s="37">
        <f t="shared" si="80"/>
        <v>0</v>
      </c>
      <c r="R205" s="37">
        <f t="shared" si="80"/>
        <v>0</v>
      </c>
      <c r="S205" s="37">
        <f t="shared" si="80"/>
        <v>0</v>
      </c>
      <c r="T205" s="37">
        <f t="shared" si="80"/>
        <v>0</v>
      </c>
      <c r="U205" s="37">
        <f t="shared" si="80"/>
        <v>0</v>
      </c>
      <c r="V205" s="37">
        <f t="shared" si="80"/>
        <v>0</v>
      </c>
      <c r="W205" s="37">
        <f t="shared" si="80"/>
        <v>0</v>
      </c>
      <c r="X205" s="37">
        <f t="shared" si="80"/>
        <v>0</v>
      </c>
      <c r="Y205" s="37">
        <f t="shared" ref="Y205" si="81">Y168-Y167</f>
        <v>0</v>
      </c>
      <c r="Z205" s="1"/>
      <c r="AA205" s="1"/>
      <c r="AB205" s="1"/>
      <c r="AC205" s="1"/>
    </row>
    <row r="206" spans="1:29" customFormat="1">
      <c r="A206" s="1"/>
      <c r="B206" s="1"/>
      <c r="C206" s="1"/>
      <c r="D206" s="1" t="s">
        <v>365</v>
      </c>
      <c r="E206" s="37">
        <f t="shared" ref="E206:X206" si="82">E169-E168</f>
        <v>0</v>
      </c>
      <c r="F206" s="37">
        <f t="shared" si="82"/>
        <v>0</v>
      </c>
      <c r="G206" s="37">
        <f t="shared" si="82"/>
        <v>0</v>
      </c>
      <c r="H206" s="37">
        <f t="shared" si="82"/>
        <v>0</v>
      </c>
      <c r="I206" s="37">
        <f t="shared" si="82"/>
        <v>0</v>
      </c>
      <c r="J206" s="37">
        <f t="shared" si="82"/>
        <v>0</v>
      </c>
      <c r="K206" s="37">
        <f t="shared" si="82"/>
        <v>0</v>
      </c>
      <c r="L206" s="37">
        <f t="shared" si="82"/>
        <v>0</v>
      </c>
      <c r="M206" s="37">
        <f t="shared" si="82"/>
        <v>0</v>
      </c>
      <c r="N206" s="37">
        <f t="shared" si="82"/>
        <v>0</v>
      </c>
      <c r="O206" s="37">
        <f t="shared" si="82"/>
        <v>0</v>
      </c>
      <c r="P206" s="37">
        <f t="shared" si="82"/>
        <v>0</v>
      </c>
      <c r="Q206" s="37">
        <f t="shared" si="82"/>
        <v>0</v>
      </c>
      <c r="R206" s="37">
        <f t="shared" si="82"/>
        <v>0</v>
      </c>
      <c r="S206" s="37">
        <f t="shared" si="82"/>
        <v>0</v>
      </c>
      <c r="T206" s="37">
        <f t="shared" si="82"/>
        <v>0</v>
      </c>
      <c r="U206" s="37">
        <f t="shared" si="82"/>
        <v>0</v>
      </c>
      <c r="V206" s="37">
        <f t="shared" si="82"/>
        <v>0</v>
      </c>
      <c r="W206" s="37">
        <f t="shared" si="82"/>
        <v>0</v>
      </c>
      <c r="X206" s="37">
        <f t="shared" si="82"/>
        <v>0</v>
      </c>
      <c r="Y206" s="37">
        <f t="shared" ref="Y206" si="83">Y169-Y168</f>
        <v>0</v>
      </c>
      <c r="Z206" s="1"/>
      <c r="AA206" s="1"/>
      <c r="AB206" s="1"/>
      <c r="AC206" s="1"/>
    </row>
    <row r="207" spans="1:29" customFormat="1">
      <c r="A207" s="1"/>
      <c r="B207" s="1"/>
      <c r="C207" s="1"/>
      <c r="D207" s="1" t="s">
        <v>367</v>
      </c>
      <c r="E207" s="37">
        <f t="shared" ref="E207:X207" si="84">E170-E169</f>
        <v>0</v>
      </c>
      <c r="F207" s="37">
        <f t="shared" si="84"/>
        <v>0</v>
      </c>
      <c r="G207" s="37">
        <f t="shared" si="84"/>
        <v>0</v>
      </c>
      <c r="H207" s="37">
        <f t="shared" si="84"/>
        <v>0</v>
      </c>
      <c r="I207" s="37">
        <f t="shared" si="84"/>
        <v>0</v>
      </c>
      <c r="J207" s="37">
        <f t="shared" si="84"/>
        <v>0</v>
      </c>
      <c r="K207" s="37">
        <f t="shared" si="84"/>
        <v>0</v>
      </c>
      <c r="L207" s="37">
        <f t="shared" si="84"/>
        <v>0</v>
      </c>
      <c r="M207" s="37">
        <f t="shared" si="84"/>
        <v>0</v>
      </c>
      <c r="N207" s="37">
        <f t="shared" si="84"/>
        <v>0</v>
      </c>
      <c r="O207" s="37">
        <f t="shared" si="84"/>
        <v>0</v>
      </c>
      <c r="P207" s="37">
        <f t="shared" si="84"/>
        <v>0</v>
      </c>
      <c r="Q207" s="37">
        <f t="shared" si="84"/>
        <v>0</v>
      </c>
      <c r="R207" s="37">
        <f t="shared" si="84"/>
        <v>0</v>
      </c>
      <c r="S207" s="37">
        <f t="shared" si="84"/>
        <v>0</v>
      </c>
      <c r="T207" s="37">
        <f t="shared" si="84"/>
        <v>0</v>
      </c>
      <c r="U207" s="37">
        <f t="shared" si="84"/>
        <v>0</v>
      </c>
      <c r="V207" s="37">
        <f t="shared" si="84"/>
        <v>0</v>
      </c>
      <c r="W207" s="37">
        <f t="shared" si="84"/>
        <v>0</v>
      </c>
      <c r="X207" s="37">
        <f t="shared" si="84"/>
        <v>0</v>
      </c>
      <c r="Y207" s="37">
        <f t="shared" ref="Y207" si="85">Y170-Y169</f>
        <v>0</v>
      </c>
      <c r="Z207" s="1"/>
      <c r="AA207" s="1"/>
      <c r="AB207" s="1"/>
      <c r="AC207" s="1"/>
    </row>
    <row r="208" spans="1:29" customFormat="1">
      <c r="A208" s="1"/>
      <c r="B208" s="1"/>
      <c r="C208" s="1"/>
      <c r="D208" s="1" t="s">
        <v>370</v>
      </c>
      <c r="E208" s="37">
        <f t="shared" ref="E208:X208" si="86">E171-E170</f>
        <v>0</v>
      </c>
      <c r="F208" s="37">
        <f t="shared" si="86"/>
        <v>0</v>
      </c>
      <c r="G208" s="37">
        <f t="shared" si="86"/>
        <v>0</v>
      </c>
      <c r="H208" s="37">
        <f t="shared" si="86"/>
        <v>0</v>
      </c>
      <c r="I208" s="37">
        <f t="shared" si="86"/>
        <v>0</v>
      </c>
      <c r="J208" s="37">
        <f t="shared" si="86"/>
        <v>0</v>
      </c>
      <c r="K208" s="37">
        <f t="shared" si="86"/>
        <v>0</v>
      </c>
      <c r="L208" s="37">
        <f t="shared" si="86"/>
        <v>0</v>
      </c>
      <c r="M208" s="37">
        <f t="shared" si="86"/>
        <v>0</v>
      </c>
      <c r="N208" s="37">
        <f t="shared" si="86"/>
        <v>0</v>
      </c>
      <c r="O208" s="37">
        <f t="shared" si="86"/>
        <v>0</v>
      </c>
      <c r="P208" s="37">
        <f t="shared" si="86"/>
        <v>0</v>
      </c>
      <c r="Q208" s="37">
        <f t="shared" si="86"/>
        <v>0</v>
      </c>
      <c r="R208" s="37">
        <f t="shared" si="86"/>
        <v>0</v>
      </c>
      <c r="S208" s="37">
        <f t="shared" si="86"/>
        <v>0</v>
      </c>
      <c r="T208" s="37">
        <f t="shared" si="86"/>
        <v>0</v>
      </c>
      <c r="U208" s="37">
        <f t="shared" si="86"/>
        <v>0</v>
      </c>
      <c r="V208" s="37">
        <f t="shared" si="86"/>
        <v>0</v>
      </c>
      <c r="W208" s="37">
        <f t="shared" si="86"/>
        <v>0</v>
      </c>
      <c r="X208" s="37">
        <f t="shared" si="86"/>
        <v>0</v>
      </c>
      <c r="Y208" s="37">
        <f t="shared" ref="Y208" si="87">Y171-Y170</f>
        <v>0</v>
      </c>
      <c r="Z208" s="1"/>
      <c r="AA208" s="1"/>
      <c r="AB208" s="1"/>
      <c r="AC208" s="1"/>
    </row>
    <row r="209" spans="1:29" customFormat="1">
      <c r="A209" s="1"/>
      <c r="B209" s="1"/>
      <c r="C209" s="1"/>
      <c r="D209" s="1" t="s">
        <v>373</v>
      </c>
      <c r="E209" s="37">
        <f t="shared" ref="E209:X209" si="88">E172-E171</f>
        <v>0</v>
      </c>
      <c r="F209" s="37">
        <f t="shared" si="88"/>
        <v>0</v>
      </c>
      <c r="G209" s="37">
        <f t="shared" si="88"/>
        <v>0</v>
      </c>
      <c r="H209" s="37">
        <f t="shared" si="88"/>
        <v>0</v>
      </c>
      <c r="I209" s="37">
        <f t="shared" si="88"/>
        <v>0</v>
      </c>
      <c r="J209" s="37">
        <f t="shared" si="88"/>
        <v>0</v>
      </c>
      <c r="K209" s="37">
        <f t="shared" si="88"/>
        <v>0</v>
      </c>
      <c r="L209" s="37">
        <f t="shared" si="88"/>
        <v>0</v>
      </c>
      <c r="M209" s="37">
        <f t="shared" si="88"/>
        <v>0</v>
      </c>
      <c r="N209" s="37">
        <f t="shared" si="88"/>
        <v>0</v>
      </c>
      <c r="O209" s="37">
        <f t="shared" si="88"/>
        <v>0</v>
      </c>
      <c r="P209" s="37">
        <f t="shared" si="88"/>
        <v>0</v>
      </c>
      <c r="Q209" s="37">
        <f t="shared" si="88"/>
        <v>0</v>
      </c>
      <c r="R209" s="37">
        <f t="shared" si="88"/>
        <v>0</v>
      </c>
      <c r="S209" s="37">
        <f t="shared" si="88"/>
        <v>0</v>
      </c>
      <c r="T209" s="37">
        <f t="shared" si="88"/>
        <v>0</v>
      </c>
      <c r="U209" s="37">
        <f t="shared" si="88"/>
        <v>0</v>
      </c>
      <c r="V209" s="37">
        <f t="shared" si="88"/>
        <v>0</v>
      </c>
      <c r="W209" s="37">
        <f t="shared" si="88"/>
        <v>0</v>
      </c>
      <c r="X209" s="37">
        <f t="shared" si="88"/>
        <v>0</v>
      </c>
      <c r="Y209" s="37">
        <f t="shared" ref="Y209" si="89">Y172-Y171</f>
        <v>0</v>
      </c>
      <c r="Z209" s="1"/>
      <c r="AA209" s="1"/>
      <c r="AB209" s="1"/>
      <c r="AC209" s="1"/>
    </row>
    <row r="210" spans="1:29" customFormat="1">
      <c r="A210" s="1"/>
      <c r="B210" s="1"/>
      <c r="C210" s="1"/>
      <c r="D210" s="1" t="s">
        <v>376</v>
      </c>
      <c r="E210" s="37">
        <f t="shared" ref="E210:X210" si="90">E173-E172</f>
        <v>0</v>
      </c>
      <c r="F210" s="37">
        <f t="shared" si="90"/>
        <v>0</v>
      </c>
      <c r="G210" s="37">
        <f t="shared" si="90"/>
        <v>0</v>
      </c>
      <c r="H210" s="37">
        <f t="shared" si="90"/>
        <v>0</v>
      </c>
      <c r="I210" s="37">
        <f t="shared" si="90"/>
        <v>0</v>
      </c>
      <c r="J210" s="37">
        <f t="shared" si="90"/>
        <v>0</v>
      </c>
      <c r="K210" s="37">
        <f t="shared" si="90"/>
        <v>0</v>
      </c>
      <c r="L210" s="37">
        <f t="shared" si="90"/>
        <v>0</v>
      </c>
      <c r="M210" s="37">
        <f t="shared" si="90"/>
        <v>0</v>
      </c>
      <c r="N210" s="37">
        <f t="shared" si="90"/>
        <v>0</v>
      </c>
      <c r="O210" s="37">
        <f t="shared" si="90"/>
        <v>0</v>
      </c>
      <c r="P210" s="37">
        <f t="shared" si="90"/>
        <v>0</v>
      </c>
      <c r="Q210" s="37">
        <f t="shared" si="90"/>
        <v>0</v>
      </c>
      <c r="R210" s="37">
        <f t="shared" si="90"/>
        <v>0</v>
      </c>
      <c r="S210" s="37">
        <f t="shared" si="90"/>
        <v>0</v>
      </c>
      <c r="T210" s="37">
        <f t="shared" si="90"/>
        <v>0</v>
      </c>
      <c r="U210" s="37">
        <f t="shared" si="90"/>
        <v>0</v>
      </c>
      <c r="V210" s="37">
        <f t="shared" si="90"/>
        <v>0</v>
      </c>
      <c r="W210" s="37">
        <f t="shared" si="90"/>
        <v>0</v>
      </c>
      <c r="X210" s="37">
        <f t="shared" si="90"/>
        <v>0</v>
      </c>
      <c r="Y210" s="37">
        <f t="shared" ref="Y210" si="91">Y173-Y172</f>
        <v>0</v>
      </c>
      <c r="Z210" s="1"/>
      <c r="AA210" s="1"/>
      <c r="AB210" s="1"/>
      <c r="AC210" s="1"/>
    </row>
    <row r="211" spans="1:29" customFormat="1">
      <c r="A211" s="1"/>
      <c r="B211" s="1"/>
      <c r="C211" s="1"/>
      <c r="D211" s="1" t="s">
        <v>379</v>
      </c>
      <c r="E211" s="37">
        <f t="shared" ref="E211:X211" si="92">E174-E173</f>
        <v>0</v>
      </c>
      <c r="F211" s="37">
        <f t="shared" si="92"/>
        <v>0</v>
      </c>
      <c r="G211" s="37">
        <f t="shared" si="92"/>
        <v>0</v>
      </c>
      <c r="H211" s="37">
        <f t="shared" si="92"/>
        <v>0</v>
      </c>
      <c r="I211" s="37">
        <f t="shared" si="92"/>
        <v>0</v>
      </c>
      <c r="J211" s="37">
        <f t="shared" si="92"/>
        <v>0</v>
      </c>
      <c r="K211" s="37">
        <f t="shared" si="92"/>
        <v>0</v>
      </c>
      <c r="L211" s="37">
        <f t="shared" si="92"/>
        <v>0</v>
      </c>
      <c r="M211" s="37">
        <f t="shared" si="92"/>
        <v>0</v>
      </c>
      <c r="N211" s="37">
        <f t="shared" si="92"/>
        <v>0</v>
      </c>
      <c r="O211" s="37">
        <f t="shared" si="92"/>
        <v>0</v>
      </c>
      <c r="P211" s="37">
        <f t="shared" si="92"/>
        <v>0</v>
      </c>
      <c r="Q211" s="37">
        <f t="shared" si="92"/>
        <v>0</v>
      </c>
      <c r="R211" s="37">
        <f t="shared" si="92"/>
        <v>0</v>
      </c>
      <c r="S211" s="37">
        <f t="shared" si="92"/>
        <v>0</v>
      </c>
      <c r="T211" s="37">
        <f t="shared" si="92"/>
        <v>0</v>
      </c>
      <c r="U211" s="37">
        <f t="shared" si="92"/>
        <v>0</v>
      </c>
      <c r="V211" s="37">
        <f t="shared" si="92"/>
        <v>0</v>
      </c>
      <c r="W211" s="37">
        <f t="shared" si="92"/>
        <v>0</v>
      </c>
      <c r="X211" s="37">
        <f t="shared" si="92"/>
        <v>0</v>
      </c>
      <c r="Y211" s="37">
        <f t="shared" ref="Y211" si="93">Y174-Y173</f>
        <v>0</v>
      </c>
      <c r="Z211" s="1"/>
      <c r="AA211" s="1"/>
      <c r="AB211" s="1"/>
      <c r="AC211" s="1"/>
    </row>
    <row r="212" spans="1:29" customFormat="1">
      <c r="A212" s="1"/>
      <c r="B212" s="1"/>
      <c r="C212" s="1"/>
      <c r="D212" s="1" t="s">
        <v>382</v>
      </c>
      <c r="E212" s="37">
        <f t="shared" ref="E212:X212" si="94">E175-E174</f>
        <v>0</v>
      </c>
      <c r="F212" s="37">
        <f t="shared" si="94"/>
        <v>0</v>
      </c>
      <c r="G212" s="37">
        <f t="shared" si="94"/>
        <v>0</v>
      </c>
      <c r="H212" s="37">
        <f t="shared" si="94"/>
        <v>0</v>
      </c>
      <c r="I212" s="37">
        <f t="shared" si="94"/>
        <v>0</v>
      </c>
      <c r="J212" s="37">
        <f t="shared" si="94"/>
        <v>0</v>
      </c>
      <c r="K212" s="37">
        <f t="shared" si="94"/>
        <v>0</v>
      </c>
      <c r="L212" s="37">
        <f t="shared" si="94"/>
        <v>0</v>
      </c>
      <c r="M212" s="37">
        <f t="shared" si="94"/>
        <v>0</v>
      </c>
      <c r="N212" s="37">
        <f t="shared" si="94"/>
        <v>0</v>
      </c>
      <c r="O212" s="37">
        <f t="shared" si="94"/>
        <v>0</v>
      </c>
      <c r="P212" s="37">
        <f t="shared" si="94"/>
        <v>0</v>
      </c>
      <c r="Q212" s="37">
        <f t="shared" si="94"/>
        <v>0</v>
      </c>
      <c r="R212" s="37">
        <f t="shared" si="94"/>
        <v>0</v>
      </c>
      <c r="S212" s="37">
        <f t="shared" si="94"/>
        <v>0</v>
      </c>
      <c r="T212" s="37">
        <f t="shared" si="94"/>
        <v>0</v>
      </c>
      <c r="U212" s="37">
        <f t="shared" si="94"/>
        <v>0</v>
      </c>
      <c r="V212" s="37">
        <f t="shared" si="94"/>
        <v>0</v>
      </c>
      <c r="W212" s="37">
        <f t="shared" si="94"/>
        <v>0</v>
      </c>
      <c r="X212" s="37">
        <f t="shared" si="94"/>
        <v>0</v>
      </c>
      <c r="Y212" s="37">
        <f t="shared" ref="Y212" si="95">Y175-Y174</f>
        <v>0</v>
      </c>
      <c r="Z212" s="1"/>
      <c r="AA212" s="1"/>
      <c r="AB212" s="1"/>
      <c r="AC212" s="1"/>
    </row>
    <row r="213" spans="1:29" customFormat="1">
      <c r="A213" s="1"/>
      <c r="B213" s="1"/>
      <c r="C213" s="1"/>
      <c r="D213" s="1" t="s">
        <v>385</v>
      </c>
      <c r="E213" s="37">
        <f t="shared" ref="E213:X213" si="96">E176-E175</f>
        <v>0</v>
      </c>
      <c r="F213" s="37">
        <f t="shared" si="96"/>
        <v>0</v>
      </c>
      <c r="G213" s="37">
        <f t="shared" si="96"/>
        <v>0</v>
      </c>
      <c r="H213" s="37">
        <f t="shared" si="96"/>
        <v>0</v>
      </c>
      <c r="I213" s="37">
        <f t="shared" si="96"/>
        <v>0</v>
      </c>
      <c r="J213" s="37">
        <f t="shared" si="96"/>
        <v>0</v>
      </c>
      <c r="K213" s="37">
        <f t="shared" si="96"/>
        <v>0</v>
      </c>
      <c r="L213" s="37">
        <f t="shared" si="96"/>
        <v>0</v>
      </c>
      <c r="M213" s="37">
        <f t="shared" si="96"/>
        <v>0</v>
      </c>
      <c r="N213" s="37">
        <f t="shared" si="96"/>
        <v>0</v>
      </c>
      <c r="O213" s="37">
        <f t="shared" si="96"/>
        <v>0</v>
      </c>
      <c r="P213" s="37">
        <f t="shared" si="96"/>
        <v>0</v>
      </c>
      <c r="Q213" s="37">
        <f t="shared" si="96"/>
        <v>0</v>
      </c>
      <c r="R213" s="37">
        <f t="shared" si="96"/>
        <v>0</v>
      </c>
      <c r="S213" s="37">
        <f t="shared" si="96"/>
        <v>0</v>
      </c>
      <c r="T213" s="37">
        <f t="shared" si="96"/>
        <v>0</v>
      </c>
      <c r="U213" s="37">
        <f t="shared" si="96"/>
        <v>0</v>
      </c>
      <c r="V213" s="37">
        <f t="shared" si="96"/>
        <v>0</v>
      </c>
      <c r="W213" s="37">
        <f t="shared" si="96"/>
        <v>0</v>
      </c>
      <c r="X213" s="37">
        <f t="shared" si="96"/>
        <v>0</v>
      </c>
      <c r="Y213" s="37">
        <f t="shared" ref="Y213" si="97">Y176-Y175</f>
        <v>0</v>
      </c>
      <c r="Z213" s="1"/>
      <c r="AA213" s="1"/>
      <c r="AB213" s="1"/>
      <c r="AC213" s="1"/>
    </row>
    <row r="214" spans="1:29" customFormat="1">
      <c r="A214" s="1"/>
      <c r="B214" s="1"/>
      <c r="C214" s="1"/>
      <c r="D214" s="1" t="s">
        <v>388</v>
      </c>
      <c r="E214" s="37">
        <f t="shared" ref="E214:X214" si="98">E177-E176</f>
        <v>0</v>
      </c>
      <c r="F214" s="37">
        <f t="shared" si="98"/>
        <v>0</v>
      </c>
      <c r="G214" s="37">
        <f t="shared" si="98"/>
        <v>0</v>
      </c>
      <c r="H214" s="37">
        <f t="shared" si="98"/>
        <v>0</v>
      </c>
      <c r="I214" s="37">
        <f t="shared" si="98"/>
        <v>0</v>
      </c>
      <c r="J214" s="37">
        <f t="shared" si="98"/>
        <v>0</v>
      </c>
      <c r="K214" s="37">
        <f t="shared" si="98"/>
        <v>0</v>
      </c>
      <c r="L214" s="37">
        <f t="shared" si="98"/>
        <v>0</v>
      </c>
      <c r="M214" s="37">
        <f t="shared" si="98"/>
        <v>0</v>
      </c>
      <c r="N214" s="37">
        <f t="shared" si="98"/>
        <v>0</v>
      </c>
      <c r="O214" s="37">
        <f t="shared" si="98"/>
        <v>0</v>
      </c>
      <c r="P214" s="37">
        <f t="shared" si="98"/>
        <v>0</v>
      </c>
      <c r="Q214" s="37">
        <f t="shared" si="98"/>
        <v>0</v>
      </c>
      <c r="R214" s="37">
        <f t="shared" si="98"/>
        <v>0</v>
      </c>
      <c r="S214" s="37">
        <f t="shared" si="98"/>
        <v>0</v>
      </c>
      <c r="T214" s="37">
        <f t="shared" si="98"/>
        <v>0</v>
      </c>
      <c r="U214" s="37">
        <f t="shared" si="98"/>
        <v>0</v>
      </c>
      <c r="V214" s="37">
        <f t="shared" si="98"/>
        <v>0</v>
      </c>
      <c r="W214" s="37">
        <f t="shared" si="98"/>
        <v>0</v>
      </c>
      <c r="X214" s="37">
        <f t="shared" si="98"/>
        <v>0</v>
      </c>
      <c r="Y214" s="37">
        <f t="shared" ref="Y214" si="99">Y177-Y176</f>
        <v>0</v>
      </c>
      <c r="Z214" s="1"/>
      <c r="AA214" s="1"/>
      <c r="AB214" s="1"/>
      <c r="AC214" s="1"/>
    </row>
    <row r="215" spans="1:29" customFormat="1">
      <c r="A215" s="1"/>
      <c r="B215" s="1"/>
      <c r="C215" s="1"/>
      <c r="D215" s="1" t="s">
        <v>391</v>
      </c>
      <c r="E215" s="37">
        <f t="shared" ref="E215:X215" si="100">E178-E177</f>
        <v>0</v>
      </c>
      <c r="F215" s="37">
        <f t="shared" si="100"/>
        <v>0</v>
      </c>
      <c r="G215" s="37">
        <f t="shared" si="100"/>
        <v>0</v>
      </c>
      <c r="H215" s="37">
        <f t="shared" si="100"/>
        <v>0</v>
      </c>
      <c r="I215" s="37">
        <f t="shared" si="100"/>
        <v>0</v>
      </c>
      <c r="J215" s="37">
        <f t="shared" si="100"/>
        <v>0</v>
      </c>
      <c r="K215" s="37">
        <f t="shared" si="100"/>
        <v>0</v>
      </c>
      <c r="L215" s="37">
        <f t="shared" si="100"/>
        <v>0</v>
      </c>
      <c r="M215" s="37">
        <f t="shared" si="100"/>
        <v>0</v>
      </c>
      <c r="N215" s="37">
        <f t="shared" si="100"/>
        <v>0</v>
      </c>
      <c r="O215" s="37">
        <f t="shared" si="100"/>
        <v>0</v>
      </c>
      <c r="P215" s="37">
        <f t="shared" si="100"/>
        <v>0</v>
      </c>
      <c r="Q215" s="37">
        <f t="shared" si="100"/>
        <v>0</v>
      </c>
      <c r="R215" s="37">
        <f t="shared" si="100"/>
        <v>0</v>
      </c>
      <c r="S215" s="37">
        <f t="shared" si="100"/>
        <v>0</v>
      </c>
      <c r="T215" s="37">
        <f t="shared" si="100"/>
        <v>0</v>
      </c>
      <c r="U215" s="37">
        <f t="shared" si="100"/>
        <v>0</v>
      </c>
      <c r="V215" s="37">
        <f t="shared" si="100"/>
        <v>0</v>
      </c>
      <c r="W215" s="37">
        <f t="shared" si="100"/>
        <v>0</v>
      </c>
      <c r="X215" s="37">
        <f t="shared" si="100"/>
        <v>0</v>
      </c>
      <c r="Y215" s="37">
        <f t="shared" ref="Y215" si="101">Y178-Y177</f>
        <v>0</v>
      </c>
      <c r="Z215" s="1"/>
      <c r="AA215" s="1"/>
      <c r="AB215" s="1"/>
      <c r="AC215" s="1"/>
    </row>
    <row r="216" spans="1:29" customFormat="1">
      <c r="A216" s="1"/>
      <c r="B216" s="1"/>
      <c r="C216" s="1"/>
      <c r="D216" s="1" t="s">
        <v>394</v>
      </c>
      <c r="E216" s="37">
        <f t="shared" ref="E216:X216" si="102">E179-E178</f>
        <v>2.6139456405491757E-3</v>
      </c>
      <c r="F216" s="37">
        <f t="shared" si="102"/>
        <v>0</v>
      </c>
      <c r="G216" s="37">
        <f t="shared" si="102"/>
        <v>0</v>
      </c>
      <c r="H216" s="37">
        <f t="shared" si="102"/>
        <v>0</v>
      </c>
      <c r="I216" s="37">
        <f>I179-I178</f>
        <v>0</v>
      </c>
      <c r="J216" s="37">
        <f t="shared" si="102"/>
        <v>0</v>
      </c>
      <c r="K216" s="37">
        <f t="shared" si="102"/>
        <v>0</v>
      </c>
      <c r="L216" s="37">
        <f t="shared" si="102"/>
        <v>0</v>
      </c>
      <c r="M216" s="37">
        <f t="shared" si="102"/>
        <v>0</v>
      </c>
      <c r="N216" s="37">
        <f t="shared" si="102"/>
        <v>0</v>
      </c>
      <c r="O216" s="37">
        <f t="shared" si="102"/>
        <v>0</v>
      </c>
      <c r="P216" s="37">
        <f t="shared" si="102"/>
        <v>0</v>
      </c>
      <c r="Q216" s="37">
        <f t="shared" si="102"/>
        <v>0</v>
      </c>
      <c r="R216" s="37">
        <f t="shared" si="102"/>
        <v>0</v>
      </c>
      <c r="S216" s="37">
        <f t="shared" si="102"/>
        <v>0</v>
      </c>
      <c r="T216" s="37">
        <f t="shared" si="102"/>
        <v>0</v>
      </c>
      <c r="U216" s="37">
        <f t="shared" si="102"/>
        <v>0</v>
      </c>
      <c r="V216" s="37">
        <f t="shared" si="102"/>
        <v>0</v>
      </c>
      <c r="W216" s="37">
        <f t="shared" si="102"/>
        <v>0</v>
      </c>
      <c r="X216" s="37">
        <f t="shared" si="102"/>
        <v>0</v>
      </c>
      <c r="Y216" s="37">
        <f t="shared" ref="Y216" si="103">Y179-Y178</f>
        <v>1.1817155941351132E-2</v>
      </c>
      <c r="Z216" s="1"/>
      <c r="AA216" s="1"/>
      <c r="AB216" s="1"/>
      <c r="AC216" s="1"/>
    </row>
    <row r="217" spans="1:29" customForma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ustomFormat="1" ht="15">
      <c r="A218" s="1"/>
      <c r="B218" s="1"/>
      <c r="C218" s="1"/>
      <c r="D218" s="76" t="s">
        <v>146</v>
      </c>
      <c r="E218" s="77">
        <f t="shared" ref="E218:X218" si="104">SUM(E185:E216)</f>
        <v>9.508634918805372</v>
      </c>
      <c r="F218" s="77">
        <f t="shared" si="104"/>
        <v>0</v>
      </c>
      <c r="G218" s="77">
        <f t="shared" si="104"/>
        <v>0</v>
      </c>
      <c r="H218" s="77">
        <f t="shared" si="104"/>
        <v>0</v>
      </c>
      <c r="I218" s="77">
        <f t="shared" si="104"/>
        <v>0</v>
      </c>
      <c r="J218" s="77">
        <f t="shared" si="104"/>
        <v>0</v>
      </c>
      <c r="K218" s="77">
        <f t="shared" si="104"/>
        <v>0</v>
      </c>
      <c r="L218" s="77">
        <f t="shared" si="104"/>
        <v>0</v>
      </c>
      <c r="M218" s="77">
        <f t="shared" si="104"/>
        <v>0</v>
      </c>
      <c r="N218" s="77">
        <f t="shared" si="104"/>
        <v>0</v>
      </c>
      <c r="O218" s="77">
        <f t="shared" si="104"/>
        <v>0</v>
      </c>
      <c r="P218" s="77">
        <f t="shared" si="104"/>
        <v>0</v>
      </c>
      <c r="Q218" s="77">
        <f t="shared" si="104"/>
        <v>0</v>
      </c>
      <c r="R218" s="77">
        <f t="shared" si="104"/>
        <v>0</v>
      </c>
      <c r="S218" s="77">
        <f t="shared" si="104"/>
        <v>0</v>
      </c>
      <c r="T218" s="77">
        <f t="shared" si="104"/>
        <v>0</v>
      </c>
      <c r="U218" s="77">
        <f t="shared" si="104"/>
        <v>0</v>
      </c>
      <c r="V218" s="77">
        <f t="shared" si="104"/>
        <v>0</v>
      </c>
      <c r="W218" s="77">
        <f t="shared" si="104"/>
        <v>0</v>
      </c>
      <c r="X218" s="77">
        <f t="shared" si="104"/>
        <v>0</v>
      </c>
      <c r="Y218" s="77"/>
      <c r="AA218" s="1"/>
      <c r="AB218" s="1"/>
      <c r="AC218" s="1"/>
    </row>
    <row r="219" spans="1:29" ht="15">
      <c r="D219" s="76" t="s">
        <v>147</v>
      </c>
      <c r="E219" s="77">
        <f>E218</f>
        <v>9.508634918805372</v>
      </c>
      <c r="F219" s="77">
        <f t="shared" ref="F219:X219" si="105">E219+F218</f>
        <v>9.508634918805372</v>
      </c>
      <c r="G219" s="77">
        <f t="shared" si="105"/>
        <v>9.508634918805372</v>
      </c>
      <c r="H219" s="77">
        <f t="shared" si="105"/>
        <v>9.508634918805372</v>
      </c>
      <c r="I219" s="77">
        <f t="shared" si="105"/>
        <v>9.508634918805372</v>
      </c>
      <c r="J219" s="77">
        <f t="shared" si="105"/>
        <v>9.508634918805372</v>
      </c>
      <c r="K219" s="77">
        <f t="shared" si="105"/>
        <v>9.508634918805372</v>
      </c>
      <c r="L219" s="77">
        <f t="shared" si="105"/>
        <v>9.508634918805372</v>
      </c>
      <c r="M219" s="77">
        <f t="shared" si="105"/>
        <v>9.508634918805372</v>
      </c>
      <c r="N219" s="77">
        <f t="shared" si="105"/>
        <v>9.508634918805372</v>
      </c>
      <c r="O219" s="77">
        <f t="shared" si="105"/>
        <v>9.508634918805372</v>
      </c>
      <c r="P219" s="77">
        <f t="shared" si="105"/>
        <v>9.508634918805372</v>
      </c>
      <c r="Q219" s="77">
        <f t="shared" si="105"/>
        <v>9.508634918805372</v>
      </c>
      <c r="R219" s="77">
        <f t="shared" si="105"/>
        <v>9.508634918805372</v>
      </c>
      <c r="S219" s="77">
        <f t="shared" si="105"/>
        <v>9.508634918805372</v>
      </c>
      <c r="T219" s="77">
        <f t="shared" si="105"/>
        <v>9.508634918805372</v>
      </c>
      <c r="U219" s="77">
        <f t="shared" si="105"/>
        <v>9.508634918805372</v>
      </c>
      <c r="V219" s="77">
        <f t="shared" si="105"/>
        <v>9.508634918805372</v>
      </c>
      <c r="W219" s="77">
        <f t="shared" si="105"/>
        <v>9.508634918805372</v>
      </c>
      <c r="X219" s="77">
        <f t="shared" si="105"/>
        <v>9.508634918805372</v>
      </c>
      <c r="Y219" s="77">
        <f>SUM(Y185:Y216)</f>
        <v>42.986747651438726</v>
      </c>
      <c r="Z219"/>
    </row>
    <row r="220" spans="1:29">
      <c r="E220" s="58"/>
      <c r="F220" s="86"/>
      <c r="G220" s="86"/>
      <c r="H220" s="86"/>
      <c r="I220" s="86"/>
      <c r="J220" s="86"/>
      <c r="K220" s="86"/>
      <c r="L220" s="86"/>
      <c r="M220" s="86"/>
      <c r="N220" s="86"/>
      <c r="O220" s="86"/>
      <c r="P220" s="86"/>
      <c r="Q220" s="86"/>
      <c r="R220" s="86"/>
      <c r="S220" s="86"/>
      <c r="T220" s="86"/>
      <c r="U220" s="86"/>
      <c r="V220" s="86"/>
      <c r="W220" s="86"/>
      <c r="X220" s="86"/>
      <c r="Y220" s="86"/>
      <c r="Z220" s="86"/>
    </row>
    <row r="221" spans="1:29">
      <c r="E221" s="58"/>
      <c r="F221" s="86"/>
      <c r="G221" s="86"/>
      <c r="H221" s="86"/>
      <c r="I221" s="86"/>
      <c r="J221" s="86"/>
      <c r="K221" s="86"/>
      <c r="L221" s="86"/>
      <c r="M221" s="86"/>
      <c r="N221" s="86"/>
      <c r="O221" s="86"/>
      <c r="P221" s="86"/>
      <c r="Q221" s="86"/>
      <c r="R221" s="86"/>
      <c r="S221" s="86"/>
      <c r="T221" s="86"/>
      <c r="U221" s="86"/>
      <c r="V221" s="86"/>
      <c r="W221" s="86"/>
      <c r="X221" s="86"/>
      <c r="Y221" s="86"/>
      <c r="Z221" s="86"/>
    </row>
    <row r="222" spans="1:29" ht="15">
      <c r="A222" s="63" t="str">
        <f>CONCATENATE("ACHIEVABLE SAVINGS - CUMULATIVE BY MILL BIN - FOR MEASURE - ",D223)</f>
        <v>ACHIEVABLE SAVINGS - CUMULATIVE BY MILL BIN - FOR MEASURE - Lighting</v>
      </c>
      <c r="D222" s="1" t="s">
        <v>185</v>
      </c>
      <c r="E222" s="74">
        <f>E183</f>
        <v>2016</v>
      </c>
      <c r="F222" s="67">
        <f t="shared" ref="F222:X222" si="106">F183</f>
        <v>2017</v>
      </c>
      <c r="G222" s="67">
        <f t="shared" si="106"/>
        <v>2018</v>
      </c>
      <c r="H222" s="67">
        <f t="shared" si="106"/>
        <v>2019</v>
      </c>
      <c r="I222" s="67">
        <f t="shared" si="106"/>
        <v>2020</v>
      </c>
      <c r="J222" s="67">
        <f t="shared" si="106"/>
        <v>2021</v>
      </c>
      <c r="K222" s="67">
        <f t="shared" si="106"/>
        <v>2022</v>
      </c>
      <c r="L222" s="67">
        <f t="shared" si="106"/>
        <v>2023</v>
      </c>
      <c r="M222" s="67">
        <f t="shared" si="106"/>
        <v>2024</v>
      </c>
      <c r="N222" s="67">
        <f t="shared" si="106"/>
        <v>2025</v>
      </c>
      <c r="O222" s="67">
        <f t="shared" si="106"/>
        <v>2026</v>
      </c>
      <c r="P222" s="67">
        <f t="shared" si="106"/>
        <v>2027</v>
      </c>
      <c r="Q222" s="67">
        <f t="shared" si="106"/>
        <v>2028</v>
      </c>
      <c r="R222" s="67">
        <f t="shared" si="106"/>
        <v>2029</v>
      </c>
      <c r="S222" s="67">
        <f t="shared" si="106"/>
        <v>2030</v>
      </c>
      <c r="T222" s="67">
        <f t="shared" si="106"/>
        <v>2031</v>
      </c>
      <c r="U222" s="67">
        <f t="shared" si="106"/>
        <v>2032</v>
      </c>
      <c r="V222" s="67">
        <f t="shared" si="106"/>
        <v>2033</v>
      </c>
      <c r="W222" s="67">
        <f t="shared" si="106"/>
        <v>2034</v>
      </c>
      <c r="X222" s="67">
        <f t="shared" si="106"/>
        <v>2035</v>
      </c>
      <c r="Y222" s="68"/>
    </row>
    <row r="223" spans="1:29" ht="15">
      <c r="D223" s="66" t="str">
        <f>$C$8</f>
        <v>Lighting</v>
      </c>
      <c r="E223" s="75" t="str">
        <f>CONCATENATE($E$78,"_",E$11)</f>
        <v>aMW_2016</v>
      </c>
      <c r="F223" s="69" t="str">
        <f t="shared" ref="F223:X223" si="107">CONCATENATE($E$78,"_",F$11)</f>
        <v>aMW_2017</v>
      </c>
      <c r="G223" s="69" t="str">
        <f t="shared" si="107"/>
        <v>aMW_2018</v>
      </c>
      <c r="H223" s="69" t="str">
        <f t="shared" si="107"/>
        <v>aMW_2019</v>
      </c>
      <c r="I223" s="69" t="str">
        <f t="shared" si="107"/>
        <v>aMW_2020</v>
      </c>
      <c r="J223" s="69" t="str">
        <f t="shared" si="107"/>
        <v>aMW_2021</v>
      </c>
      <c r="K223" s="69" t="str">
        <f t="shared" si="107"/>
        <v>aMW_2022</v>
      </c>
      <c r="L223" s="69" t="str">
        <f t="shared" si="107"/>
        <v>aMW_2023</v>
      </c>
      <c r="M223" s="69" t="str">
        <f t="shared" si="107"/>
        <v>aMW_2024</v>
      </c>
      <c r="N223" s="69" t="str">
        <f t="shared" si="107"/>
        <v>aMW_2025</v>
      </c>
      <c r="O223" s="69" t="str">
        <f t="shared" si="107"/>
        <v>aMW_2026</v>
      </c>
      <c r="P223" s="69" t="str">
        <f t="shared" si="107"/>
        <v>aMW_2027</v>
      </c>
      <c r="Q223" s="69" t="str">
        <f t="shared" si="107"/>
        <v>aMW_2028</v>
      </c>
      <c r="R223" s="69" t="str">
        <f t="shared" si="107"/>
        <v>aMW_2029</v>
      </c>
      <c r="S223" s="69" t="str">
        <f t="shared" si="107"/>
        <v>aMW_2030</v>
      </c>
      <c r="T223" s="69" t="str">
        <f t="shared" si="107"/>
        <v>aMW_2031</v>
      </c>
      <c r="U223" s="69" t="str">
        <f t="shared" si="107"/>
        <v>aMW_2032</v>
      </c>
      <c r="V223" s="69" t="str">
        <f t="shared" si="107"/>
        <v>aMW_2033</v>
      </c>
      <c r="W223" s="69" t="str">
        <f t="shared" si="107"/>
        <v>aMW_2034</v>
      </c>
      <c r="X223" s="69" t="str">
        <f t="shared" si="107"/>
        <v>aMW_2035</v>
      </c>
      <c r="Y223" s="70"/>
    </row>
    <row r="224" spans="1:29">
      <c r="D224" s="1" t="s">
        <v>78</v>
      </c>
      <c r="E224" s="87">
        <f t="shared" ref="E224:E255" si="108">E185</f>
        <v>5.7006928262644472</v>
      </c>
      <c r="F224" s="88">
        <f t="shared" ref="F224:X224" si="109">E224+F185</f>
        <v>5.7006928262644472</v>
      </c>
      <c r="G224" s="88">
        <f t="shared" si="109"/>
        <v>5.7006928262644472</v>
      </c>
      <c r="H224" s="88">
        <f t="shared" si="109"/>
        <v>5.7006928262644472</v>
      </c>
      <c r="I224" s="88">
        <f t="shared" si="109"/>
        <v>5.7006928262644472</v>
      </c>
      <c r="J224" s="88">
        <f t="shared" si="109"/>
        <v>5.7006928262644472</v>
      </c>
      <c r="K224" s="88">
        <f t="shared" si="109"/>
        <v>5.7006928262644472</v>
      </c>
      <c r="L224" s="88">
        <f t="shared" si="109"/>
        <v>5.7006928262644472</v>
      </c>
      <c r="M224" s="88">
        <f t="shared" si="109"/>
        <v>5.7006928262644472</v>
      </c>
      <c r="N224" s="88">
        <f t="shared" si="109"/>
        <v>5.7006928262644472</v>
      </c>
      <c r="O224" s="88">
        <f t="shared" si="109"/>
        <v>5.7006928262644472</v>
      </c>
      <c r="P224" s="88">
        <f t="shared" si="109"/>
        <v>5.7006928262644472</v>
      </c>
      <c r="Q224" s="88">
        <f t="shared" si="109"/>
        <v>5.7006928262644472</v>
      </c>
      <c r="R224" s="88">
        <f t="shared" si="109"/>
        <v>5.7006928262644472</v>
      </c>
      <c r="S224" s="88">
        <f t="shared" si="109"/>
        <v>5.7006928262644472</v>
      </c>
      <c r="T224" s="88">
        <f t="shared" si="109"/>
        <v>5.7006928262644472</v>
      </c>
      <c r="U224" s="88">
        <f t="shared" si="109"/>
        <v>5.7006928262644472</v>
      </c>
      <c r="V224" s="88">
        <f t="shared" si="109"/>
        <v>5.7006928262644472</v>
      </c>
      <c r="W224" s="88">
        <f t="shared" si="109"/>
        <v>5.7006928262644472</v>
      </c>
      <c r="X224" s="88">
        <f t="shared" si="109"/>
        <v>5.7006928262644472</v>
      </c>
      <c r="Y224" s="88"/>
    </row>
    <row r="225" spans="4:25">
      <c r="D225" s="1" t="s">
        <v>785</v>
      </c>
      <c r="E225" s="87">
        <f t="shared" si="108"/>
        <v>0</v>
      </c>
      <c r="F225" s="88">
        <f t="shared" ref="F225:F255" si="110">E225+F186</f>
        <v>0</v>
      </c>
      <c r="G225" s="88">
        <f t="shared" ref="G225:G255" si="111">F225+G186</f>
        <v>0</v>
      </c>
      <c r="H225" s="88">
        <f t="shared" ref="H225:H255" si="112">G225+H186</f>
        <v>0</v>
      </c>
      <c r="I225" s="88">
        <f t="shared" ref="I225:I255" si="113">H225+I186</f>
        <v>0</v>
      </c>
      <c r="J225" s="88">
        <f t="shared" ref="J225:J255" si="114">I225+J186</f>
        <v>0</v>
      </c>
      <c r="K225" s="88">
        <f t="shared" ref="K225:K255" si="115">J225+K186</f>
        <v>0</v>
      </c>
      <c r="L225" s="88">
        <f t="shared" ref="L225:L255" si="116">K225+L186</f>
        <v>0</v>
      </c>
      <c r="M225" s="88">
        <f t="shared" ref="M225:M255" si="117">L225+M186</f>
        <v>0</v>
      </c>
      <c r="N225" s="88">
        <f t="shared" ref="N225:N255" si="118">M225+N186</f>
        <v>0</v>
      </c>
      <c r="O225" s="88">
        <f t="shared" ref="O225:O255" si="119">N225+O186</f>
        <v>0</v>
      </c>
      <c r="P225" s="88">
        <f t="shared" ref="P225:P255" si="120">O225+P186</f>
        <v>0</v>
      </c>
      <c r="Q225" s="88">
        <f t="shared" ref="Q225:Q255" si="121">P225+Q186</f>
        <v>0</v>
      </c>
      <c r="R225" s="88">
        <f t="shared" ref="R225:R255" si="122">Q225+R186</f>
        <v>0</v>
      </c>
      <c r="S225" s="88">
        <f t="shared" ref="S225:S255" si="123">R225+S186</f>
        <v>0</v>
      </c>
      <c r="T225" s="88">
        <f t="shared" ref="T225:T255" si="124">S225+T186</f>
        <v>0</v>
      </c>
      <c r="U225" s="88">
        <f t="shared" ref="U225:U255" si="125">T225+U186</f>
        <v>0</v>
      </c>
      <c r="V225" s="88">
        <f t="shared" ref="V225:V255" si="126">U225+V186</f>
        <v>0</v>
      </c>
      <c r="W225" s="88">
        <f t="shared" ref="W225:W255" si="127">V225+W186</f>
        <v>0</v>
      </c>
      <c r="X225" s="88">
        <f t="shared" ref="X225:X255" si="128">W225+X186</f>
        <v>0</v>
      </c>
      <c r="Y225" s="88"/>
    </row>
    <row r="226" spans="4:25">
      <c r="D226" s="1" t="s">
        <v>84</v>
      </c>
      <c r="E226" s="87">
        <f t="shared" si="108"/>
        <v>0</v>
      </c>
      <c r="F226" s="88">
        <f t="shared" si="110"/>
        <v>0</v>
      </c>
      <c r="G226" s="88">
        <f t="shared" si="111"/>
        <v>0</v>
      </c>
      <c r="H226" s="88">
        <f t="shared" si="112"/>
        <v>0</v>
      </c>
      <c r="I226" s="88">
        <f t="shared" si="113"/>
        <v>0</v>
      </c>
      <c r="J226" s="88">
        <f t="shared" si="114"/>
        <v>0</v>
      </c>
      <c r="K226" s="88">
        <f t="shared" si="115"/>
        <v>0</v>
      </c>
      <c r="L226" s="88">
        <f t="shared" si="116"/>
        <v>0</v>
      </c>
      <c r="M226" s="88">
        <f t="shared" si="117"/>
        <v>0</v>
      </c>
      <c r="N226" s="88">
        <f t="shared" si="118"/>
        <v>0</v>
      </c>
      <c r="O226" s="88">
        <f t="shared" si="119"/>
        <v>0</v>
      </c>
      <c r="P226" s="88">
        <f t="shared" si="120"/>
        <v>0</v>
      </c>
      <c r="Q226" s="88">
        <f t="shared" si="121"/>
        <v>0</v>
      </c>
      <c r="R226" s="88">
        <f t="shared" si="122"/>
        <v>0</v>
      </c>
      <c r="S226" s="88">
        <f t="shared" si="123"/>
        <v>0</v>
      </c>
      <c r="T226" s="88">
        <f t="shared" si="124"/>
        <v>0</v>
      </c>
      <c r="U226" s="88">
        <f t="shared" si="125"/>
        <v>0</v>
      </c>
      <c r="V226" s="88">
        <f t="shared" si="126"/>
        <v>0</v>
      </c>
      <c r="W226" s="88">
        <f t="shared" si="127"/>
        <v>0</v>
      </c>
      <c r="X226" s="88">
        <f t="shared" si="128"/>
        <v>0</v>
      </c>
      <c r="Y226" s="88"/>
    </row>
    <row r="227" spans="4:25">
      <c r="D227" s="1" t="s">
        <v>87</v>
      </c>
      <c r="E227" s="87">
        <f t="shared" si="108"/>
        <v>0</v>
      </c>
      <c r="F227" s="88">
        <f t="shared" si="110"/>
        <v>0</v>
      </c>
      <c r="G227" s="88">
        <f t="shared" si="111"/>
        <v>0</v>
      </c>
      <c r="H227" s="88">
        <f t="shared" si="112"/>
        <v>0</v>
      </c>
      <c r="I227" s="88">
        <f t="shared" si="113"/>
        <v>0</v>
      </c>
      <c r="J227" s="88">
        <f t="shared" si="114"/>
        <v>0</v>
      </c>
      <c r="K227" s="88">
        <f t="shared" si="115"/>
        <v>0</v>
      </c>
      <c r="L227" s="88">
        <f t="shared" si="116"/>
        <v>0</v>
      </c>
      <c r="M227" s="88">
        <f t="shared" si="117"/>
        <v>0</v>
      </c>
      <c r="N227" s="88">
        <f t="shared" si="118"/>
        <v>0</v>
      </c>
      <c r="O227" s="88">
        <f t="shared" si="119"/>
        <v>0</v>
      </c>
      <c r="P227" s="88">
        <f t="shared" si="120"/>
        <v>0</v>
      </c>
      <c r="Q227" s="88">
        <f t="shared" si="121"/>
        <v>0</v>
      </c>
      <c r="R227" s="88">
        <f t="shared" si="122"/>
        <v>0</v>
      </c>
      <c r="S227" s="88">
        <f t="shared" si="123"/>
        <v>0</v>
      </c>
      <c r="T227" s="88">
        <f t="shared" si="124"/>
        <v>0</v>
      </c>
      <c r="U227" s="88">
        <f t="shared" si="125"/>
        <v>0</v>
      </c>
      <c r="V227" s="88">
        <f t="shared" si="126"/>
        <v>0</v>
      </c>
      <c r="W227" s="88">
        <f t="shared" si="127"/>
        <v>0</v>
      </c>
      <c r="X227" s="88">
        <f t="shared" si="128"/>
        <v>0</v>
      </c>
      <c r="Y227" s="88"/>
    </row>
    <row r="228" spans="4:25">
      <c r="D228" s="1" t="s">
        <v>90</v>
      </c>
      <c r="E228" s="87">
        <f t="shared" si="108"/>
        <v>0</v>
      </c>
      <c r="F228" s="88">
        <f t="shared" si="110"/>
        <v>0</v>
      </c>
      <c r="G228" s="88">
        <f t="shared" si="111"/>
        <v>0</v>
      </c>
      <c r="H228" s="88">
        <f t="shared" si="112"/>
        <v>0</v>
      </c>
      <c r="I228" s="88">
        <f t="shared" si="113"/>
        <v>0</v>
      </c>
      <c r="J228" s="88">
        <f t="shared" si="114"/>
        <v>0</v>
      </c>
      <c r="K228" s="88">
        <f t="shared" si="115"/>
        <v>0</v>
      </c>
      <c r="L228" s="88">
        <f t="shared" si="116"/>
        <v>0</v>
      </c>
      <c r="M228" s="88">
        <f t="shared" si="117"/>
        <v>0</v>
      </c>
      <c r="N228" s="88">
        <f t="shared" si="118"/>
        <v>0</v>
      </c>
      <c r="O228" s="88">
        <f t="shared" si="119"/>
        <v>0</v>
      </c>
      <c r="P228" s="88">
        <f t="shared" si="120"/>
        <v>0</v>
      </c>
      <c r="Q228" s="88">
        <f t="shared" si="121"/>
        <v>0</v>
      </c>
      <c r="R228" s="88">
        <f t="shared" si="122"/>
        <v>0</v>
      </c>
      <c r="S228" s="88">
        <f t="shared" si="123"/>
        <v>0</v>
      </c>
      <c r="T228" s="88">
        <f t="shared" si="124"/>
        <v>0</v>
      </c>
      <c r="U228" s="88">
        <f t="shared" si="125"/>
        <v>0</v>
      </c>
      <c r="V228" s="88">
        <f t="shared" si="126"/>
        <v>0</v>
      </c>
      <c r="W228" s="88">
        <f t="shared" si="127"/>
        <v>0</v>
      </c>
      <c r="X228" s="88">
        <f t="shared" si="128"/>
        <v>0</v>
      </c>
      <c r="Y228" s="88"/>
    </row>
    <row r="229" spans="4:25">
      <c r="D229" s="1" t="s">
        <v>93</v>
      </c>
      <c r="E229" s="87">
        <f t="shared" si="108"/>
        <v>0.10360697543407849</v>
      </c>
      <c r="F229" s="88">
        <f t="shared" si="110"/>
        <v>0.10360697543407849</v>
      </c>
      <c r="G229" s="88">
        <f t="shared" si="111"/>
        <v>0.10360697543407849</v>
      </c>
      <c r="H229" s="88">
        <f t="shared" si="112"/>
        <v>0.10360697543407849</v>
      </c>
      <c r="I229" s="88">
        <f t="shared" si="113"/>
        <v>0.10360697543407849</v>
      </c>
      <c r="J229" s="88">
        <f t="shared" si="114"/>
        <v>0.10360697543407849</v>
      </c>
      <c r="K229" s="88">
        <f t="shared" si="115"/>
        <v>0.10360697543407849</v>
      </c>
      <c r="L229" s="88">
        <f t="shared" si="116"/>
        <v>0.10360697543407849</v>
      </c>
      <c r="M229" s="88">
        <f t="shared" si="117"/>
        <v>0.10360697543407849</v>
      </c>
      <c r="N229" s="88">
        <f t="shared" si="118"/>
        <v>0.10360697543407849</v>
      </c>
      <c r="O229" s="88">
        <f t="shared" si="119"/>
        <v>0.10360697543407849</v>
      </c>
      <c r="P229" s="88">
        <f t="shared" si="120"/>
        <v>0.10360697543407849</v>
      </c>
      <c r="Q229" s="88">
        <f t="shared" si="121"/>
        <v>0.10360697543407849</v>
      </c>
      <c r="R229" s="88">
        <f t="shared" si="122"/>
        <v>0.10360697543407849</v>
      </c>
      <c r="S229" s="88">
        <f t="shared" si="123"/>
        <v>0.10360697543407849</v>
      </c>
      <c r="T229" s="88">
        <f t="shared" si="124"/>
        <v>0.10360697543407849</v>
      </c>
      <c r="U229" s="88">
        <f t="shared" si="125"/>
        <v>0.10360697543407849</v>
      </c>
      <c r="V229" s="88">
        <f t="shared" si="126"/>
        <v>0.10360697543407849</v>
      </c>
      <c r="W229" s="88">
        <f t="shared" si="127"/>
        <v>0.10360697543407849</v>
      </c>
      <c r="X229" s="88">
        <f t="shared" si="128"/>
        <v>0.10360697543407849</v>
      </c>
      <c r="Y229" s="88"/>
    </row>
    <row r="230" spans="4:25">
      <c r="D230" s="1" t="s">
        <v>96</v>
      </c>
      <c r="E230" s="87">
        <f t="shared" si="108"/>
        <v>3.1204254549336303</v>
      </c>
      <c r="F230" s="88">
        <f t="shared" si="110"/>
        <v>3.1204254549336303</v>
      </c>
      <c r="G230" s="88">
        <f t="shared" si="111"/>
        <v>3.1204254549336303</v>
      </c>
      <c r="H230" s="88">
        <f t="shared" si="112"/>
        <v>3.1204254549336303</v>
      </c>
      <c r="I230" s="88">
        <f t="shared" si="113"/>
        <v>3.1204254549336303</v>
      </c>
      <c r="J230" s="88">
        <f t="shared" si="114"/>
        <v>3.1204254549336303</v>
      </c>
      <c r="K230" s="88">
        <f t="shared" si="115"/>
        <v>3.1204254549336303</v>
      </c>
      <c r="L230" s="88">
        <f t="shared" si="116"/>
        <v>3.1204254549336303</v>
      </c>
      <c r="M230" s="88">
        <f t="shared" si="117"/>
        <v>3.1204254549336303</v>
      </c>
      <c r="N230" s="88">
        <f t="shared" si="118"/>
        <v>3.1204254549336303</v>
      </c>
      <c r="O230" s="88">
        <f t="shared" si="119"/>
        <v>3.1204254549336303</v>
      </c>
      <c r="P230" s="88">
        <f t="shared" si="120"/>
        <v>3.1204254549336303</v>
      </c>
      <c r="Q230" s="88">
        <f t="shared" si="121"/>
        <v>3.1204254549336303</v>
      </c>
      <c r="R230" s="88">
        <f t="shared" si="122"/>
        <v>3.1204254549336303</v>
      </c>
      <c r="S230" s="88">
        <f t="shared" si="123"/>
        <v>3.1204254549336303</v>
      </c>
      <c r="T230" s="88">
        <f t="shared" si="124"/>
        <v>3.1204254549336303</v>
      </c>
      <c r="U230" s="88">
        <f t="shared" si="125"/>
        <v>3.1204254549336303</v>
      </c>
      <c r="V230" s="88">
        <f t="shared" si="126"/>
        <v>3.1204254549336303</v>
      </c>
      <c r="W230" s="88">
        <f t="shared" si="127"/>
        <v>3.1204254549336303</v>
      </c>
      <c r="X230" s="88">
        <f t="shared" si="128"/>
        <v>3.1204254549336303</v>
      </c>
      <c r="Y230" s="88"/>
    </row>
    <row r="231" spans="4:25">
      <c r="D231" s="1" t="s">
        <v>99</v>
      </c>
      <c r="E231" s="87">
        <f t="shared" si="108"/>
        <v>0</v>
      </c>
      <c r="F231" s="88">
        <f t="shared" si="110"/>
        <v>0</v>
      </c>
      <c r="G231" s="88">
        <f t="shared" si="111"/>
        <v>0</v>
      </c>
      <c r="H231" s="88">
        <f t="shared" si="112"/>
        <v>0</v>
      </c>
      <c r="I231" s="88">
        <f t="shared" si="113"/>
        <v>0</v>
      </c>
      <c r="J231" s="88">
        <f t="shared" si="114"/>
        <v>0</v>
      </c>
      <c r="K231" s="88">
        <f t="shared" si="115"/>
        <v>0</v>
      </c>
      <c r="L231" s="88">
        <f t="shared" si="116"/>
        <v>0</v>
      </c>
      <c r="M231" s="88">
        <f t="shared" si="117"/>
        <v>0</v>
      </c>
      <c r="N231" s="88">
        <f t="shared" si="118"/>
        <v>0</v>
      </c>
      <c r="O231" s="88">
        <f t="shared" si="119"/>
        <v>0</v>
      </c>
      <c r="P231" s="88">
        <f t="shared" si="120"/>
        <v>0</v>
      </c>
      <c r="Q231" s="88">
        <f t="shared" si="121"/>
        <v>0</v>
      </c>
      <c r="R231" s="88">
        <f t="shared" si="122"/>
        <v>0</v>
      </c>
      <c r="S231" s="88">
        <f t="shared" si="123"/>
        <v>0</v>
      </c>
      <c r="T231" s="88">
        <f t="shared" si="124"/>
        <v>0</v>
      </c>
      <c r="U231" s="88">
        <f t="shared" si="125"/>
        <v>0</v>
      </c>
      <c r="V231" s="88">
        <f t="shared" si="126"/>
        <v>0</v>
      </c>
      <c r="W231" s="88">
        <f t="shared" si="127"/>
        <v>0</v>
      </c>
      <c r="X231" s="88">
        <f t="shared" si="128"/>
        <v>0</v>
      </c>
      <c r="Y231" s="88"/>
    </row>
    <row r="232" spans="4:25">
      <c r="D232" s="1" t="s">
        <v>102</v>
      </c>
      <c r="E232" s="87">
        <f t="shared" si="108"/>
        <v>0</v>
      </c>
      <c r="F232" s="88">
        <f t="shared" si="110"/>
        <v>0</v>
      </c>
      <c r="G232" s="88">
        <f t="shared" si="111"/>
        <v>0</v>
      </c>
      <c r="H232" s="88">
        <f t="shared" si="112"/>
        <v>0</v>
      </c>
      <c r="I232" s="88">
        <f t="shared" si="113"/>
        <v>0</v>
      </c>
      <c r="J232" s="88">
        <f t="shared" si="114"/>
        <v>0</v>
      </c>
      <c r="K232" s="88">
        <f t="shared" si="115"/>
        <v>0</v>
      </c>
      <c r="L232" s="88">
        <f t="shared" si="116"/>
        <v>0</v>
      </c>
      <c r="M232" s="88">
        <f t="shared" si="117"/>
        <v>0</v>
      </c>
      <c r="N232" s="88">
        <f t="shared" si="118"/>
        <v>0</v>
      </c>
      <c r="O232" s="88">
        <f t="shared" si="119"/>
        <v>0</v>
      </c>
      <c r="P232" s="88">
        <f t="shared" si="120"/>
        <v>0</v>
      </c>
      <c r="Q232" s="88">
        <f t="shared" si="121"/>
        <v>0</v>
      </c>
      <c r="R232" s="88">
        <f t="shared" si="122"/>
        <v>0</v>
      </c>
      <c r="S232" s="88">
        <f t="shared" si="123"/>
        <v>0</v>
      </c>
      <c r="T232" s="88">
        <f t="shared" si="124"/>
        <v>0</v>
      </c>
      <c r="U232" s="88">
        <f t="shared" si="125"/>
        <v>0</v>
      </c>
      <c r="V232" s="88">
        <f t="shared" si="126"/>
        <v>0</v>
      </c>
      <c r="W232" s="88">
        <f t="shared" si="127"/>
        <v>0</v>
      </c>
      <c r="X232" s="88">
        <f t="shared" si="128"/>
        <v>0</v>
      </c>
      <c r="Y232" s="88"/>
    </row>
    <row r="233" spans="4:25">
      <c r="D233" s="1" t="s">
        <v>105</v>
      </c>
      <c r="E233" s="87">
        <f t="shared" si="108"/>
        <v>0</v>
      </c>
      <c r="F233" s="88">
        <f t="shared" si="110"/>
        <v>0</v>
      </c>
      <c r="G233" s="88">
        <f t="shared" si="111"/>
        <v>0</v>
      </c>
      <c r="H233" s="88">
        <f t="shared" si="112"/>
        <v>0</v>
      </c>
      <c r="I233" s="88">
        <f t="shared" si="113"/>
        <v>0</v>
      </c>
      <c r="J233" s="88">
        <f t="shared" si="114"/>
        <v>0</v>
      </c>
      <c r="K233" s="88">
        <f t="shared" si="115"/>
        <v>0</v>
      </c>
      <c r="L233" s="88">
        <f t="shared" si="116"/>
        <v>0</v>
      </c>
      <c r="M233" s="88">
        <f t="shared" si="117"/>
        <v>0</v>
      </c>
      <c r="N233" s="88">
        <f t="shared" si="118"/>
        <v>0</v>
      </c>
      <c r="O233" s="88">
        <f t="shared" si="119"/>
        <v>0</v>
      </c>
      <c r="P233" s="88">
        <f t="shared" si="120"/>
        <v>0</v>
      </c>
      <c r="Q233" s="88">
        <f t="shared" si="121"/>
        <v>0</v>
      </c>
      <c r="R233" s="88">
        <f t="shared" si="122"/>
        <v>0</v>
      </c>
      <c r="S233" s="88">
        <f t="shared" si="123"/>
        <v>0</v>
      </c>
      <c r="T233" s="88">
        <f t="shared" si="124"/>
        <v>0</v>
      </c>
      <c r="U233" s="88">
        <f t="shared" si="125"/>
        <v>0</v>
      </c>
      <c r="V233" s="88">
        <f t="shared" si="126"/>
        <v>0</v>
      </c>
      <c r="W233" s="88">
        <f t="shared" si="127"/>
        <v>0</v>
      </c>
      <c r="X233" s="88">
        <f t="shared" si="128"/>
        <v>0</v>
      </c>
      <c r="Y233" s="88"/>
    </row>
    <row r="234" spans="4:25">
      <c r="D234" s="1" t="s">
        <v>108</v>
      </c>
      <c r="E234" s="87">
        <f t="shared" si="108"/>
        <v>0.58129571653266687</v>
      </c>
      <c r="F234" s="88">
        <f t="shared" si="110"/>
        <v>0.58129571653266687</v>
      </c>
      <c r="G234" s="88">
        <f t="shared" si="111"/>
        <v>0.58129571653266687</v>
      </c>
      <c r="H234" s="88">
        <f t="shared" si="112"/>
        <v>0.58129571653266687</v>
      </c>
      <c r="I234" s="88">
        <f t="shared" si="113"/>
        <v>0.58129571653266687</v>
      </c>
      <c r="J234" s="88">
        <f t="shared" si="114"/>
        <v>0.58129571653266687</v>
      </c>
      <c r="K234" s="88">
        <f t="shared" si="115"/>
        <v>0.58129571653266687</v>
      </c>
      <c r="L234" s="88">
        <f t="shared" si="116"/>
        <v>0.58129571653266687</v>
      </c>
      <c r="M234" s="88">
        <f t="shared" si="117"/>
        <v>0.58129571653266687</v>
      </c>
      <c r="N234" s="88">
        <f t="shared" si="118"/>
        <v>0.58129571653266687</v>
      </c>
      <c r="O234" s="88">
        <f t="shared" si="119"/>
        <v>0.58129571653266687</v>
      </c>
      <c r="P234" s="88">
        <f t="shared" si="120"/>
        <v>0.58129571653266687</v>
      </c>
      <c r="Q234" s="88">
        <f t="shared" si="121"/>
        <v>0.58129571653266687</v>
      </c>
      <c r="R234" s="88">
        <f t="shared" si="122"/>
        <v>0.58129571653266687</v>
      </c>
      <c r="S234" s="88">
        <f t="shared" si="123"/>
        <v>0.58129571653266687</v>
      </c>
      <c r="T234" s="88">
        <f t="shared" si="124"/>
        <v>0.58129571653266687</v>
      </c>
      <c r="U234" s="88">
        <f t="shared" si="125"/>
        <v>0.58129571653266687</v>
      </c>
      <c r="V234" s="88">
        <f t="shared" si="126"/>
        <v>0.58129571653266687</v>
      </c>
      <c r="W234" s="88">
        <f t="shared" si="127"/>
        <v>0.58129571653266687</v>
      </c>
      <c r="X234" s="88">
        <f t="shared" si="128"/>
        <v>0.58129571653266687</v>
      </c>
      <c r="Y234" s="88"/>
    </row>
    <row r="235" spans="4:25">
      <c r="D235" s="1" t="s">
        <v>111</v>
      </c>
      <c r="E235" s="87">
        <f t="shared" si="108"/>
        <v>0</v>
      </c>
      <c r="F235" s="88">
        <f t="shared" si="110"/>
        <v>0</v>
      </c>
      <c r="G235" s="88">
        <f t="shared" si="111"/>
        <v>0</v>
      </c>
      <c r="H235" s="88">
        <f t="shared" si="112"/>
        <v>0</v>
      </c>
      <c r="I235" s="88">
        <f t="shared" si="113"/>
        <v>0</v>
      </c>
      <c r="J235" s="88">
        <f t="shared" si="114"/>
        <v>0</v>
      </c>
      <c r="K235" s="88">
        <f t="shared" si="115"/>
        <v>0</v>
      </c>
      <c r="L235" s="88">
        <f t="shared" si="116"/>
        <v>0</v>
      </c>
      <c r="M235" s="88">
        <f t="shared" si="117"/>
        <v>0</v>
      </c>
      <c r="N235" s="88">
        <f t="shared" si="118"/>
        <v>0</v>
      </c>
      <c r="O235" s="88">
        <f t="shared" si="119"/>
        <v>0</v>
      </c>
      <c r="P235" s="88">
        <f t="shared" si="120"/>
        <v>0</v>
      </c>
      <c r="Q235" s="88">
        <f t="shared" si="121"/>
        <v>0</v>
      </c>
      <c r="R235" s="88">
        <f t="shared" si="122"/>
        <v>0</v>
      </c>
      <c r="S235" s="88">
        <f t="shared" si="123"/>
        <v>0</v>
      </c>
      <c r="T235" s="88">
        <f t="shared" si="124"/>
        <v>0</v>
      </c>
      <c r="U235" s="88">
        <f t="shared" si="125"/>
        <v>0</v>
      </c>
      <c r="V235" s="88">
        <f t="shared" si="126"/>
        <v>0</v>
      </c>
      <c r="W235" s="88">
        <f t="shared" si="127"/>
        <v>0</v>
      </c>
      <c r="X235" s="88">
        <f t="shared" si="128"/>
        <v>0</v>
      </c>
      <c r="Y235" s="88"/>
    </row>
    <row r="236" spans="4:25">
      <c r="D236" s="1" t="s">
        <v>114</v>
      </c>
      <c r="E236" s="87">
        <f t="shared" si="108"/>
        <v>0</v>
      </c>
      <c r="F236" s="88">
        <f t="shared" si="110"/>
        <v>0</v>
      </c>
      <c r="G236" s="88">
        <f t="shared" si="111"/>
        <v>0</v>
      </c>
      <c r="H236" s="88">
        <f t="shared" si="112"/>
        <v>0</v>
      </c>
      <c r="I236" s="88">
        <f t="shared" si="113"/>
        <v>0</v>
      </c>
      <c r="J236" s="88">
        <f t="shared" si="114"/>
        <v>0</v>
      </c>
      <c r="K236" s="88">
        <f t="shared" si="115"/>
        <v>0</v>
      </c>
      <c r="L236" s="88">
        <f t="shared" si="116"/>
        <v>0</v>
      </c>
      <c r="M236" s="88">
        <f t="shared" si="117"/>
        <v>0</v>
      </c>
      <c r="N236" s="88">
        <f t="shared" si="118"/>
        <v>0</v>
      </c>
      <c r="O236" s="88">
        <f t="shared" si="119"/>
        <v>0</v>
      </c>
      <c r="P236" s="88">
        <f t="shared" si="120"/>
        <v>0</v>
      </c>
      <c r="Q236" s="88">
        <f t="shared" si="121"/>
        <v>0</v>
      </c>
      <c r="R236" s="88">
        <f t="shared" si="122"/>
        <v>0</v>
      </c>
      <c r="S236" s="88">
        <f t="shared" si="123"/>
        <v>0</v>
      </c>
      <c r="T236" s="88">
        <f t="shared" si="124"/>
        <v>0</v>
      </c>
      <c r="U236" s="88">
        <f t="shared" si="125"/>
        <v>0</v>
      </c>
      <c r="V236" s="88">
        <f t="shared" si="126"/>
        <v>0</v>
      </c>
      <c r="W236" s="88">
        <f t="shared" si="127"/>
        <v>0</v>
      </c>
      <c r="X236" s="88">
        <f t="shared" si="128"/>
        <v>0</v>
      </c>
      <c r="Y236" s="88"/>
    </row>
    <row r="237" spans="4:25">
      <c r="D237" s="1" t="s">
        <v>117</v>
      </c>
      <c r="E237" s="87">
        <f t="shared" si="108"/>
        <v>0</v>
      </c>
      <c r="F237" s="88">
        <f t="shared" si="110"/>
        <v>0</v>
      </c>
      <c r="G237" s="88">
        <f t="shared" si="111"/>
        <v>0</v>
      </c>
      <c r="H237" s="88">
        <f t="shared" si="112"/>
        <v>0</v>
      </c>
      <c r="I237" s="88">
        <f t="shared" si="113"/>
        <v>0</v>
      </c>
      <c r="J237" s="88">
        <f t="shared" si="114"/>
        <v>0</v>
      </c>
      <c r="K237" s="88">
        <f t="shared" si="115"/>
        <v>0</v>
      </c>
      <c r="L237" s="88">
        <f t="shared" si="116"/>
        <v>0</v>
      </c>
      <c r="M237" s="88">
        <f t="shared" si="117"/>
        <v>0</v>
      </c>
      <c r="N237" s="88">
        <f t="shared" si="118"/>
        <v>0</v>
      </c>
      <c r="O237" s="88">
        <f t="shared" si="119"/>
        <v>0</v>
      </c>
      <c r="P237" s="88">
        <f t="shared" si="120"/>
        <v>0</v>
      </c>
      <c r="Q237" s="88">
        <f t="shared" si="121"/>
        <v>0</v>
      </c>
      <c r="R237" s="88">
        <f t="shared" si="122"/>
        <v>0</v>
      </c>
      <c r="S237" s="88">
        <f t="shared" si="123"/>
        <v>0</v>
      </c>
      <c r="T237" s="88">
        <f t="shared" si="124"/>
        <v>0</v>
      </c>
      <c r="U237" s="88">
        <f t="shared" si="125"/>
        <v>0</v>
      </c>
      <c r="V237" s="88">
        <f t="shared" si="126"/>
        <v>0</v>
      </c>
      <c r="W237" s="88">
        <f t="shared" si="127"/>
        <v>0</v>
      </c>
      <c r="X237" s="88">
        <f t="shared" si="128"/>
        <v>0</v>
      </c>
      <c r="Y237" s="88"/>
    </row>
    <row r="238" spans="4:25">
      <c r="D238" s="1" t="s">
        <v>120</v>
      </c>
      <c r="E238" s="87">
        <f t="shared" si="108"/>
        <v>0</v>
      </c>
      <c r="F238" s="88">
        <f t="shared" si="110"/>
        <v>0</v>
      </c>
      <c r="G238" s="88">
        <f t="shared" si="111"/>
        <v>0</v>
      </c>
      <c r="H238" s="88">
        <f t="shared" si="112"/>
        <v>0</v>
      </c>
      <c r="I238" s="88">
        <f t="shared" si="113"/>
        <v>0</v>
      </c>
      <c r="J238" s="88">
        <f t="shared" si="114"/>
        <v>0</v>
      </c>
      <c r="K238" s="88">
        <f t="shared" si="115"/>
        <v>0</v>
      </c>
      <c r="L238" s="88">
        <f t="shared" si="116"/>
        <v>0</v>
      </c>
      <c r="M238" s="88">
        <f t="shared" si="117"/>
        <v>0</v>
      </c>
      <c r="N238" s="88">
        <f t="shared" si="118"/>
        <v>0</v>
      </c>
      <c r="O238" s="88">
        <f t="shared" si="119"/>
        <v>0</v>
      </c>
      <c r="P238" s="88">
        <f t="shared" si="120"/>
        <v>0</v>
      </c>
      <c r="Q238" s="88">
        <f t="shared" si="121"/>
        <v>0</v>
      </c>
      <c r="R238" s="88">
        <f t="shared" si="122"/>
        <v>0</v>
      </c>
      <c r="S238" s="88">
        <f t="shared" si="123"/>
        <v>0</v>
      </c>
      <c r="T238" s="88">
        <f t="shared" si="124"/>
        <v>0</v>
      </c>
      <c r="U238" s="88">
        <f t="shared" si="125"/>
        <v>0</v>
      </c>
      <c r="V238" s="88">
        <f t="shared" si="126"/>
        <v>0</v>
      </c>
      <c r="W238" s="88">
        <f t="shared" si="127"/>
        <v>0</v>
      </c>
      <c r="X238" s="88">
        <f t="shared" si="128"/>
        <v>0</v>
      </c>
      <c r="Y238" s="88"/>
    </row>
    <row r="239" spans="4:25">
      <c r="D239" s="1" t="s">
        <v>123</v>
      </c>
      <c r="E239" s="87">
        <f t="shared" si="108"/>
        <v>0</v>
      </c>
      <c r="F239" s="88">
        <f t="shared" si="110"/>
        <v>0</v>
      </c>
      <c r="G239" s="88">
        <f t="shared" si="111"/>
        <v>0</v>
      </c>
      <c r="H239" s="88">
        <f t="shared" si="112"/>
        <v>0</v>
      </c>
      <c r="I239" s="88">
        <f t="shared" si="113"/>
        <v>0</v>
      </c>
      <c r="J239" s="88">
        <f t="shared" si="114"/>
        <v>0</v>
      </c>
      <c r="K239" s="88">
        <f t="shared" si="115"/>
        <v>0</v>
      </c>
      <c r="L239" s="88">
        <f t="shared" si="116"/>
        <v>0</v>
      </c>
      <c r="M239" s="88">
        <f t="shared" si="117"/>
        <v>0</v>
      </c>
      <c r="N239" s="88">
        <f t="shared" si="118"/>
        <v>0</v>
      </c>
      <c r="O239" s="88">
        <f t="shared" si="119"/>
        <v>0</v>
      </c>
      <c r="P239" s="88">
        <f t="shared" si="120"/>
        <v>0</v>
      </c>
      <c r="Q239" s="88">
        <f t="shared" si="121"/>
        <v>0</v>
      </c>
      <c r="R239" s="88">
        <f t="shared" si="122"/>
        <v>0</v>
      </c>
      <c r="S239" s="88">
        <f t="shared" si="123"/>
        <v>0</v>
      </c>
      <c r="T239" s="88">
        <f t="shared" si="124"/>
        <v>0</v>
      </c>
      <c r="U239" s="88">
        <f t="shared" si="125"/>
        <v>0</v>
      </c>
      <c r="V239" s="88">
        <f t="shared" si="126"/>
        <v>0</v>
      </c>
      <c r="W239" s="88">
        <f t="shared" si="127"/>
        <v>0</v>
      </c>
      <c r="X239" s="88">
        <f t="shared" si="128"/>
        <v>0</v>
      </c>
      <c r="Y239" s="88"/>
    </row>
    <row r="240" spans="4:25">
      <c r="D240" s="1" t="s">
        <v>126</v>
      </c>
      <c r="E240" s="87">
        <f t="shared" si="108"/>
        <v>0</v>
      </c>
      <c r="F240" s="88">
        <f t="shared" si="110"/>
        <v>0</v>
      </c>
      <c r="G240" s="88">
        <f t="shared" si="111"/>
        <v>0</v>
      </c>
      <c r="H240" s="88">
        <f t="shared" si="112"/>
        <v>0</v>
      </c>
      <c r="I240" s="88">
        <f t="shared" si="113"/>
        <v>0</v>
      </c>
      <c r="J240" s="88">
        <f t="shared" si="114"/>
        <v>0</v>
      </c>
      <c r="K240" s="88">
        <f t="shared" si="115"/>
        <v>0</v>
      </c>
      <c r="L240" s="88">
        <f t="shared" si="116"/>
        <v>0</v>
      </c>
      <c r="M240" s="88">
        <f t="shared" si="117"/>
        <v>0</v>
      </c>
      <c r="N240" s="88">
        <f t="shared" si="118"/>
        <v>0</v>
      </c>
      <c r="O240" s="88">
        <f t="shared" si="119"/>
        <v>0</v>
      </c>
      <c r="P240" s="88">
        <f t="shared" si="120"/>
        <v>0</v>
      </c>
      <c r="Q240" s="88">
        <f t="shared" si="121"/>
        <v>0</v>
      </c>
      <c r="R240" s="88">
        <f t="shared" si="122"/>
        <v>0</v>
      </c>
      <c r="S240" s="88">
        <f t="shared" si="123"/>
        <v>0</v>
      </c>
      <c r="T240" s="88">
        <f t="shared" si="124"/>
        <v>0</v>
      </c>
      <c r="U240" s="88">
        <f t="shared" si="125"/>
        <v>0</v>
      </c>
      <c r="V240" s="88">
        <f t="shared" si="126"/>
        <v>0</v>
      </c>
      <c r="W240" s="88">
        <f t="shared" si="127"/>
        <v>0</v>
      </c>
      <c r="X240" s="88">
        <f t="shared" si="128"/>
        <v>0</v>
      </c>
      <c r="Y240" s="88"/>
    </row>
    <row r="241" spans="4:25">
      <c r="D241" s="1" t="s">
        <v>129</v>
      </c>
      <c r="E241" s="87">
        <f t="shared" si="108"/>
        <v>0</v>
      </c>
      <c r="F241" s="88">
        <f t="shared" si="110"/>
        <v>0</v>
      </c>
      <c r="G241" s="88">
        <f t="shared" si="111"/>
        <v>0</v>
      </c>
      <c r="H241" s="88">
        <f t="shared" si="112"/>
        <v>0</v>
      </c>
      <c r="I241" s="88">
        <f t="shared" si="113"/>
        <v>0</v>
      </c>
      <c r="J241" s="88">
        <f t="shared" si="114"/>
        <v>0</v>
      </c>
      <c r="K241" s="88">
        <f t="shared" si="115"/>
        <v>0</v>
      </c>
      <c r="L241" s="88">
        <f t="shared" si="116"/>
        <v>0</v>
      </c>
      <c r="M241" s="88">
        <f t="shared" si="117"/>
        <v>0</v>
      </c>
      <c r="N241" s="88">
        <f t="shared" si="118"/>
        <v>0</v>
      </c>
      <c r="O241" s="88">
        <f t="shared" si="119"/>
        <v>0</v>
      </c>
      <c r="P241" s="88">
        <f t="shared" si="120"/>
        <v>0</v>
      </c>
      <c r="Q241" s="88">
        <f t="shared" si="121"/>
        <v>0</v>
      </c>
      <c r="R241" s="88">
        <f t="shared" si="122"/>
        <v>0</v>
      </c>
      <c r="S241" s="88">
        <f t="shared" si="123"/>
        <v>0</v>
      </c>
      <c r="T241" s="88">
        <f t="shared" si="124"/>
        <v>0</v>
      </c>
      <c r="U241" s="88">
        <f t="shared" si="125"/>
        <v>0</v>
      </c>
      <c r="V241" s="88">
        <f t="shared" si="126"/>
        <v>0</v>
      </c>
      <c r="W241" s="88">
        <f t="shared" si="127"/>
        <v>0</v>
      </c>
      <c r="X241" s="88">
        <f t="shared" si="128"/>
        <v>0</v>
      </c>
      <c r="Y241" s="88"/>
    </row>
    <row r="242" spans="4:25">
      <c r="D242" s="1" t="s">
        <v>132</v>
      </c>
      <c r="E242" s="87">
        <f t="shared" si="108"/>
        <v>0</v>
      </c>
      <c r="F242" s="88">
        <f t="shared" si="110"/>
        <v>0</v>
      </c>
      <c r="G242" s="88">
        <f t="shared" si="111"/>
        <v>0</v>
      </c>
      <c r="H242" s="88">
        <f t="shared" si="112"/>
        <v>0</v>
      </c>
      <c r="I242" s="88">
        <f t="shared" si="113"/>
        <v>0</v>
      </c>
      <c r="J242" s="88">
        <f t="shared" si="114"/>
        <v>0</v>
      </c>
      <c r="K242" s="88">
        <f t="shared" si="115"/>
        <v>0</v>
      </c>
      <c r="L242" s="88">
        <f t="shared" si="116"/>
        <v>0</v>
      </c>
      <c r="M242" s="88">
        <f t="shared" si="117"/>
        <v>0</v>
      </c>
      <c r="N242" s="88">
        <f t="shared" si="118"/>
        <v>0</v>
      </c>
      <c r="O242" s="88">
        <f t="shared" si="119"/>
        <v>0</v>
      </c>
      <c r="P242" s="88">
        <f t="shared" si="120"/>
        <v>0</v>
      </c>
      <c r="Q242" s="88">
        <f t="shared" si="121"/>
        <v>0</v>
      </c>
      <c r="R242" s="88">
        <f t="shared" si="122"/>
        <v>0</v>
      </c>
      <c r="S242" s="88">
        <f t="shared" si="123"/>
        <v>0</v>
      </c>
      <c r="T242" s="88">
        <f t="shared" si="124"/>
        <v>0</v>
      </c>
      <c r="U242" s="88">
        <f t="shared" si="125"/>
        <v>0</v>
      </c>
      <c r="V242" s="88">
        <f t="shared" si="126"/>
        <v>0</v>
      </c>
      <c r="W242" s="88">
        <f t="shared" si="127"/>
        <v>0</v>
      </c>
      <c r="X242" s="88">
        <f t="shared" si="128"/>
        <v>0</v>
      </c>
      <c r="Y242" s="88"/>
    </row>
    <row r="243" spans="4:25">
      <c r="D243" s="1" t="s">
        <v>135</v>
      </c>
      <c r="E243" s="87">
        <f t="shared" si="108"/>
        <v>0</v>
      </c>
      <c r="F243" s="88">
        <f t="shared" si="110"/>
        <v>0</v>
      </c>
      <c r="G243" s="88">
        <f t="shared" si="111"/>
        <v>0</v>
      </c>
      <c r="H243" s="88">
        <f t="shared" si="112"/>
        <v>0</v>
      </c>
      <c r="I243" s="88">
        <f t="shared" si="113"/>
        <v>0</v>
      </c>
      <c r="J243" s="88">
        <f t="shared" si="114"/>
        <v>0</v>
      </c>
      <c r="K243" s="88">
        <f t="shared" si="115"/>
        <v>0</v>
      </c>
      <c r="L243" s="88">
        <f t="shared" si="116"/>
        <v>0</v>
      </c>
      <c r="M243" s="88">
        <f t="shared" si="117"/>
        <v>0</v>
      </c>
      <c r="N243" s="88">
        <f t="shared" si="118"/>
        <v>0</v>
      </c>
      <c r="O243" s="88">
        <f t="shared" si="119"/>
        <v>0</v>
      </c>
      <c r="P243" s="88">
        <f t="shared" si="120"/>
        <v>0</v>
      </c>
      <c r="Q243" s="88">
        <f t="shared" si="121"/>
        <v>0</v>
      </c>
      <c r="R243" s="88">
        <f t="shared" si="122"/>
        <v>0</v>
      </c>
      <c r="S243" s="88">
        <f t="shared" si="123"/>
        <v>0</v>
      </c>
      <c r="T243" s="88">
        <f t="shared" si="124"/>
        <v>0</v>
      </c>
      <c r="U243" s="88">
        <f t="shared" si="125"/>
        <v>0</v>
      </c>
      <c r="V243" s="88">
        <f t="shared" si="126"/>
        <v>0</v>
      </c>
      <c r="W243" s="88">
        <f t="shared" si="127"/>
        <v>0</v>
      </c>
      <c r="X243" s="88">
        <f t="shared" si="128"/>
        <v>0</v>
      </c>
      <c r="Y243" s="88"/>
    </row>
    <row r="244" spans="4:25">
      <c r="D244" s="1" t="s">
        <v>138</v>
      </c>
      <c r="E244" s="87">
        <f t="shared" si="108"/>
        <v>0</v>
      </c>
      <c r="F244" s="88">
        <f t="shared" si="110"/>
        <v>0</v>
      </c>
      <c r="G244" s="88">
        <f t="shared" si="111"/>
        <v>0</v>
      </c>
      <c r="H244" s="88">
        <f t="shared" si="112"/>
        <v>0</v>
      </c>
      <c r="I244" s="88">
        <f t="shared" si="113"/>
        <v>0</v>
      </c>
      <c r="J244" s="88">
        <f t="shared" si="114"/>
        <v>0</v>
      </c>
      <c r="K244" s="88">
        <f t="shared" si="115"/>
        <v>0</v>
      </c>
      <c r="L244" s="88">
        <f t="shared" si="116"/>
        <v>0</v>
      </c>
      <c r="M244" s="88">
        <f t="shared" si="117"/>
        <v>0</v>
      </c>
      <c r="N244" s="88">
        <f t="shared" si="118"/>
        <v>0</v>
      </c>
      <c r="O244" s="88">
        <f t="shared" si="119"/>
        <v>0</v>
      </c>
      <c r="P244" s="88">
        <f t="shared" si="120"/>
        <v>0</v>
      </c>
      <c r="Q244" s="88">
        <f t="shared" si="121"/>
        <v>0</v>
      </c>
      <c r="R244" s="88">
        <f t="shared" si="122"/>
        <v>0</v>
      </c>
      <c r="S244" s="88">
        <f t="shared" si="123"/>
        <v>0</v>
      </c>
      <c r="T244" s="88">
        <f t="shared" si="124"/>
        <v>0</v>
      </c>
      <c r="U244" s="88">
        <f t="shared" si="125"/>
        <v>0</v>
      </c>
      <c r="V244" s="88">
        <f t="shared" si="126"/>
        <v>0</v>
      </c>
      <c r="W244" s="88">
        <f t="shared" si="127"/>
        <v>0</v>
      </c>
      <c r="X244" s="88">
        <f t="shared" si="128"/>
        <v>0</v>
      </c>
      <c r="Y244" s="88"/>
    </row>
    <row r="245" spans="4:25">
      <c r="D245" s="1" t="s">
        <v>365</v>
      </c>
      <c r="E245" s="87">
        <f t="shared" si="108"/>
        <v>0</v>
      </c>
      <c r="F245" s="88">
        <f t="shared" si="110"/>
        <v>0</v>
      </c>
      <c r="G245" s="88">
        <f t="shared" si="111"/>
        <v>0</v>
      </c>
      <c r="H245" s="88">
        <f t="shared" si="112"/>
        <v>0</v>
      </c>
      <c r="I245" s="88">
        <f t="shared" si="113"/>
        <v>0</v>
      </c>
      <c r="J245" s="88">
        <f t="shared" si="114"/>
        <v>0</v>
      </c>
      <c r="K245" s="88">
        <f t="shared" si="115"/>
        <v>0</v>
      </c>
      <c r="L245" s="88">
        <f t="shared" si="116"/>
        <v>0</v>
      </c>
      <c r="M245" s="88">
        <f t="shared" si="117"/>
        <v>0</v>
      </c>
      <c r="N245" s="88">
        <f t="shared" si="118"/>
        <v>0</v>
      </c>
      <c r="O245" s="88">
        <f t="shared" si="119"/>
        <v>0</v>
      </c>
      <c r="P245" s="88">
        <f t="shared" si="120"/>
        <v>0</v>
      </c>
      <c r="Q245" s="88">
        <f t="shared" si="121"/>
        <v>0</v>
      </c>
      <c r="R245" s="88">
        <f t="shared" si="122"/>
        <v>0</v>
      </c>
      <c r="S245" s="88">
        <f t="shared" si="123"/>
        <v>0</v>
      </c>
      <c r="T245" s="88">
        <f t="shared" si="124"/>
        <v>0</v>
      </c>
      <c r="U245" s="88">
        <f t="shared" si="125"/>
        <v>0</v>
      </c>
      <c r="V245" s="88">
        <f t="shared" si="126"/>
        <v>0</v>
      </c>
      <c r="W245" s="88">
        <f t="shared" si="127"/>
        <v>0</v>
      </c>
      <c r="X245" s="88">
        <f t="shared" si="128"/>
        <v>0</v>
      </c>
      <c r="Y245" s="88"/>
    </row>
    <row r="246" spans="4:25">
      <c r="D246" s="1" t="s">
        <v>367</v>
      </c>
      <c r="E246" s="87">
        <f t="shared" si="108"/>
        <v>0</v>
      </c>
      <c r="F246" s="88">
        <f t="shared" si="110"/>
        <v>0</v>
      </c>
      <c r="G246" s="88">
        <f t="shared" si="111"/>
        <v>0</v>
      </c>
      <c r="H246" s="88">
        <f t="shared" si="112"/>
        <v>0</v>
      </c>
      <c r="I246" s="88">
        <f t="shared" si="113"/>
        <v>0</v>
      </c>
      <c r="J246" s="88">
        <f t="shared" si="114"/>
        <v>0</v>
      </c>
      <c r="K246" s="88">
        <f t="shared" si="115"/>
        <v>0</v>
      </c>
      <c r="L246" s="88">
        <f t="shared" si="116"/>
        <v>0</v>
      </c>
      <c r="M246" s="88">
        <f t="shared" si="117"/>
        <v>0</v>
      </c>
      <c r="N246" s="88">
        <f t="shared" si="118"/>
        <v>0</v>
      </c>
      <c r="O246" s="88">
        <f t="shared" si="119"/>
        <v>0</v>
      </c>
      <c r="P246" s="88">
        <f t="shared" si="120"/>
        <v>0</v>
      </c>
      <c r="Q246" s="88">
        <f t="shared" si="121"/>
        <v>0</v>
      </c>
      <c r="R246" s="88">
        <f t="shared" si="122"/>
        <v>0</v>
      </c>
      <c r="S246" s="88">
        <f t="shared" si="123"/>
        <v>0</v>
      </c>
      <c r="T246" s="88">
        <f t="shared" si="124"/>
        <v>0</v>
      </c>
      <c r="U246" s="88">
        <f t="shared" si="125"/>
        <v>0</v>
      </c>
      <c r="V246" s="88">
        <f t="shared" si="126"/>
        <v>0</v>
      </c>
      <c r="W246" s="88">
        <f t="shared" si="127"/>
        <v>0</v>
      </c>
      <c r="X246" s="88">
        <f t="shared" si="128"/>
        <v>0</v>
      </c>
      <c r="Y246" s="88"/>
    </row>
    <row r="247" spans="4:25">
      <c r="D247" s="1" t="s">
        <v>370</v>
      </c>
      <c r="E247" s="87">
        <f t="shared" si="108"/>
        <v>0</v>
      </c>
      <c r="F247" s="88">
        <f t="shared" si="110"/>
        <v>0</v>
      </c>
      <c r="G247" s="88">
        <f t="shared" si="111"/>
        <v>0</v>
      </c>
      <c r="H247" s="88">
        <f t="shared" si="112"/>
        <v>0</v>
      </c>
      <c r="I247" s="88">
        <f t="shared" si="113"/>
        <v>0</v>
      </c>
      <c r="J247" s="88">
        <f t="shared" si="114"/>
        <v>0</v>
      </c>
      <c r="K247" s="88">
        <f t="shared" si="115"/>
        <v>0</v>
      </c>
      <c r="L247" s="88">
        <f t="shared" si="116"/>
        <v>0</v>
      </c>
      <c r="M247" s="88">
        <f t="shared" si="117"/>
        <v>0</v>
      </c>
      <c r="N247" s="88">
        <f t="shared" si="118"/>
        <v>0</v>
      </c>
      <c r="O247" s="88">
        <f t="shared" si="119"/>
        <v>0</v>
      </c>
      <c r="P247" s="88">
        <f t="shared" si="120"/>
        <v>0</v>
      </c>
      <c r="Q247" s="88">
        <f t="shared" si="121"/>
        <v>0</v>
      </c>
      <c r="R247" s="88">
        <f t="shared" si="122"/>
        <v>0</v>
      </c>
      <c r="S247" s="88">
        <f t="shared" si="123"/>
        <v>0</v>
      </c>
      <c r="T247" s="88">
        <f t="shared" si="124"/>
        <v>0</v>
      </c>
      <c r="U247" s="88">
        <f t="shared" si="125"/>
        <v>0</v>
      </c>
      <c r="V247" s="88">
        <f t="shared" si="126"/>
        <v>0</v>
      </c>
      <c r="W247" s="88">
        <f t="shared" si="127"/>
        <v>0</v>
      </c>
      <c r="X247" s="88">
        <f t="shared" si="128"/>
        <v>0</v>
      </c>
      <c r="Y247" s="88"/>
    </row>
    <row r="248" spans="4:25">
      <c r="D248" s="1" t="s">
        <v>373</v>
      </c>
      <c r="E248" s="87">
        <f t="shared" si="108"/>
        <v>0</v>
      </c>
      <c r="F248" s="88">
        <f t="shared" si="110"/>
        <v>0</v>
      </c>
      <c r="G248" s="88">
        <f t="shared" si="111"/>
        <v>0</v>
      </c>
      <c r="H248" s="88">
        <f t="shared" si="112"/>
        <v>0</v>
      </c>
      <c r="I248" s="88">
        <f t="shared" si="113"/>
        <v>0</v>
      </c>
      <c r="J248" s="88">
        <f t="shared" si="114"/>
        <v>0</v>
      </c>
      <c r="K248" s="88">
        <f t="shared" si="115"/>
        <v>0</v>
      </c>
      <c r="L248" s="88">
        <f t="shared" si="116"/>
        <v>0</v>
      </c>
      <c r="M248" s="88">
        <f t="shared" si="117"/>
        <v>0</v>
      </c>
      <c r="N248" s="88">
        <f t="shared" si="118"/>
        <v>0</v>
      </c>
      <c r="O248" s="88">
        <f t="shared" si="119"/>
        <v>0</v>
      </c>
      <c r="P248" s="88">
        <f t="shared" si="120"/>
        <v>0</v>
      </c>
      <c r="Q248" s="88">
        <f t="shared" si="121"/>
        <v>0</v>
      </c>
      <c r="R248" s="88">
        <f t="shared" si="122"/>
        <v>0</v>
      </c>
      <c r="S248" s="88">
        <f t="shared" si="123"/>
        <v>0</v>
      </c>
      <c r="T248" s="88">
        <f t="shared" si="124"/>
        <v>0</v>
      </c>
      <c r="U248" s="88">
        <f t="shared" si="125"/>
        <v>0</v>
      </c>
      <c r="V248" s="88">
        <f t="shared" si="126"/>
        <v>0</v>
      </c>
      <c r="W248" s="88">
        <f t="shared" si="127"/>
        <v>0</v>
      </c>
      <c r="X248" s="88">
        <f t="shared" si="128"/>
        <v>0</v>
      </c>
      <c r="Y248" s="88"/>
    </row>
    <row r="249" spans="4:25">
      <c r="D249" s="1" t="s">
        <v>376</v>
      </c>
      <c r="E249" s="87">
        <f t="shared" si="108"/>
        <v>0</v>
      </c>
      <c r="F249" s="88">
        <f t="shared" si="110"/>
        <v>0</v>
      </c>
      <c r="G249" s="88">
        <f t="shared" si="111"/>
        <v>0</v>
      </c>
      <c r="H249" s="88">
        <f t="shared" si="112"/>
        <v>0</v>
      </c>
      <c r="I249" s="88">
        <f t="shared" si="113"/>
        <v>0</v>
      </c>
      <c r="J249" s="88">
        <f t="shared" si="114"/>
        <v>0</v>
      </c>
      <c r="K249" s="88">
        <f t="shared" si="115"/>
        <v>0</v>
      </c>
      <c r="L249" s="88">
        <f t="shared" si="116"/>
        <v>0</v>
      </c>
      <c r="M249" s="88">
        <f t="shared" si="117"/>
        <v>0</v>
      </c>
      <c r="N249" s="88">
        <f t="shared" si="118"/>
        <v>0</v>
      </c>
      <c r="O249" s="88">
        <f t="shared" si="119"/>
        <v>0</v>
      </c>
      <c r="P249" s="88">
        <f t="shared" si="120"/>
        <v>0</v>
      </c>
      <c r="Q249" s="88">
        <f t="shared" si="121"/>
        <v>0</v>
      </c>
      <c r="R249" s="88">
        <f t="shared" si="122"/>
        <v>0</v>
      </c>
      <c r="S249" s="88">
        <f t="shared" si="123"/>
        <v>0</v>
      </c>
      <c r="T249" s="88">
        <f t="shared" si="124"/>
        <v>0</v>
      </c>
      <c r="U249" s="88">
        <f t="shared" si="125"/>
        <v>0</v>
      </c>
      <c r="V249" s="88">
        <f t="shared" si="126"/>
        <v>0</v>
      </c>
      <c r="W249" s="88">
        <f t="shared" si="127"/>
        <v>0</v>
      </c>
      <c r="X249" s="88">
        <f t="shared" si="128"/>
        <v>0</v>
      </c>
      <c r="Y249" s="88"/>
    </row>
    <row r="250" spans="4:25">
      <c r="D250" s="1" t="s">
        <v>379</v>
      </c>
      <c r="E250" s="87">
        <f t="shared" si="108"/>
        <v>0</v>
      </c>
      <c r="F250" s="88">
        <f t="shared" si="110"/>
        <v>0</v>
      </c>
      <c r="G250" s="88">
        <f t="shared" si="111"/>
        <v>0</v>
      </c>
      <c r="H250" s="88">
        <f t="shared" si="112"/>
        <v>0</v>
      </c>
      <c r="I250" s="88">
        <f t="shared" si="113"/>
        <v>0</v>
      </c>
      <c r="J250" s="88">
        <f t="shared" si="114"/>
        <v>0</v>
      </c>
      <c r="K250" s="88">
        <f t="shared" si="115"/>
        <v>0</v>
      </c>
      <c r="L250" s="88">
        <f t="shared" si="116"/>
        <v>0</v>
      </c>
      <c r="M250" s="88">
        <f t="shared" si="117"/>
        <v>0</v>
      </c>
      <c r="N250" s="88">
        <f t="shared" si="118"/>
        <v>0</v>
      </c>
      <c r="O250" s="88">
        <f t="shared" si="119"/>
        <v>0</v>
      </c>
      <c r="P250" s="88">
        <f t="shared" si="120"/>
        <v>0</v>
      </c>
      <c r="Q250" s="88">
        <f t="shared" si="121"/>
        <v>0</v>
      </c>
      <c r="R250" s="88">
        <f t="shared" si="122"/>
        <v>0</v>
      </c>
      <c r="S250" s="88">
        <f t="shared" si="123"/>
        <v>0</v>
      </c>
      <c r="T250" s="88">
        <f t="shared" si="124"/>
        <v>0</v>
      </c>
      <c r="U250" s="88">
        <f t="shared" si="125"/>
        <v>0</v>
      </c>
      <c r="V250" s="88">
        <f t="shared" si="126"/>
        <v>0</v>
      </c>
      <c r="W250" s="88">
        <f t="shared" si="127"/>
        <v>0</v>
      </c>
      <c r="X250" s="88">
        <f t="shared" si="128"/>
        <v>0</v>
      </c>
      <c r="Y250" s="88"/>
    </row>
    <row r="251" spans="4:25">
      <c r="D251" s="1" t="s">
        <v>382</v>
      </c>
      <c r="E251" s="87">
        <f t="shared" si="108"/>
        <v>0</v>
      </c>
      <c r="F251" s="88">
        <f t="shared" si="110"/>
        <v>0</v>
      </c>
      <c r="G251" s="88">
        <f t="shared" si="111"/>
        <v>0</v>
      </c>
      <c r="H251" s="88">
        <f t="shared" si="112"/>
        <v>0</v>
      </c>
      <c r="I251" s="88">
        <f t="shared" si="113"/>
        <v>0</v>
      </c>
      <c r="J251" s="88">
        <f t="shared" si="114"/>
        <v>0</v>
      </c>
      <c r="K251" s="88">
        <f t="shared" si="115"/>
        <v>0</v>
      </c>
      <c r="L251" s="88">
        <f t="shared" si="116"/>
        <v>0</v>
      </c>
      <c r="M251" s="88">
        <f t="shared" si="117"/>
        <v>0</v>
      </c>
      <c r="N251" s="88">
        <f t="shared" si="118"/>
        <v>0</v>
      </c>
      <c r="O251" s="88">
        <f t="shared" si="119"/>
        <v>0</v>
      </c>
      <c r="P251" s="88">
        <f t="shared" si="120"/>
        <v>0</v>
      </c>
      <c r="Q251" s="88">
        <f t="shared" si="121"/>
        <v>0</v>
      </c>
      <c r="R251" s="88">
        <f t="shared" si="122"/>
        <v>0</v>
      </c>
      <c r="S251" s="88">
        <f t="shared" si="123"/>
        <v>0</v>
      </c>
      <c r="T251" s="88">
        <f t="shared" si="124"/>
        <v>0</v>
      </c>
      <c r="U251" s="88">
        <f t="shared" si="125"/>
        <v>0</v>
      </c>
      <c r="V251" s="88">
        <f t="shared" si="126"/>
        <v>0</v>
      </c>
      <c r="W251" s="88">
        <f t="shared" si="127"/>
        <v>0</v>
      </c>
      <c r="X251" s="88">
        <f t="shared" si="128"/>
        <v>0</v>
      </c>
      <c r="Y251" s="88"/>
    </row>
    <row r="252" spans="4:25">
      <c r="D252" s="1" t="s">
        <v>385</v>
      </c>
      <c r="E252" s="87">
        <f t="shared" si="108"/>
        <v>0</v>
      </c>
      <c r="F252" s="88">
        <f t="shared" si="110"/>
        <v>0</v>
      </c>
      <c r="G252" s="88">
        <f t="shared" si="111"/>
        <v>0</v>
      </c>
      <c r="H252" s="88">
        <f t="shared" si="112"/>
        <v>0</v>
      </c>
      <c r="I252" s="88">
        <f t="shared" si="113"/>
        <v>0</v>
      </c>
      <c r="J252" s="88">
        <f t="shared" si="114"/>
        <v>0</v>
      </c>
      <c r="K252" s="88">
        <f t="shared" si="115"/>
        <v>0</v>
      </c>
      <c r="L252" s="88">
        <f t="shared" si="116"/>
        <v>0</v>
      </c>
      <c r="M252" s="88">
        <f t="shared" si="117"/>
        <v>0</v>
      </c>
      <c r="N252" s="88">
        <f t="shared" si="118"/>
        <v>0</v>
      </c>
      <c r="O252" s="88">
        <f t="shared" si="119"/>
        <v>0</v>
      </c>
      <c r="P252" s="88">
        <f t="shared" si="120"/>
        <v>0</v>
      </c>
      <c r="Q252" s="88">
        <f t="shared" si="121"/>
        <v>0</v>
      </c>
      <c r="R252" s="88">
        <f t="shared" si="122"/>
        <v>0</v>
      </c>
      <c r="S252" s="88">
        <f t="shared" si="123"/>
        <v>0</v>
      </c>
      <c r="T252" s="88">
        <f t="shared" si="124"/>
        <v>0</v>
      </c>
      <c r="U252" s="88">
        <f t="shared" si="125"/>
        <v>0</v>
      </c>
      <c r="V252" s="88">
        <f t="shared" si="126"/>
        <v>0</v>
      </c>
      <c r="W252" s="88">
        <f t="shared" si="127"/>
        <v>0</v>
      </c>
      <c r="X252" s="88">
        <f t="shared" si="128"/>
        <v>0</v>
      </c>
      <c r="Y252" s="88"/>
    </row>
    <row r="253" spans="4:25">
      <c r="D253" s="1" t="s">
        <v>388</v>
      </c>
      <c r="E253" s="87">
        <f t="shared" si="108"/>
        <v>0</v>
      </c>
      <c r="F253" s="88">
        <f t="shared" si="110"/>
        <v>0</v>
      </c>
      <c r="G253" s="88">
        <f t="shared" si="111"/>
        <v>0</v>
      </c>
      <c r="H253" s="88">
        <f t="shared" si="112"/>
        <v>0</v>
      </c>
      <c r="I253" s="88">
        <f t="shared" si="113"/>
        <v>0</v>
      </c>
      <c r="J253" s="88">
        <f t="shared" si="114"/>
        <v>0</v>
      </c>
      <c r="K253" s="88">
        <f t="shared" si="115"/>
        <v>0</v>
      </c>
      <c r="L253" s="88">
        <f t="shared" si="116"/>
        <v>0</v>
      </c>
      <c r="M253" s="88">
        <f t="shared" si="117"/>
        <v>0</v>
      </c>
      <c r="N253" s="88">
        <f t="shared" si="118"/>
        <v>0</v>
      </c>
      <c r="O253" s="88">
        <f t="shared" si="119"/>
        <v>0</v>
      </c>
      <c r="P253" s="88">
        <f t="shared" si="120"/>
        <v>0</v>
      </c>
      <c r="Q253" s="88">
        <f t="shared" si="121"/>
        <v>0</v>
      </c>
      <c r="R253" s="88">
        <f t="shared" si="122"/>
        <v>0</v>
      </c>
      <c r="S253" s="88">
        <f t="shared" si="123"/>
        <v>0</v>
      </c>
      <c r="T253" s="88">
        <f t="shared" si="124"/>
        <v>0</v>
      </c>
      <c r="U253" s="88">
        <f t="shared" si="125"/>
        <v>0</v>
      </c>
      <c r="V253" s="88">
        <f t="shared" si="126"/>
        <v>0</v>
      </c>
      <c r="W253" s="88">
        <f t="shared" si="127"/>
        <v>0</v>
      </c>
      <c r="X253" s="88">
        <f t="shared" si="128"/>
        <v>0</v>
      </c>
      <c r="Y253" s="88"/>
    </row>
    <row r="254" spans="4:25">
      <c r="D254" s="1" t="s">
        <v>391</v>
      </c>
      <c r="E254" s="87">
        <f t="shared" si="108"/>
        <v>0</v>
      </c>
      <c r="F254" s="88">
        <f t="shared" si="110"/>
        <v>0</v>
      </c>
      <c r="G254" s="88">
        <f t="shared" si="111"/>
        <v>0</v>
      </c>
      <c r="H254" s="88">
        <f t="shared" si="112"/>
        <v>0</v>
      </c>
      <c r="I254" s="88">
        <f t="shared" si="113"/>
        <v>0</v>
      </c>
      <c r="J254" s="88">
        <f t="shared" si="114"/>
        <v>0</v>
      </c>
      <c r="K254" s="88">
        <f t="shared" si="115"/>
        <v>0</v>
      </c>
      <c r="L254" s="88">
        <f t="shared" si="116"/>
        <v>0</v>
      </c>
      <c r="M254" s="88">
        <f t="shared" si="117"/>
        <v>0</v>
      </c>
      <c r="N254" s="88">
        <f t="shared" si="118"/>
        <v>0</v>
      </c>
      <c r="O254" s="88">
        <f t="shared" si="119"/>
        <v>0</v>
      </c>
      <c r="P254" s="88">
        <f t="shared" si="120"/>
        <v>0</v>
      </c>
      <c r="Q254" s="88">
        <f t="shared" si="121"/>
        <v>0</v>
      </c>
      <c r="R254" s="88">
        <f t="shared" si="122"/>
        <v>0</v>
      </c>
      <c r="S254" s="88">
        <f t="shared" si="123"/>
        <v>0</v>
      </c>
      <c r="T254" s="88">
        <f t="shared" si="124"/>
        <v>0</v>
      </c>
      <c r="U254" s="88">
        <f t="shared" si="125"/>
        <v>0</v>
      </c>
      <c r="V254" s="88">
        <f t="shared" si="126"/>
        <v>0</v>
      </c>
      <c r="W254" s="88">
        <f t="shared" si="127"/>
        <v>0</v>
      </c>
      <c r="X254" s="88">
        <f t="shared" si="128"/>
        <v>0</v>
      </c>
      <c r="Y254" s="88"/>
    </row>
    <row r="255" spans="4:25">
      <c r="D255" s="1" t="s">
        <v>394</v>
      </c>
      <c r="E255" s="87">
        <f t="shared" si="108"/>
        <v>2.6139456405491757E-3</v>
      </c>
      <c r="F255" s="88">
        <f t="shared" si="110"/>
        <v>2.6139456405491757E-3</v>
      </c>
      <c r="G255" s="88">
        <f t="shared" si="111"/>
        <v>2.6139456405491757E-3</v>
      </c>
      <c r="H255" s="88">
        <f t="shared" si="112"/>
        <v>2.6139456405491757E-3</v>
      </c>
      <c r="I255" s="88">
        <f t="shared" si="113"/>
        <v>2.6139456405491757E-3</v>
      </c>
      <c r="J255" s="88">
        <f t="shared" si="114"/>
        <v>2.6139456405491757E-3</v>
      </c>
      <c r="K255" s="88">
        <f t="shared" si="115"/>
        <v>2.6139456405491757E-3</v>
      </c>
      <c r="L255" s="88">
        <f t="shared" si="116"/>
        <v>2.6139456405491757E-3</v>
      </c>
      <c r="M255" s="88">
        <f t="shared" si="117"/>
        <v>2.6139456405491757E-3</v>
      </c>
      <c r="N255" s="88">
        <f t="shared" si="118"/>
        <v>2.6139456405491757E-3</v>
      </c>
      <c r="O255" s="88">
        <f t="shared" si="119"/>
        <v>2.6139456405491757E-3</v>
      </c>
      <c r="P255" s="88">
        <f t="shared" si="120"/>
        <v>2.6139456405491757E-3</v>
      </c>
      <c r="Q255" s="88">
        <f t="shared" si="121"/>
        <v>2.6139456405491757E-3</v>
      </c>
      <c r="R255" s="88">
        <f t="shared" si="122"/>
        <v>2.6139456405491757E-3</v>
      </c>
      <c r="S255" s="88">
        <f t="shared" si="123"/>
        <v>2.6139456405491757E-3</v>
      </c>
      <c r="T255" s="88">
        <f t="shared" si="124"/>
        <v>2.6139456405491757E-3</v>
      </c>
      <c r="U255" s="88">
        <f t="shared" si="125"/>
        <v>2.6139456405491757E-3</v>
      </c>
      <c r="V255" s="88">
        <f t="shared" si="126"/>
        <v>2.6139456405491757E-3</v>
      </c>
      <c r="W255" s="88">
        <f t="shared" si="127"/>
        <v>2.6139456405491757E-3</v>
      </c>
      <c r="X255" s="88">
        <f t="shared" si="128"/>
        <v>2.6139456405491757E-3</v>
      </c>
      <c r="Y255" s="88"/>
    </row>
    <row r="257" spans="4:79" ht="15">
      <c r="D257" s="77" t="s">
        <v>146</v>
      </c>
      <c r="E257" s="77">
        <f>SUM(E224:E255)</f>
        <v>9.508634918805372</v>
      </c>
      <c r="F257" s="77">
        <f>SUM(F224:F255)</f>
        <v>9.508634918805372</v>
      </c>
      <c r="G257" s="77">
        <f t="shared" ref="G257:X257" si="129">SUM(G224:G255)</f>
        <v>9.508634918805372</v>
      </c>
      <c r="H257" s="77">
        <f t="shared" si="129"/>
        <v>9.508634918805372</v>
      </c>
      <c r="I257" s="77">
        <f t="shared" si="129"/>
        <v>9.508634918805372</v>
      </c>
      <c r="J257" s="77">
        <f t="shared" si="129"/>
        <v>9.508634918805372</v>
      </c>
      <c r="K257" s="77">
        <f t="shared" si="129"/>
        <v>9.508634918805372</v>
      </c>
      <c r="L257" s="77">
        <f t="shared" si="129"/>
        <v>9.508634918805372</v>
      </c>
      <c r="M257" s="77">
        <f t="shared" si="129"/>
        <v>9.508634918805372</v>
      </c>
      <c r="N257" s="77">
        <f t="shared" si="129"/>
        <v>9.508634918805372</v>
      </c>
      <c r="O257" s="77">
        <f t="shared" si="129"/>
        <v>9.508634918805372</v>
      </c>
      <c r="P257" s="77">
        <f t="shared" si="129"/>
        <v>9.508634918805372</v>
      </c>
      <c r="Q257" s="77">
        <f t="shared" si="129"/>
        <v>9.508634918805372</v>
      </c>
      <c r="R257" s="77">
        <f t="shared" si="129"/>
        <v>9.508634918805372</v>
      </c>
      <c r="S257" s="77">
        <f t="shared" si="129"/>
        <v>9.508634918805372</v>
      </c>
      <c r="T257" s="77">
        <f t="shared" si="129"/>
        <v>9.508634918805372</v>
      </c>
      <c r="U257" s="77">
        <f t="shared" si="129"/>
        <v>9.508634918805372</v>
      </c>
      <c r="V257" s="77">
        <f t="shared" si="129"/>
        <v>9.508634918805372</v>
      </c>
      <c r="W257" s="77">
        <f t="shared" si="129"/>
        <v>9.508634918805372</v>
      </c>
      <c r="X257" s="77">
        <f t="shared" si="129"/>
        <v>9.508634918805372</v>
      </c>
      <c r="Y257" s="7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row>
    <row r="258" spans="4:79">
      <c r="E258" s="37"/>
      <c r="F258" s="31"/>
      <c r="G258" s="31"/>
      <c r="H258" s="31"/>
      <c r="I258" s="31"/>
      <c r="J258" s="31"/>
      <c r="K258" s="31"/>
      <c r="L258" s="31"/>
      <c r="M258" s="31"/>
      <c r="N258" s="31"/>
      <c r="O258" s="31"/>
      <c r="P258" s="31"/>
      <c r="Q258" s="31"/>
      <c r="R258" s="31"/>
      <c r="S258" s="31"/>
      <c r="T258" s="31"/>
      <c r="U258" s="31"/>
      <c r="V258" s="31"/>
      <c r="W258" s="31"/>
      <c r="X258" s="31"/>
      <c r="Y258" s="31"/>
    </row>
    <row r="261" spans="4:79" customFormat="1"/>
    <row r="262" spans="4:79" customFormat="1"/>
    <row r="263" spans="4:79" customFormat="1"/>
    <row r="264" spans="4:79" customFormat="1"/>
    <row r="265" spans="4:79" customFormat="1"/>
    <row r="266" spans="4:79" customFormat="1"/>
    <row r="267" spans="4:79" customFormat="1"/>
    <row r="268" spans="4:79" customFormat="1"/>
    <row r="269" spans="4:79" customFormat="1"/>
    <row r="270" spans="4:79" customFormat="1"/>
    <row r="271" spans="4:79" customFormat="1"/>
    <row r="272" spans="4:79" customFormat="1"/>
    <row r="273" customFormat="1"/>
    <row r="274" customFormat="1"/>
    <row r="275" customFormat="1"/>
    <row r="276" customFormat="1"/>
    <row r="277" customFormat="1"/>
    <row r="278" customFormat="1"/>
    <row r="279" customFormat="1"/>
  </sheetData>
  <mergeCells count="2">
    <mergeCell ref="B1:T6"/>
    <mergeCell ref="U1:U6"/>
  </mergeCell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1:CA279"/>
  <sheetViews>
    <sheetView zoomScaleNormal="100" workbookViewId="0">
      <selection activeCell="C13" sqref="C13"/>
    </sheetView>
  </sheetViews>
  <sheetFormatPr defaultRowHeight="12.75"/>
  <cols>
    <col min="1" max="1" width="35" style="1" customWidth="1"/>
    <col min="2" max="3" width="20.7109375" style="1" customWidth="1"/>
    <col min="4" max="4" width="33.140625" style="1" customWidth="1"/>
    <col min="5" max="5" width="19.85546875" style="1" customWidth="1"/>
    <col min="6" max="6" width="9.28515625" style="1" bestFit="1" customWidth="1"/>
    <col min="7" max="24" width="9.140625" style="1"/>
    <col min="25" max="25" width="9.5703125" style="1" bestFit="1" customWidth="1"/>
    <col min="26" max="26" width="10" style="1" bestFit="1" customWidth="1"/>
    <col min="27" max="29" width="9.140625" style="1"/>
    <col min="30" max="30" width="21.7109375" style="1" customWidth="1"/>
    <col min="31" max="31" width="35.85546875" style="1" customWidth="1"/>
    <col min="32" max="32" width="35.28515625" style="1" customWidth="1"/>
    <col min="33" max="33" width="15" style="1" customWidth="1"/>
    <col min="34" max="34" width="17.7109375" style="1" customWidth="1"/>
    <col min="35" max="35" width="15.140625" style="1" customWidth="1"/>
    <col min="36" max="36" width="15.7109375" style="1" customWidth="1"/>
    <col min="37" max="37" width="21.28515625" style="1" customWidth="1"/>
    <col min="38" max="38" width="17.7109375" style="1" bestFit="1" customWidth="1"/>
    <col min="39" max="39" width="15.42578125" style="1" bestFit="1" customWidth="1"/>
    <col min="40" max="40" width="14.28515625" style="1" bestFit="1" customWidth="1"/>
    <col min="41" max="41" width="14.28515625" style="1" customWidth="1"/>
    <col min="42" max="42" width="12.5703125" style="1" customWidth="1"/>
    <col min="43" max="43" width="14" style="1" bestFit="1" customWidth="1"/>
    <col min="44" max="45" width="10.85546875" style="1" bestFit="1" customWidth="1"/>
    <col min="46" max="46" width="13.42578125" style="1" customWidth="1"/>
    <col min="47" max="47" width="11.85546875" style="1" bestFit="1" customWidth="1"/>
    <col min="48" max="48" width="11" style="1" bestFit="1" customWidth="1"/>
    <col min="49" max="49" width="14.28515625" style="1" bestFit="1" customWidth="1"/>
    <col min="50" max="50" width="10.7109375" style="1" customWidth="1"/>
    <col min="51" max="51" width="13.85546875" style="1" bestFit="1" customWidth="1"/>
    <col min="52" max="52" width="11.7109375" style="1" bestFit="1" customWidth="1"/>
    <col min="53" max="53" width="15.28515625" style="1" bestFit="1" customWidth="1"/>
    <col min="54" max="56" width="12.28515625" style="1" bestFit="1" customWidth="1"/>
    <col min="57" max="57" width="12.5703125" style="1" bestFit="1" customWidth="1"/>
    <col min="58" max="60" width="14.28515625" style="1" bestFit="1" customWidth="1"/>
    <col min="61" max="61" width="13.7109375" style="1" bestFit="1" customWidth="1"/>
    <col min="62" max="62" width="14" style="1" bestFit="1" customWidth="1"/>
    <col min="63" max="63" width="12.85546875" style="1" bestFit="1" customWidth="1"/>
    <col min="64" max="64" width="15.28515625" style="1" bestFit="1" customWidth="1"/>
    <col min="65" max="65" width="12.28515625" style="1" bestFit="1" customWidth="1"/>
    <col min="66" max="66" width="10.85546875" style="1" bestFit="1" customWidth="1"/>
    <col min="67" max="67" width="12.28515625" style="1" bestFit="1" customWidth="1"/>
    <col min="68" max="68" width="12.5703125" style="1" bestFit="1" customWidth="1"/>
    <col min="69" max="16384" width="9.140625" style="1"/>
  </cols>
  <sheetData>
    <row r="1" spans="1:68" ht="12.75" customHeight="1">
      <c r="A1" s="54" t="s">
        <v>59</v>
      </c>
      <c r="B1" s="518" t="s">
        <v>186</v>
      </c>
      <c r="C1" s="518"/>
      <c r="D1" s="518"/>
      <c r="E1" s="518"/>
      <c r="F1" s="518"/>
      <c r="G1" s="518"/>
      <c r="H1" s="518"/>
      <c r="I1" s="518"/>
      <c r="J1" s="518"/>
      <c r="K1" s="518"/>
      <c r="L1" s="518"/>
      <c r="M1" s="518"/>
      <c r="N1" s="518"/>
      <c r="O1" s="518"/>
      <c r="P1" s="518"/>
      <c r="Q1" s="518"/>
      <c r="R1" s="518"/>
      <c r="S1" s="518"/>
      <c r="T1" s="518"/>
      <c r="U1" s="518"/>
      <c r="V1" s="58"/>
      <c r="W1" s="58"/>
      <c r="X1" s="58"/>
      <c r="Y1" s="58"/>
      <c r="Z1" s="58"/>
    </row>
    <row r="2" spans="1:68" ht="12.75" customHeight="1">
      <c r="A2" s="55" t="s">
        <v>61</v>
      </c>
      <c r="B2" s="518"/>
      <c r="C2" s="518"/>
      <c r="D2" s="518"/>
      <c r="E2" s="518"/>
      <c r="F2" s="518"/>
      <c r="G2" s="518"/>
      <c r="H2" s="518"/>
      <c r="I2" s="518"/>
      <c r="J2" s="518"/>
      <c r="K2" s="518"/>
      <c r="L2" s="518"/>
      <c r="M2" s="518"/>
      <c r="N2" s="518"/>
      <c r="O2" s="518"/>
      <c r="P2" s="518"/>
      <c r="Q2" s="518"/>
      <c r="R2" s="518"/>
      <c r="S2" s="518"/>
      <c r="T2" s="518"/>
      <c r="U2" s="518"/>
      <c r="V2" s="57"/>
      <c r="W2" s="57"/>
      <c r="X2" s="57"/>
      <c r="Y2" s="57"/>
    </row>
    <row r="3" spans="1:68">
      <c r="B3" s="518"/>
      <c r="C3" s="518"/>
      <c r="D3" s="518"/>
      <c r="E3" s="518"/>
      <c r="F3" s="518"/>
      <c r="G3" s="518"/>
      <c r="H3" s="518"/>
      <c r="I3" s="518"/>
      <c r="J3" s="518"/>
      <c r="K3" s="518"/>
      <c r="L3" s="518"/>
      <c r="M3" s="518"/>
      <c r="N3" s="518"/>
      <c r="O3" s="518"/>
      <c r="P3" s="518"/>
      <c r="Q3" s="518"/>
      <c r="R3" s="518"/>
      <c r="S3" s="518"/>
      <c r="T3" s="518"/>
      <c r="U3" s="518"/>
      <c r="V3" s="57"/>
      <c r="W3" s="57"/>
      <c r="X3" s="57"/>
      <c r="Y3" s="57"/>
      <c r="Z3" s="57"/>
    </row>
    <row r="4" spans="1:68">
      <c r="B4" s="518"/>
      <c r="C4" s="518"/>
      <c r="D4" s="518"/>
      <c r="E4" s="518"/>
      <c r="F4" s="518"/>
      <c r="G4" s="518"/>
      <c r="H4" s="518"/>
      <c r="I4" s="518"/>
      <c r="J4" s="518"/>
      <c r="K4" s="518"/>
      <c r="L4" s="518"/>
      <c r="M4" s="518"/>
      <c r="N4" s="518"/>
      <c r="O4" s="518"/>
      <c r="P4" s="518"/>
      <c r="Q4" s="518"/>
      <c r="R4" s="518"/>
      <c r="S4" s="518"/>
      <c r="T4" s="518"/>
      <c r="U4" s="518"/>
      <c r="V4" s="57"/>
      <c r="W4" s="57"/>
      <c r="X4" s="57"/>
      <c r="Y4" s="57"/>
      <c r="Z4" s="57"/>
    </row>
    <row r="5" spans="1:68">
      <c r="B5" s="518"/>
      <c r="C5" s="518"/>
      <c r="D5" s="518"/>
      <c r="E5" s="518"/>
      <c r="F5" s="518"/>
      <c r="G5" s="518"/>
      <c r="H5" s="518"/>
      <c r="I5" s="518"/>
      <c r="J5" s="518"/>
      <c r="K5" s="518"/>
      <c r="L5" s="518"/>
      <c r="M5" s="518"/>
      <c r="N5" s="518"/>
      <c r="O5" s="518"/>
      <c r="P5" s="518"/>
      <c r="Q5" s="518"/>
      <c r="R5" s="518"/>
      <c r="S5" s="518"/>
      <c r="T5" s="518"/>
      <c r="U5" s="518"/>
      <c r="V5" s="57"/>
      <c r="W5" s="57"/>
      <c r="X5" s="57"/>
      <c r="Y5" s="57"/>
      <c r="Z5" s="57"/>
    </row>
    <row r="6" spans="1:68">
      <c r="B6" s="518"/>
      <c r="C6" s="518"/>
      <c r="D6" s="518"/>
      <c r="E6" s="518"/>
      <c r="F6" s="518"/>
      <c r="G6" s="518"/>
      <c r="H6" s="518"/>
      <c r="I6" s="518"/>
      <c r="J6" s="518"/>
      <c r="K6" s="518"/>
      <c r="L6" s="518"/>
      <c r="M6" s="518"/>
      <c r="N6" s="518"/>
      <c r="O6" s="518"/>
      <c r="P6" s="518"/>
      <c r="Q6" s="518"/>
      <c r="R6" s="518"/>
      <c r="S6" s="518"/>
      <c r="T6" s="518"/>
      <c r="U6" s="518"/>
      <c r="V6" s="57"/>
      <c r="W6" s="57"/>
      <c r="X6" s="57"/>
      <c r="Y6" s="57"/>
      <c r="Z6" s="57"/>
    </row>
    <row r="7" spans="1:68">
      <c r="A7" s="481"/>
      <c r="B7" s="481" t="s">
        <v>62</v>
      </c>
      <c r="C7" s="56" t="s">
        <v>153</v>
      </c>
      <c r="D7" s="56" t="s">
        <v>187</v>
      </c>
    </row>
    <row r="8" spans="1:68">
      <c r="A8" s="481" t="s">
        <v>810</v>
      </c>
      <c r="B8" s="481" t="s">
        <v>64</v>
      </c>
      <c r="C8" s="56" t="str">
        <f>[2]MLIST!$B$10</f>
        <v>Lighting</v>
      </c>
      <c r="D8" s="56" t="str">
        <f>[1]!switch_ForecastState</f>
        <v>Region</v>
      </c>
      <c r="F8"/>
    </row>
    <row r="9" spans="1:68">
      <c r="A9" s="481" t="str">
        <f>INDEX([2]ACHIEV!$A$19:$B$100,MATCH(CONCATENATE($C$8," - ",$C$7),[2]ACHIEV!$B$19:$B$100,0),1)</f>
        <v>Lighting</v>
      </c>
      <c r="B9" s="482" t="s">
        <v>65</v>
      </c>
      <c r="C9" s="56">
        <f>[2]FILES!$H$4</f>
        <v>2035</v>
      </c>
      <c r="D9" s="56" t="str">
        <f>[1]!switch_ForecastScenario</f>
        <v>Base</v>
      </c>
    </row>
    <row r="10" spans="1:68">
      <c r="A10" s="481"/>
      <c r="B10" s="481" t="s">
        <v>813</v>
      </c>
      <c r="C10" s="483">
        <f>MIN(SUM(E142:X142),Y142)</f>
        <v>370.46819560473205</v>
      </c>
      <c r="D10" s="59"/>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row>
    <row r="11" spans="1:68" ht="15">
      <c r="A11" s="63" t="s">
        <v>154</v>
      </c>
      <c r="E11" s="74">
        <v>2016</v>
      </c>
      <c r="F11" s="67">
        <v>2017</v>
      </c>
      <c r="G11" s="67">
        <v>2018</v>
      </c>
      <c r="H11" s="67">
        <v>2019</v>
      </c>
      <c r="I11" s="67">
        <v>2020</v>
      </c>
      <c r="J11" s="67">
        <v>2021</v>
      </c>
      <c r="K11" s="67">
        <v>2022</v>
      </c>
      <c r="L11" s="67">
        <v>2023</v>
      </c>
      <c r="M11" s="67">
        <v>2024</v>
      </c>
      <c r="N11" s="67">
        <v>2025</v>
      </c>
      <c r="O11" s="67">
        <v>2026</v>
      </c>
      <c r="P11" s="67">
        <v>2027</v>
      </c>
      <c r="Q11" s="67">
        <v>2028</v>
      </c>
      <c r="R11" s="67">
        <v>2029</v>
      </c>
      <c r="S11" s="67">
        <v>2030</v>
      </c>
      <c r="T11" s="67">
        <v>2031</v>
      </c>
      <c r="U11" s="67">
        <v>2032</v>
      </c>
      <c r="V11" s="67">
        <v>2033</v>
      </c>
      <c r="W11" s="67">
        <v>2034</v>
      </c>
      <c r="X11" s="67">
        <v>2035</v>
      </c>
      <c r="Y11" s="68"/>
      <c r="Z11"/>
    </row>
    <row r="12" spans="1:68" ht="15">
      <c r="E12" s="75" t="str">
        <f>CONCATENATE("HOMES_",E11)</f>
        <v>HOMES_2016</v>
      </c>
      <c r="F12" s="69" t="str">
        <f t="shared" ref="F12:X12" si="0">CONCATENATE("HOMES_",F11)</f>
        <v>HOMES_2017</v>
      </c>
      <c r="G12" s="69" t="str">
        <f t="shared" si="0"/>
        <v>HOMES_2018</v>
      </c>
      <c r="H12" s="69" t="str">
        <f t="shared" si="0"/>
        <v>HOMES_2019</v>
      </c>
      <c r="I12" s="69" t="str">
        <f t="shared" si="0"/>
        <v>HOMES_2020</v>
      </c>
      <c r="J12" s="69" t="str">
        <f t="shared" si="0"/>
        <v>HOMES_2021</v>
      </c>
      <c r="K12" s="69" t="str">
        <f t="shared" si="0"/>
        <v>HOMES_2022</v>
      </c>
      <c r="L12" s="69" t="str">
        <f t="shared" si="0"/>
        <v>HOMES_2023</v>
      </c>
      <c r="M12" s="69" t="str">
        <f t="shared" si="0"/>
        <v>HOMES_2024</v>
      </c>
      <c r="N12" s="69" t="str">
        <f t="shared" si="0"/>
        <v>HOMES_2025</v>
      </c>
      <c r="O12" s="69" t="str">
        <f t="shared" si="0"/>
        <v>HOMES_2026</v>
      </c>
      <c r="P12" s="69" t="str">
        <f t="shared" si="0"/>
        <v>HOMES_2027</v>
      </c>
      <c r="Q12" s="69" t="str">
        <f t="shared" si="0"/>
        <v>HOMES_2028</v>
      </c>
      <c r="R12" s="69" t="str">
        <f t="shared" si="0"/>
        <v>HOMES_2029</v>
      </c>
      <c r="S12" s="69" t="str">
        <f t="shared" si="0"/>
        <v>HOMES_2030</v>
      </c>
      <c r="T12" s="69" t="str">
        <f t="shared" si="0"/>
        <v>HOMES_2031</v>
      </c>
      <c r="U12" s="69" t="str">
        <f t="shared" si="0"/>
        <v>HOMES_2032</v>
      </c>
      <c r="V12" s="69" t="str">
        <f t="shared" si="0"/>
        <v>HOMES_2033</v>
      </c>
      <c r="W12" s="69" t="str">
        <f t="shared" si="0"/>
        <v>HOMES_2034</v>
      </c>
      <c r="X12" s="69" t="str">
        <f t="shared" si="0"/>
        <v>HOMES_2035</v>
      </c>
      <c r="Y12" s="70"/>
      <c r="Z12"/>
    </row>
    <row r="13" spans="1:68">
      <c r="C13" s="1" t="s">
        <v>29</v>
      </c>
      <c r="E13" s="31"/>
      <c r="F13" s="31">
        <f>INDEX([1]!tbl_Forecast,MATCH($D$8&amp;$C13&amp;$D$7,[1]!rng_ForecastRowLookup,0),MATCH(F$11,[1]!rng_ForecastColumnLookup,0))</f>
        <v>4193982.9785983553</v>
      </c>
      <c r="G13" s="31">
        <f>INDEX([1]!tbl_Forecast,MATCH($D$8&amp;$C13&amp;$D$7,[1]!rng_ForecastRowLookup,0),MATCH(G$11,[1]!rng_ForecastColumnLookup,0))</f>
        <v>4184459.3604704877</v>
      </c>
      <c r="H13" s="31">
        <f>INDEX([1]!tbl_Forecast,MATCH($D$8&amp;$C13&amp;$D$7,[1]!rng_ForecastRowLookup,0),MATCH(H$11,[1]!rng_ForecastColumnLookup,0))</f>
        <v>4174957.36839659</v>
      </c>
      <c r="I13" s="31">
        <f>INDEX([1]!tbl_Forecast,MATCH($D$8&amp;$C13&amp;$D$7,[1]!rng_ForecastRowLookup,0),MATCH(I$11,[1]!rng_ForecastColumnLookup,0))</f>
        <v>4165476.9532686244</v>
      </c>
      <c r="J13" s="31">
        <f>INDEX([1]!tbl_Forecast,MATCH($D$8&amp;$C13&amp;$D$7,[1]!rng_ForecastRowLookup,0),MATCH(J$11,[1]!rng_ForecastColumnLookup,0))</f>
        <v>4156018.0660900641</v>
      </c>
      <c r="K13" s="31">
        <f>INDEX([1]!tbl_Forecast,MATCH($D$8&amp;$C13&amp;$D$7,[1]!rng_ForecastRowLookup,0),MATCH(K$11,[1]!rng_ForecastColumnLookup,0))</f>
        <v>4146580.6579756448</v>
      </c>
      <c r="L13" s="31">
        <f>INDEX([1]!tbl_Forecast,MATCH($D$8&amp;$C13&amp;$D$7,[1]!rng_ForecastRowLookup,0),MATCH(L$11,[1]!rng_ForecastColumnLookup,0))</f>
        <v>4137164.6801511091</v>
      </c>
      <c r="M13" s="31">
        <f>INDEX([1]!tbl_Forecast,MATCH($D$8&amp;$C13&amp;$D$7,[1]!rng_ForecastRowLookup,0),MATCH(M$11,[1]!rng_ForecastColumnLookup,0))</f>
        <v>4127770.0839529554</v>
      </c>
      <c r="N13" s="31">
        <f>INDEX([1]!tbl_Forecast,MATCH($D$8&amp;$C13&amp;$D$7,[1]!rng_ForecastRowLookup,0),MATCH(N$11,[1]!rng_ForecastColumnLookup,0))</f>
        <v>4118396.8208281873</v>
      </c>
      <c r="O13" s="31">
        <f>INDEX([1]!tbl_Forecast,MATCH($D$8&amp;$C13&amp;$D$7,[1]!rng_ForecastRowLookup,0),MATCH(O$11,[1]!rng_ForecastColumnLookup,0))</f>
        <v>4109044.8423340586</v>
      </c>
      <c r="P13" s="31">
        <f>INDEX([1]!tbl_Forecast,MATCH($D$8&amp;$C13&amp;$D$7,[1]!rng_ForecastRowLookup,0),MATCH(P$11,[1]!rng_ForecastColumnLookup,0))</f>
        <v>4099714.1001378288</v>
      </c>
      <c r="Q13" s="31">
        <f>INDEX([1]!tbl_Forecast,MATCH($D$8&amp;$C13&amp;$D$7,[1]!rng_ForecastRowLookup,0),MATCH(Q$11,[1]!rng_ForecastColumnLookup,0))</f>
        <v>4090404.5460165106</v>
      </c>
      <c r="R13" s="31">
        <f>INDEX([1]!tbl_Forecast,MATCH($D$8&amp;$C13&amp;$D$7,[1]!rng_ForecastRowLookup,0),MATCH(R$11,[1]!rng_ForecastColumnLookup,0))</f>
        <v>4081116.1318566194</v>
      </c>
      <c r="S13" s="31">
        <f>INDEX([1]!tbl_Forecast,MATCH($D$8&amp;$C13&amp;$D$7,[1]!rng_ForecastRowLookup,0),MATCH(S$11,[1]!rng_ForecastColumnLookup,0))</f>
        <v>4071848.8096539262</v>
      </c>
      <c r="T13" s="31">
        <f>INDEX([1]!tbl_Forecast,MATCH($D$8&amp;$C13&amp;$D$7,[1]!rng_ForecastRowLookup,0),MATCH(T$11,[1]!rng_ForecastColumnLookup,0))</f>
        <v>4062602.5315132081</v>
      </c>
      <c r="U13" s="31">
        <f>INDEX([1]!tbl_Forecast,MATCH($D$8&amp;$C13&amp;$D$7,[1]!rng_ForecastRowLookup,0),MATCH(U$11,[1]!rng_ForecastColumnLookup,0))</f>
        <v>4053377.2496480034</v>
      </c>
      <c r="V13" s="31">
        <f>INDEX([1]!tbl_Forecast,MATCH($D$8&amp;$C13&amp;$D$7,[1]!rng_ForecastRowLookup,0),MATCH(V$11,[1]!rng_ForecastColumnLookup,0))</f>
        <v>4044172.9163803621</v>
      </c>
      <c r="W13" s="31">
        <f>INDEX([1]!tbl_Forecast,MATCH($D$8&amp;$C13&amp;$D$7,[1]!rng_ForecastRowLookup,0),MATCH(W$11,[1]!rng_ForecastColumnLookup,0))</f>
        <v>4034989.4841406001</v>
      </c>
      <c r="X13" s="31">
        <f>INDEX([1]!tbl_Forecast,MATCH($D$8&amp;$C13&amp;$D$7,[1]!rng_ForecastRowLookup,0),MATCH(X$11,[1]!rng_ForecastColumnLookup,0))</f>
        <v>4025826.9054670548</v>
      </c>
      <c r="Y13" s="31"/>
      <c r="Z13"/>
    </row>
    <row r="14" spans="1:68">
      <c r="C14" s="1" t="s">
        <v>32</v>
      </c>
      <c r="E14" s="31"/>
      <c r="F14" s="31">
        <f>INDEX([1]!tbl_Forecast,MATCH($D$8&amp;$C14&amp;$D$7,[1]!rng_ForecastRowLookup,0),MATCH(F$11,[1]!rng_ForecastColumnLookup,0))</f>
        <v>924139.92640956037</v>
      </c>
      <c r="G14" s="31">
        <f>INDEX([1]!tbl_Forecast,MATCH($D$8&amp;$C14&amp;$D$7,[1]!rng_ForecastRowLookup,0),MATCH(G$11,[1]!rng_ForecastColumnLookup,0))</f>
        <v>922041.3730050053</v>
      </c>
      <c r="H14" s="31">
        <f>INDEX([1]!tbl_Forecast,MATCH($D$8&amp;$C14&amp;$D$7,[1]!rng_ForecastRowLookup,0),MATCH(H$11,[1]!rng_ForecastColumnLookup,0))</f>
        <v>919947.58503289847</v>
      </c>
      <c r="I14" s="31">
        <f>INDEX([1]!tbl_Forecast,MATCH($D$8&amp;$C14&amp;$D$7,[1]!rng_ForecastRowLookup,0),MATCH(I$11,[1]!rng_ForecastColumnLookup,0))</f>
        <v>917858.55167181045</v>
      </c>
      <c r="J14" s="31">
        <f>INDEX([1]!tbl_Forecast,MATCH($D$8&amp;$C14&amp;$D$7,[1]!rng_ForecastRowLookup,0),MATCH(J$11,[1]!rng_ForecastColumnLookup,0))</f>
        <v>915774.26212488639</v>
      </c>
      <c r="K14" s="31">
        <f>INDEX([1]!tbl_Forecast,MATCH($D$8&amp;$C14&amp;$D$7,[1]!rng_ForecastRowLookup,0),MATCH(K$11,[1]!rng_ForecastColumnLookup,0))</f>
        <v>913694.70561978838</v>
      </c>
      <c r="L14" s="31">
        <f>INDEX([1]!tbl_Forecast,MATCH($D$8&amp;$C14&amp;$D$7,[1]!rng_ForecastRowLookup,0),MATCH(L$11,[1]!rng_ForecastColumnLookup,0))</f>
        <v>911619.87140864041</v>
      </c>
      <c r="M14" s="31">
        <f>INDEX([1]!tbl_Forecast,MATCH($D$8&amp;$C14&amp;$D$7,[1]!rng_ForecastRowLookup,0),MATCH(M$11,[1]!rng_ForecastColumnLookup,0))</f>
        <v>909549.74876797362</v>
      </c>
      <c r="N14" s="31">
        <f>INDEX([1]!tbl_Forecast,MATCH($D$8&amp;$C14&amp;$D$7,[1]!rng_ForecastRowLookup,0),MATCH(N$11,[1]!rng_ForecastColumnLookup,0))</f>
        <v>907484.32699866977</v>
      </c>
      <c r="O14" s="31">
        <f>INDEX([1]!tbl_Forecast,MATCH($D$8&amp;$C14&amp;$D$7,[1]!rng_ForecastRowLookup,0),MATCH(O$11,[1]!rng_ForecastColumnLookup,0))</f>
        <v>905423.59542590659</v>
      </c>
      <c r="P14" s="31">
        <f>INDEX([1]!tbl_Forecast,MATCH($D$8&amp;$C14&amp;$D$7,[1]!rng_ForecastRowLookup,0),MATCH(P$11,[1]!rng_ForecastColumnLookup,0))</f>
        <v>903367.54339910217</v>
      </c>
      <c r="Q14" s="31">
        <f>INDEX([1]!tbl_Forecast,MATCH($D$8&amp;$C14&amp;$D$7,[1]!rng_ForecastRowLookup,0),MATCH(Q$11,[1]!rng_ForecastColumnLookup,0))</f>
        <v>901316.16029185988</v>
      </c>
      <c r="R14" s="31">
        <f>INDEX([1]!tbl_Forecast,MATCH($D$8&amp;$C14&amp;$D$7,[1]!rng_ForecastRowLookup,0),MATCH(R$11,[1]!rng_ForecastColumnLookup,0))</f>
        <v>899269.43550191447</v>
      </c>
      <c r="S14" s="31">
        <f>INDEX([1]!tbl_Forecast,MATCH($D$8&amp;$C14&amp;$D$7,[1]!rng_ForecastRowLookup,0),MATCH(S$11,[1]!rng_ForecastColumnLookup,0))</f>
        <v>897227.35845107585</v>
      </c>
      <c r="T14" s="31">
        <f>INDEX([1]!tbl_Forecast,MATCH($D$8&amp;$C14&amp;$D$7,[1]!rng_ForecastRowLookup,0),MATCH(T$11,[1]!rng_ForecastColumnLookup,0))</f>
        <v>895189.9185851753</v>
      </c>
      <c r="U14" s="31">
        <f>INDEX([1]!tbl_Forecast,MATCH($D$8&amp;$C14&amp;$D$7,[1]!rng_ForecastRowLookup,0),MATCH(U$11,[1]!rng_ForecastColumnLookup,0))</f>
        <v>893157.10537401051</v>
      </c>
      <c r="V14" s="31">
        <f>INDEX([1]!tbl_Forecast,MATCH($D$8&amp;$C14&amp;$D$7,[1]!rng_ForecastRowLookup,0),MATCH(V$11,[1]!rng_ForecastColumnLookup,0))</f>
        <v>891128.90831129183</v>
      </c>
      <c r="W14" s="31">
        <f>INDEX([1]!tbl_Forecast,MATCH($D$8&amp;$C14&amp;$D$7,[1]!rng_ForecastRowLookup,0),MATCH(W$11,[1]!rng_ForecastColumnLookup,0))</f>
        <v>889105.31691458682</v>
      </c>
      <c r="X14" s="31">
        <f>INDEX([1]!tbl_Forecast,MATCH($D$8&amp;$C14&amp;$D$7,[1]!rng_ForecastRowLookup,0),MATCH(X$11,[1]!rng_ForecastColumnLookup,0))</f>
        <v>887086.32072526717</v>
      </c>
      <c r="Y14" s="31"/>
      <c r="Z14" s="31"/>
    </row>
    <row r="15" spans="1:68">
      <c r="C15" s="1" t="s">
        <v>33</v>
      </c>
      <c r="E15" s="31"/>
      <c r="F15" s="31">
        <f>INDEX([1]!tbl_Forecast,MATCH($D$8&amp;$C15&amp;$D$7,[1]!rng_ForecastRowLookup,0),MATCH(F$11,[1]!rng_ForecastColumnLookup,0))</f>
        <v>210700.52836963299</v>
      </c>
      <c r="G15" s="31">
        <f>INDEX([1]!tbl_Forecast,MATCH($D$8&amp;$C15&amp;$D$7,[1]!rng_ForecastRowLookup,0),MATCH(G$11,[1]!rng_ForecastColumnLookup,0))</f>
        <v>210222.06585706791</v>
      </c>
      <c r="H15" s="31">
        <f>INDEX([1]!tbl_Forecast,MATCH($D$8&amp;$C15&amp;$D$7,[1]!rng_ForecastRowLookup,0),MATCH(H$11,[1]!rng_ForecastColumnLookup,0))</f>
        <v>209744.68984569819</v>
      </c>
      <c r="I15" s="31">
        <f>INDEX([1]!tbl_Forecast,MATCH($D$8&amp;$C15&amp;$D$7,[1]!rng_ForecastRowLookup,0),MATCH(I$11,[1]!rng_ForecastColumnLookup,0))</f>
        <v>209268.39786827751</v>
      </c>
      <c r="J15" s="31">
        <f>INDEX([1]!tbl_Forecast,MATCH($D$8&amp;$C15&amp;$D$7,[1]!rng_ForecastRowLookup,0),MATCH(J$11,[1]!rng_ForecastColumnLookup,0))</f>
        <v>208793.18746316229</v>
      </c>
      <c r="K15" s="31">
        <f>INDEX([1]!tbl_Forecast,MATCH($D$8&amp;$C15&amp;$D$7,[1]!rng_ForecastRowLookup,0),MATCH(K$11,[1]!rng_ForecastColumnLookup,0))</f>
        <v>208319.05617429892</v>
      </c>
      <c r="L15" s="31">
        <f>INDEX([1]!tbl_Forecast,MATCH($D$8&amp;$C15&amp;$D$7,[1]!rng_ForecastRowLookup,0),MATCH(L$11,[1]!rng_ForecastColumnLookup,0))</f>
        <v>207846.00155121088</v>
      </c>
      <c r="M15" s="31">
        <f>INDEX([1]!tbl_Forecast,MATCH($D$8&amp;$C15&amp;$D$7,[1]!rng_ForecastRowLookup,0),MATCH(M$11,[1]!rng_ForecastColumnLookup,0))</f>
        <v>207374.0211489865</v>
      </c>
      <c r="N15" s="31">
        <f>INDEX([1]!tbl_Forecast,MATCH($D$8&amp;$C15&amp;$D$7,[1]!rng_ForecastRowLookup,0),MATCH(N$11,[1]!rng_ForecastColumnLookup,0))</f>
        <v>206903.11252826577</v>
      </c>
      <c r="O15" s="31">
        <f>INDEX([1]!tbl_Forecast,MATCH($D$8&amp;$C15&amp;$D$7,[1]!rng_ForecastRowLookup,0),MATCH(O$11,[1]!rng_ForecastColumnLookup,0))</f>
        <v>206433.27325522827</v>
      </c>
      <c r="P15" s="31">
        <f>INDEX([1]!tbl_Forecast,MATCH($D$8&amp;$C15&amp;$D$7,[1]!rng_ForecastRowLookup,0),MATCH(P$11,[1]!rng_ForecastColumnLookup,0))</f>
        <v>205964.50090158021</v>
      </c>
      <c r="Q15" s="31">
        <f>INDEX([1]!tbl_Forecast,MATCH($D$8&amp;$C15&amp;$D$7,[1]!rng_ForecastRowLookup,0),MATCH(Q$11,[1]!rng_ForecastColumnLookup,0))</f>
        <v>205496.79304454199</v>
      </c>
      <c r="R15" s="31">
        <f>INDEX([1]!tbl_Forecast,MATCH($D$8&amp;$C15&amp;$D$7,[1]!rng_ForecastRowLookup,0),MATCH(R$11,[1]!rng_ForecastColumnLookup,0))</f>
        <v>205030.14726683579</v>
      </c>
      <c r="S15" s="31">
        <f>INDEX([1]!tbl_Forecast,MATCH($D$8&amp;$C15&amp;$D$7,[1]!rng_ForecastRowLookup,0),MATCH(S$11,[1]!rng_ForecastColumnLookup,0))</f>
        <v>204564.56115667295</v>
      </c>
      <c r="T15" s="31">
        <f>INDEX([1]!tbl_Forecast,MATCH($D$8&amp;$C15&amp;$D$7,[1]!rng_ForecastRowLookup,0),MATCH(T$11,[1]!rng_ForecastColumnLookup,0))</f>
        <v>204100.03230774152</v>
      </c>
      <c r="U15" s="31">
        <f>INDEX([1]!tbl_Forecast,MATCH($D$8&amp;$C15&amp;$D$7,[1]!rng_ForecastRowLookup,0),MATCH(U$11,[1]!rng_ForecastColumnLookup,0))</f>
        <v>203636.55831919383</v>
      </c>
      <c r="V15" s="31">
        <f>INDEX([1]!tbl_Forecast,MATCH($D$8&amp;$C15&amp;$D$7,[1]!rng_ForecastRowLookup,0),MATCH(V$11,[1]!rng_ForecastColumnLookup,0))</f>
        <v>203174.13679563423</v>
      </c>
      <c r="W15" s="31">
        <f>INDEX([1]!tbl_Forecast,MATCH($D$8&amp;$C15&amp;$D$7,[1]!rng_ForecastRowLookup,0),MATCH(W$11,[1]!rng_ForecastColumnLookup,0))</f>
        <v>202712.76534710638</v>
      </c>
      <c r="X15" s="31">
        <f>INDEX([1]!tbl_Forecast,MATCH($D$8&amp;$C15&amp;$D$7,[1]!rng_ForecastRowLookup,0),MATCH(X$11,[1]!rng_ForecastColumnLookup,0))</f>
        <v>202252.44158908122</v>
      </c>
      <c r="Y15" s="31"/>
      <c r="Z15" s="31"/>
    </row>
    <row r="16" spans="1:68">
      <c r="C16" s="1" t="s">
        <v>30</v>
      </c>
      <c r="E16" s="31"/>
      <c r="F16" s="31">
        <f>INDEX([1]!tbl_Forecast,MATCH($D$8&amp;$C16&amp;$D$7,[1]!rng_ForecastRowLookup,0),MATCH(F$11,[1]!rng_ForecastColumnLookup,0))</f>
        <v>565893.30394507048</v>
      </c>
      <c r="G16" s="31">
        <f>INDEX([1]!tbl_Forecast,MATCH($D$8&amp;$C16&amp;$D$7,[1]!rng_ForecastRowLookup,0),MATCH(G$11,[1]!rng_ForecastColumnLookup,0))</f>
        <v>559845.60985814757</v>
      </c>
      <c r="H16" s="31">
        <f>INDEX([1]!tbl_Forecast,MATCH($D$8&amp;$C16&amp;$D$7,[1]!rng_ForecastRowLookup,0),MATCH(H$11,[1]!rng_ForecastColumnLookup,0))</f>
        <v>553862.54739615123</v>
      </c>
      <c r="I16" s="31">
        <f>INDEX([1]!tbl_Forecast,MATCH($D$8&amp;$C16&amp;$D$7,[1]!rng_ForecastRowLookup,0),MATCH(I$11,[1]!rng_ForecastColumnLookup,0))</f>
        <v>547943.42584177968</v>
      </c>
      <c r="J16" s="31">
        <f>INDEX([1]!tbl_Forecast,MATCH($D$8&amp;$C16&amp;$D$7,[1]!rng_ForecastRowLookup,0),MATCH(J$11,[1]!rng_ForecastColumnLookup,0))</f>
        <v>542087.56185941794</v>
      </c>
      <c r="K16" s="31">
        <f>INDEX([1]!tbl_Forecast,MATCH($D$8&amp;$C16&amp;$D$7,[1]!rng_ForecastRowLookup,0),MATCH(K$11,[1]!rng_ForecastColumnLookup,0))</f>
        <v>536294.27941624937</v>
      </c>
      <c r="L16" s="31">
        <f>INDEX([1]!tbl_Forecast,MATCH($D$8&amp;$C16&amp;$D$7,[1]!rng_ForecastRowLookup,0),MATCH(L$11,[1]!rng_ForecastColumnLookup,0))</f>
        <v>530562.90970421082</v>
      </c>
      <c r="M16" s="31">
        <f>INDEX([1]!tbl_Forecast,MATCH($D$8&amp;$C16&amp;$D$7,[1]!rng_ForecastRowLookup,0),MATCH(M$11,[1]!rng_ForecastColumnLookup,0))</f>
        <v>524892.79106278194</v>
      </c>
      <c r="N16" s="31">
        <f>INDEX([1]!tbl_Forecast,MATCH($D$8&amp;$C16&amp;$D$7,[1]!rng_ForecastRowLookup,0),MATCH(N$11,[1]!rng_ForecastColumnLookup,0))</f>
        <v>519283.26890259917</v>
      </c>
      <c r="O16" s="31">
        <f>INDEX([1]!tbl_Forecast,MATCH($D$8&amp;$C16&amp;$D$7,[1]!rng_ForecastRowLookup,0),MATCH(O$11,[1]!rng_ForecastColumnLookup,0))</f>
        <v>513733.69562988722</v>
      </c>
      <c r="P16" s="31">
        <f>INDEX([1]!tbl_Forecast,MATCH($D$8&amp;$C16&amp;$D$7,[1]!rng_ForecastRowLookup,0),MATCH(P$11,[1]!rng_ForecastColumnLookup,0))</f>
        <v>508243.4305716962</v>
      </c>
      <c r="Q16" s="31">
        <f>INDEX([1]!tbl_Forecast,MATCH($D$8&amp;$C16&amp;$D$7,[1]!rng_ForecastRowLookup,0),MATCH(Q$11,[1]!rng_ForecastColumnLookup,0))</f>
        <v>502811.8399019395</v>
      </c>
      <c r="R16" s="31">
        <f>INDEX([1]!tbl_Forecast,MATCH($D$8&amp;$C16&amp;$D$7,[1]!rng_ForecastRowLookup,0),MATCH(R$11,[1]!rng_ForecastColumnLookup,0))</f>
        <v>497438.2965682213</v>
      </c>
      <c r="S16" s="31">
        <f>INDEX([1]!tbl_Forecast,MATCH($D$8&amp;$C16&amp;$D$7,[1]!rng_ForecastRowLookup,0),MATCH(S$11,[1]!rng_ForecastColumnLookup,0))</f>
        <v>492122.18021944637</v>
      </c>
      <c r="T16" s="31">
        <f>INDEX([1]!tbl_Forecast,MATCH($D$8&amp;$C16&amp;$D$7,[1]!rng_ForecastRowLookup,0),MATCH(T$11,[1]!rng_ForecastColumnLookup,0))</f>
        <v>486862.87713420321</v>
      </c>
      <c r="U16" s="31">
        <f>INDEX([1]!tbl_Forecast,MATCH($D$8&amp;$C16&amp;$D$7,[1]!rng_ForecastRowLookup,0),MATCH(U$11,[1]!rng_ForecastColumnLookup,0))</f>
        <v>481659.78014991269</v>
      </c>
      <c r="V16" s="31">
        <f>INDEX([1]!tbl_Forecast,MATCH($D$8&amp;$C16&amp;$D$7,[1]!rng_ForecastRowLookup,0),MATCH(V$11,[1]!rng_ForecastColumnLookup,0))</f>
        <v>476512.28859273402</v>
      </c>
      <c r="W16" s="31">
        <f>INDEX([1]!tbl_Forecast,MATCH($D$8&amp;$C16&amp;$D$7,[1]!rng_ForecastRowLookup,0),MATCH(W$11,[1]!rng_ForecastColumnLookup,0))</f>
        <v>471419.80820821953</v>
      </c>
      <c r="X16" s="31">
        <f>INDEX([1]!tbl_Forecast,MATCH($D$8&amp;$C16&amp;$D$7,[1]!rng_ForecastRowLookup,0),MATCH(X$11,[1]!rng_ForecastColumnLookup,0))</f>
        <v>466381.75109271082</v>
      </c>
      <c r="Y16" s="31"/>
      <c r="Z16" s="31"/>
    </row>
    <row r="17" spans="1:32">
      <c r="E17" s="31"/>
      <c r="F17" s="31"/>
      <c r="G17" s="31"/>
      <c r="H17" s="31"/>
      <c r="I17" s="31"/>
      <c r="J17" s="31"/>
      <c r="K17" s="31"/>
      <c r="L17" s="31"/>
      <c r="M17" s="31"/>
      <c r="N17" s="31"/>
      <c r="O17" s="31"/>
      <c r="P17" s="31"/>
      <c r="Q17" s="31"/>
      <c r="R17" s="31"/>
      <c r="S17" s="31"/>
      <c r="T17" s="31"/>
      <c r="U17" s="31"/>
      <c r="V17" s="31"/>
      <c r="W17" s="31"/>
      <c r="X17" s="31"/>
      <c r="Y17" s="31"/>
    </row>
    <row r="18" spans="1:32">
      <c r="B18" s="1" t="s">
        <v>67</v>
      </c>
      <c r="C18" s="1" t="s">
        <v>68</v>
      </c>
      <c r="E18" s="31"/>
      <c r="F18" s="31">
        <f t="shared" ref="F18:X18" si="1">SUM(F13:F16)</f>
        <v>5894716.7373226183</v>
      </c>
      <c r="G18" s="31">
        <f t="shared" si="1"/>
        <v>5876568.4091907088</v>
      </c>
      <c r="H18" s="31">
        <f t="shared" si="1"/>
        <v>5858512.1906713378</v>
      </c>
      <c r="I18" s="31">
        <f t="shared" si="1"/>
        <v>5840547.3286504922</v>
      </c>
      <c r="J18" s="31">
        <f t="shared" si="1"/>
        <v>5822673.077537531</v>
      </c>
      <c r="K18" s="31">
        <f t="shared" si="1"/>
        <v>5804888.6991859814</v>
      </c>
      <c r="L18" s="31">
        <f t="shared" si="1"/>
        <v>5787193.462815172</v>
      </c>
      <c r="M18" s="31">
        <f t="shared" si="1"/>
        <v>5769586.6449326966</v>
      </c>
      <c r="N18" s="31">
        <f t="shared" si="1"/>
        <v>5752067.5292577213</v>
      </c>
      <c r="O18" s="31">
        <f t="shared" si="1"/>
        <v>5734635.406645081</v>
      </c>
      <c r="P18" s="31">
        <f t="shared" si="1"/>
        <v>5717289.5750102066</v>
      </c>
      <c r="Q18" s="31">
        <f t="shared" si="1"/>
        <v>5700029.3392548524</v>
      </c>
      <c r="R18" s="31">
        <f t="shared" si="1"/>
        <v>5682854.0111935912</v>
      </c>
      <c r="S18" s="31">
        <f t="shared" si="1"/>
        <v>5665762.9094811222</v>
      </c>
      <c r="T18" s="31">
        <f t="shared" si="1"/>
        <v>5648755.3595403275</v>
      </c>
      <c r="U18" s="31">
        <f t="shared" si="1"/>
        <v>5631830.6934911208</v>
      </c>
      <c r="V18" s="31">
        <f t="shared" si="1"/>
        <v>5614988.250080023</v>
      </c>
      <c r="W18" s="31">
        <f t="shared" si="1"/>
        <v>5598227.3746105134</v>
      </c>
      <c r="X18" s="31">
        <f t="shared" si="1"/>
        <v>5581547.4188741138</v>
      </c>
      <c r="Y18" s="31"/>
      <c r="Z18" s="31"/>
    </row>
    <row r="19" spans="1:32">
      <c r="E19" s="31"/>
      <c r="F19" s="31"/>
      <c r="G19" s="31"/>
      <c r="H19" s="31"/>
      <c r="I19" s="31"/>
      <c r="J19" s="31"/>
      <c r="K19" s="31"/>
      <c r="L19" s="31"/>
      <c r="M19" s="31"/>
      <c r="N19" s="31"/>
      <c r="O19" s="31"/>
      <c r="P19" s="31"/>
      <c r="Q19" s="31"/>
      <c r="R19" s="31"/>
      <c r="S19" s="31"/>
      <c r="T19" s="31"/>
      <c r="U19" s="31"/>
      <c r="V19" s="31"/>
      <c r="W19" s="31"/>
      <c r="X19" s="31"/>
      <c r="Y19" s="31"/>
    </row>
    <row r="20" spans="1:32">
      <c r="E20" s="31"/>
      <c r="F20" s="31"/>
      <c r="G20" s="31"/>
      <c r="H20" s="31"/>
      <c r="I20" s="31"/>
      <c r="J20" s="31"/>
      <c r="K20" s="31"/>
      <c r="L20" s="31"/>
      <c r="M20" s="31"/>
      <c r="N20" s="31"/>
      <c r="O20" s="31"/>
      <c r="P20" s="31"/>
      <c r="Q20" s="31"/>
      <c r="R20" s="31"/>
      <c r="S20" s="31"/>
      <c r="T20" s="31"/>
      <c r="U20" s="31"/>
      <c r="V20" s="31"/>
      <c r="W20" s="31"/>
      <c r="X20" s="31"/>
      <c r="Y20" s="31"/>
    </row>
    <row r="21" spans="1:32" ht="15">
      <c r="A21" s="63" t="s">
        <v>155</v>
      </c>
      <c r="E21" s="31"/>
      <c r="F21" s="31"/>
      <c r="G21" s="31"/>
      <c r="H21" s="31"/>
      <c r="I21" s="31"/>
      <c r="J21" s="31"/>
      <c r="K21" s="31"/>
      <c r="L21" s="31"/>
      <c r="M21" s="31"/>
      <c r="N21" s="31"/>
      <c r="O21" s="31"/>
      <c r="P21" s="31"/>
      <c r="Q21" s="31"/>
      <c r="R21" s="31"/>
      <c r="S21" s="31"/>
      <c r="T21" s="31"/>
      <c r="U21" s="31"/>
      <c r="V21" s="31"/>
      <c r="W21" s="31"/>
      <c r="X21" s="31"/>
      <c r="Y21" s="31"/>
    </row>
    <row r="22" spans="1:32" ht="15">
      <c r="A22" s="1" t="s">
        <v>156</v>
      </c>
      <c r="E22" s="61">
        <v>1</v>
      </c>
      <c r="F22" s="61">
        <v>2</v>
      </c>
      <c r="G22" s="61">
        <v>3</v>
      </c>
      <c r="H22" s="61">
        <v>4</v>
      </c>
      <c r="I22" s="61">
        <v>5</v>
      </c>
      <c r="J22" s="61">
        <v>6</v>
      </c>
      <c r="K22" s="61">
        <v>7</v>
      </c>
      <c r="L22" s="61">
        <v>8</v>
      </c>
      <c r="M22" s="61">
        <v>9</v>
      </c>
      <c r="N22" s="61">
        <v>10</v>
      </c>
      <c r="O22" s="61">
        <v>11</v>
      </c>
      <c r="P22" s="61">
        <v>12</v>
      </c>
      <c r="Q22" s="61">
        <v>13</v>
      </c>
      <c r="R22" s="61">
        <v>14</v>
      </c>
      <c r="S22" s="61">
        <v>15</v>
      </c>
      <c r="T22" s="61">
        <v>16</v>
      </c>
      <c r="U22" s="61">
        <v>17</v>
      </c>
      <c r="V22" s="61">
        <v>18</v>
      </c>
      <c r="W22" s="61">
        <v>19</v>
      </c>
      <c r="X22" s="61">
        <v>20</v>
      </c>
      <c r="Y22" s="61"/>
    </row>
    <row r="23" spans="1:32">
      <c r="A23" s="1" t="s">
        <v>812</v>
      </c>
      <c r="C23" s="1" t="str">
        <f>C13</f>
        <v>Single Family</v>
      </c>
      <c r="E23" s="31">
        <f>IF(E$22&lt;=1/$C$43,0,INDEX('SC-New (2)'!$E192:$Y195,1,E$22-ROUND(1/$C$43,0)))</f>
        <v>0</v>
      </c>
      <c r="F23" s="31">
        <f>IF(F$22&lt;=1/$C$43,0,INDEX('SC-New (2)'!$E192:$Y195,1,F$22-ROUND(1/$C$43,0)))</f>
        <v>0</v>
      </c>
      <c r="G23" s="31">
        <f>IF(G$22&lt;=1/$C$43,0,INDEX('SC-New (2)'!$E192:$Y195,1,G$22-ROUND(1/$C$43,0)))</f>
        <v>0</v>
      </c>
      <c r="H23" s="31">
        <f>IF(H$22&lt;=1/$C$43,0,INDEX('SC-New (2)'!$E192:$Y195,1,H$22-ROUND(1/$C$43,0)))</f>
        <v>0</v>
      </c>
      <c r="I23" s="31">
        <f>IF(I$22&lt;=1/$C$43,0,INDEX('SC-New (2)'!$E192:$Y195,1,I$22-ROUND(1/$C$43,0)))</f>
        <v>0</v>
      </c>
      <c r="J23" s="31">
        <f>IF(J$22&lt;=1/$C$43,0,INDEX('SC-New (2)'!$E192:$Y195,1,J$22-ROUND(1/$C$43,0)))</f>
        <v>0</v>
      </c>
      <c r="K23" s="31">
        <f>IF(K$22&lt;=1/$C$43,0,INDEX('SC-New (2)'!$E192:$Y195,1,K$22-ROUND(1/$C$43,0)))</f>
        <v>0</v>
      </c>
      <c r="L23" s="31">
        <f>IF(L$22&lt;=1/$C$43,0,INDEX('SC-New (2)'!$E192:$Y195,1,L$22-ROUND(1/$C$43,0)))</f>
        <v>0</v>
      </c>
      <c r="M23" s="31">
        <f>IF(M$22&lt;=1/$C$43,0,INDEX('SC-New'!$E192:$Y195,1,M$22-ROUND(1/$C$43,0)))</f>
        <v>50899.624317131558</v>
      </c>
      <c r="N23" s="31">
        <f>IF(N$22&lt;=1/$C$43,0,INDEX('SC-New (2)'!$E192:$Y195,1,N$22-ROUND(1/$C$43,0)))</f>
        <v>40785.644939176222</v>
      </c>
      <c r="O23" s="31">
        <f>IF(O$22&lt;=1/$C$43,0,INDEX('SC-New (2)'!$E192:$Y195,1,O$22-ROUND(1/$C$43,0)))</f>
        <v>33473.097728948444</v>
      </c>
      <c r="P23" s="31">
        <f>IF(P$22&lt;=1/$C$43,0,INDEX('SC-New (2)'!$E192:$Y195,1,P$22-ROUND(1/$C$43,0)))</f>
        <v>28477.446883798006</v>
      </c>
      <c r="Q23" s="31">
        <f>IF(Q$22&lt;=1/$C$43,0,INDEX('SC-New (2)'!$E192:$Y195,1,Q$22-ROUND(1/$C$43,0)))</f>
        <v>24381.193650602392</v>
      </c>
      <c r="R23" s="31">
        <f>IF(R$22&lt;=1/$C$43,0,INDEX('SC-New (2)'!$E192:$Y195,1,R$22-ROUND(1/$C$43,0)))</f>
        <v>20484.136423919997</v>
      </c>
      <c r="S23" s="31">
        <f>IF(S$22&lt;=1/$C$43,0,INDEX('SC-New (2)'!$E192:$Y195,1,S$22-ROUND(1/$C$43,0)))</f>
        <v>17626.264906381901</v>
      </c>
      <c r="T23" s="31">
        <f>IF(T$22&lt;=1/$C$43,0,INDEX('SC-New (2)'!$E192:$Y195,1,T$22-ROUND(1/$C$43,0)))</f>
        <v>15608.036037548161</v>
      </c>
      <c r="U23" s="31">
        <f>IF(U$22&lt;=1/$C$43,0,INDEX('SC-New (2)'!$E192:$Y195,1,U$22-ROUND(1/$C$43,0)))</f>
        <v>13832.256342965207</v>
      </c>
      <c r="V23" s="31">
        <f>IF(V$22&lt;=1/$C$43,0,INDEX('SC-New (2)'!$E192:$Y195,1,V$22-ROUND(1/$C$43,0)))</f>
        <v>12699.654230121574</v>
      </c>
      <c r="W23" s="31">
        <f>IF(W$22&lt;=1/$C$43,0,INDEX('SC-New (2)'!$E192:$Y195,1,W$22-ROUND(1/$C$43,0)))</f>
        <v>11630.107137690648</v>
      </c>
      <c r="X23" s="31">
        <f>IF(X$22&lt;=1/$C$43,0,INDEX('SC-New (2)'!$E192:$Y195,1,X$22-ROUND(1/$C$43,0)))</f>
        <v>10590.342364706681</v>
      </c>
      <c r="Y23" s="31"/>
      <c r="Z23" s="31"/>
      <c r="AB23" s="31"/>
      <c r="AC23" s="31"/>
      <c r="AD23" s="31"/>
      <c r="AE23" s="31"/>
      <c r="AF23" s="31"/>
    </row>
    <row r="24" spans="1:32">
      <c r="C24" s="1" t="str">
        <f t="shared" ref="C24:C26" si="2">C14</f>
        <v>Multifamily - Low Rise</v>
      </c>
      <c r="E24" s="31">
        <f>IF(E$22&lt;=1/$C$43,0,INDEX('SC-New (2)'!$E193:$Y196,1,E$22-ROUND(1/$C$43,0)))</f>
        <v>0</v>
      </c>
      <c r="F24" s="31">
        <f>IF(F$22&lt;=1/$C$43,0,INDEX('SC-New (2)'!$E193:$Y196,1,F$22-ROUND(1/$C$43,0)))</f>
        <v>0</v>
      </c>
      <c r="G24" s="31">
        <f>IF(G$22&lt;=1/$C$43,0,INDEX('SC-New (2)'!$E193:$Y196,1,G$22-ROUND(1/$C$43,0)))</f>
        <v>0</v>
      </c>
      <c r="H24" s="31">
        <f>IF(H$22&lt;=1/$C$43,0,INDEX('SC-New (2)'!$E193:$Y196,1,H$22-ROUND(1/$C$43,0)))</f>
        <v>0</v>
      </c>
      <c r="I24" s="31">
        <f>IF(I$22&lt;=1/$C$43,0,INDEX('SC-New (2)'!$E193:$Y196,1,I$22-ROUND(1/$C$43,0)))</f>
        <v>0</v>
      </c>
      <c r="J24" s="31">
        <f>IF(J$22&lt;=1/$C$43,0,INDEX('SC-New (2)'!$E193:$Y196,1,J$22-ROUND(1/$C$43,0)))</f>
        <v>0</v>
      </c>
      <c r="K24" s="31">
        <f>IF(K$22&lt;=1/$C$43,0,INDEX('SC-New (2)'!$E193:$Y196,1,K$22-ROUND(1/$C$43,0)))</f>
        <v>0</v>
      </c>
      <c r="L24" s="31">
        <f>IF(L$22&lt;=1/$C$43,0,INDEX('SC-New (2)'!$E193:$Y196,1,L$22-ROUND(1/$C$43,0)))</f>
        <v>0</v>
      </c>
      <c r="M24" s="31">
        <f>IF(M$22&lt;=1/$C$43,0,INDEX('SC-New'!$E193:$Y196,1,M$22-ROUND(1/$C$43,0)))</f>
        <v>18903.191734640481</v>
      </c>
      <c r="N24" s="31">
        <f>IF(N$22&lt;=1/$C$43,0,INDEX('SC-New (2)'!$E193:$Y196,1,N$22-ROUND(1/$C$43,0)))</f>
        <v>15656.310180137214</v>
      </c>
      <c r="O24" s="31">
        <f>IF(O$22&lt;=1/$C$43,0,INDEX('SC-New (2)'!$E193:$Y196,1,O$22-ROUND(1/$C$43,0)))</f>
        <v>13435.180356461946</v>
      </c>
      <c r="P24" s="31">
        <f>IF(P$22&lt;=1/$C$43,0,INDEX('SC-New (2)'!$E193:$Y196,1,P$22-ROUND(1/$C$43,0)))</f>
        <v>11438.543291832562</v>
      </c>
      <c r="Q24" s="31">
        <f>IF(Q$22&lt;=1/$C$43,0,INDEX('SC-New (2)'!$E193:$Y196,1,Q$22-ROUND(1/$C$43,0)))</f>
        <v>9485.8547709480154</v>
      </c>
      <c r="R24" s="31">
        <f>IF(R$22&lt;=1/$C$43,0,INDEX('SC-New (2)'!$E193:$Y196,1,R$22-ROUND(1/$C$43,0)))</f>
        <v>8064.0605833059617</v>
      </c>
      <c r="S24" s="31">
        <f>IF(S$22&lt;=1/$C$43,0,INDEX('SC-New (2)'!$E193:$Y196,1,S$22-ROUND(1/$C$43,0)))</f>
        <v>7072.9696901663829</v>
      </c>
      <c r="T24" s="31">
        <f>IF(T$22&lt;=1/$C$43,0,INDEX('SC-New (2)'!$E193:$Y196,1,T$22-ROUND(1/$C$43,0)))</f>
        <v>6410.2215610574258</v>
      </c>
      <c r="U24" s="31">
        <f>IF(U$22&lt;=1/$C$43,0,INDEX('SC-New (2)'!$E193:$Y196,1,U$22-ROUND(1/$C$43,0)))</f>
        <v>5879.7476675022317</v>
      </c>
      <c r="V24" s="31">
        <f>IF(V$22&lt;=1/$C$43,0,INDEX('SC-New (2)'!$E193:$Y196,1,V$22-ROUND(1/$C$43,0)))</f>
        <v>5448.2076877330637</v>
      </c>
      <c r="W24" s="31">
        <f>IF(W$22&lt;=1/$C$43,0,INDEX('SC-New (2)'!$E193:$Y196,1,W$22-ROUND(1/$C$43,0)))</f>
        <v>4975.4513378054507</v>
      </c>
      <c r="X24" s="31">
        <f>IF(X$22&lt;=1/$C$43,0,INDEX('SC-New (2)'!$E193:$Y196,1,X$22-ROUND(1/$C$43,0)))</f>
        <v>4590.8152599060122</v>
      </c>
      <c r="Y24" s="31"/>
      <c r="Z24" s="31"/>
      <c r="AB24" s="31"/>
      <c r="AC24" s="31"/>
      <c r="AD24" s="31"/>
      <c r="AE24" s="31"/>
      <c r="AF24" s="31"/>
    </row>
    <row r="25" spans="1:32">
      <c r="C25" s="1" t="str">
        <f t="shared" si="2"/>
        <v>Multifamily - High Rise</v>
      </c>
      <c r="E25" s="31">
        <f>IF(E$22&lt;=1/$C$43,0,INDEX('SC-New (2)'!$E194:$Y197,1,E$22-ROUND(1/$C$43,0)))</f>
        <v>0</v>
      </c>
      <c r="F25" s="31">
        <f>IF(F$22&lt;=1/$C$43,0,INDEX('SC-New (2)'!$E194:$Y197,1,F$22-ROUND(1/$C$43,0)))</f>
        <v>0</v>
      </c>
      <c r="G25" s="31">
        <f>IF(G$22&lt;=1/$C$43,0,INDEX('SC-New (2)'!$E194:$Y197,1,G$22-ROUND(1/$C$43,0)))</f>
        <v>0</v>
      </c>
      <c r="H25" s="31">
        <f>IF(H$22&lt;=1/$C$43,0,INDEX('SC-New (2)'!$E194:$Y197,1,H$22-ROUND(1/$C$43,0)))</f>
        <v>0</v>
      </c>
      <c r="I25" s="31">
        <f>IF(I$22&lt;=1/$C$43,0,INDEX('SC-New (2)'!$E194:$Y197,1,I$22-ROUND(1/$C$43,0)))</f>
        <v>0</v>
      </c>
      <c r="J25" s="31">
        <f>IF(J$22&lt;=1/$C$43,0,INDEX('SC-New (2)'!$E194:$Y197,1,J$22-ROUND(1/$C$43,0)))</f>
        <v>0</v>
      </c>
      <c r="K25" s="31">
        <f>IF(K$22&lt;=1/$C$43,0,INDEX('SC-New (2)'!$E194:$Y197,1,K$22-ROUND(1/$C$43,0)))</f>
        <v>0</v>
      </c>
      <c r="L25" s="31">
        <f>IF(L$22&lt;=1/$C$43,0,INDEX('SC-New (2)'!$E194:$Y197,1,L$22-ROUND(1/$C$43,0)))</f>
        <v>0</v>
      </c>
      <c r="M25" s="31">
        <f>IF(M$22&lt;=1/$C$43,0,INDEX('SC-New'!$E194:$Y197,1,M$22-ROUND(1/$C$43,0)))</f>
        <v>4243.6048116843558</v>
      </c>
      <c r="N25" s="31">
        <f>IF(N$22&lt;=1/$C$43,0,INDEX('SC-New (2)'!$E194:$Y197,1,N$22-ROUND(1/$C$43,0)))</f>
        <v>3564.1847889739611</v>
      </c>
      <c r="O25" s="31">
        <f>IF(O$22&lt;=1/$C$43,0,INDEX('SC-New (2)'!$E194:$Y197,1,O$22-ROUND(1/$C$43,0)))</f>
        <v>3104.5748424320614</v>
      </c>
      <c r="P25" s="31">
        <f>IF(P$22&lt;=1/$C$43,0,INDEX('SC-New (2)'!$E194:$Y197,1,P$22-ROUND(1/$C$43,0)))</f>
        <v>2582.2448972502925</v>
      </c>
      <c r="Q25" s="31">
        <f>IF(Q$22&lt;=1/$C$43,0,INDEX('SC-New (2)'!$E194:$Y197,1,Q$22-ROUND(1/$C$43,0)))</f>
        <v>2099.9487770800811</v>
      </c>
      <c r="R25" s="31">
        <f>IF(R$22&lt;=1/$C$43,0,INDEX('SC-New (2)'!$E194:$Y197,1,R$22-ROUND(1/$C$43,0)))</f>
        <v>1811.9324691659872</v>
      </c>
      <c r="S25" s="31">
        <f>IF(S$22&lt;=1/$C$43,0,INDEX('SC-New (2)'!$E194:$Y197,1,S$22-ROUND(1/$C$43,0)))</f>
        <v>1593.907081606566</v>
      </c>
      <c r="T25" s="31">
        <f>IF(T$22&lt;=1/$C$43,0,INDEX('SC-New (2)'!$E194:$Y197,1,T$22-ROUND(1/$C$43,0)))</f>
        <v>1462.5121968472263</v>
      </c>
      <c r="U25" s="31">
        <f>IF(U$22&lt;=1/$C$43,0,INDEX('SC-New (2)'!$E194:$Y197,1,U$22-ROUND(1/$C$43,0)))</f>
        <v>1332.0518518640729</v>
      </c>
      <c r="V25" s="31">
        <f>IF(V$22&lt;=1/$C$43,0,INDEX('SC-New (2)'!$E194:$Y197,1,V$22-ROUND(1/$C$43,0)))</f>
        <v>1234.1576978963062</v>
      </c>
      <c r="W25" s="31">
        <f>IF(W$22&lt;=1/$C$43,0,INDEX('SC-New (2)'!$E194:$Y197,1,W$22-ROUND(1/$C$43,0)))</f>
        <v>1113.4989085032817</v>
      </c>
      <c r="X25" s="31">
        <f>IF(X$22&lt;=1/$C$43,0,INDEX('SC-New (2)'!$E194:$Y197,1,X$22-ROUND(1/$C$43,0)))</f>
        <v>1025.4302370501041</v>
      </c>
      <c r="Y25" s="31"/>
      <c r="Z25" s="31"/>
      <c r="AB25" s="31"/>
      <c r="AC25" s="31"/>
      <c r="AD25" s="31"/>
      <c r="AE25" s="31"/>
      <c r="AF25" s="31"/>
    </row>
    <row r="26" spans="1:32">
      <c r="C26" s="1" t="str">
        <f t="shared" si="2"/>
        <v>Manufactured</v>
      </c>
      <c r="E26" s="31">
        <f>IF(E$22&lt;=1/$C$43,0,INDEX('SC-New (2)'!$E195:$Y198,1,E$22-ROUND(1/$C$43,0)))</f>
        <v>0</v>
      </c>
      <c r="F26" s="31">
        <f>IF(F$22&lt;=1/$C$43,0,INDEX('SC-New (2)'!$E195:$Y198,1,F$22-ROUND(1/$C$43,0)))</f>
        <v>0</v>
      </c>
      <c r="G26" s="31">
        <f>IF(G$22&lt;=1/$C$43,0,INDEX('SC-New (2)'!$E195:$Y198,1,G$22-ROUND(1/$C$43,0)))</f>
        <v>0</v>
      </c>
      <c r="H26" s="31">
        <f>IF(H$22&lt;=1/$C$43,0,INDEX('SC-New (2)'!$E195:$Y198,1,H$22-ROUND(1/$C$43,0)))</f>
        <v>0</v>
      </c>
      <c r="I26" s="31">
        <f>IF(I$22&lt;=1/$C$43,0,INDEX('SC-New (2)'!$E195:$Y198,1,I$22-ROUND(1/$C$43,0)))</f>
        <v>0</v>
      </c>
      <c r="J26" s="31">
        <f>IF(J$22&lt;=1/$C$43,0,INDEX('SC-New (2)'!$E195:$Y198,1,J$22-ROUND(1/$C$43,0)))</f>
        <v>0</v>
      </c>
      <c r="K26" s="31">
        <f>IF(K$22&lt;=1/$C$43,0,INDEX('SC-New (2)'!$E195:$Y198,1,K$22-ROUND(1/$C$43,0)))</f>
        <v>0</v>
      </c>
      <c r="L26" s="31">
        <f>IF(L$22&lt;=1/$C$43,0,INDEX('SC-New (2)'!$E195:$Y198,1,L$22-ROUND(1/$C$43,0)))</f>
        <v>0</v>
      </c>
      <c r="M26" s="31">
        <f>IF(M$22&lt;=1/$C$43,0,INDEX('SC-New'!$E195:$Y198,1,M$22-ROUND(1/$C$43,0)))</f>
        <v>1518.0590818364665</v>
      </c>
      <c r="N26" s="31">
        <f>IF(N$22&lt;=1/$C$43,0,INDEX('SC-New (2)'!$E195:$Y198,1,N$22-ROUND(1/$C$43,0)))</f>
        <v>1279.9865964951518</v>
      </c>
      <c r="O26" s="31">
        <f>IF(O$22&lt;=1/$C$43,0,INDEX('SC-New (2)'!$E195:$Y198,1,O$22-ROUND(1/$C$43,0)))</f>
        <v>1147.9667080114414</v>
      </c>
      <c r="P26" s="31">
        <f>IF(P$22&lt;=1/$C$43,0,INDEX('SC-New (2)'!$E195:$Y198,1,P$22-ROUND(1/$C$43,0)))</f>
        <v>1046.8002178013305</v>
      </c>
      <c r="Q26" s="31">
        <f>IF(Q$22&lt;=1/$C$43,0,INDEX('SC-New (2)'!$E195:$Y198,1,Q$22-ROUND(1/$C$43,0)))</f>
        <v>892.86777796526667</v>
      </c>
      <c r="R26" s="31">
        <f>IF(R$22&lt;=1/$C$43,0,INDEX('SC-New (2)'!$E195:$Y198,1,R$22-ROUND(1/$C$43,0)))</f>
        <v>774.88494109640556</v>
      </c>
      <c r="S26" s="31">
        <f>IF(S$22&lt;=1/$C$43,0,INDEX('SC-New (2)'!$E195:$Y198,1,S$22-ROUND(1/$C$43,0)))</f>
        <v>688.15660971703801</v>
      </c>
      <c r="T26" s="31">
        <f>IF(T$22&lt;=1/$C$43,0,INDEX('SC-New (2)'!$E195:$Y198,1,T$22-ROUND(1/$C$43,0)))</f>
        <v>615.74018622003541</v>
      </c>
      <c r="U26" s="31">
        <f>IF(U$22&lt;=1/$C$43,0,INDEX('SC-New (2)'!$E195:$Y198,1,U$22-ROUND(1/$C$43,0)))</f>
        <v>554.39791920631797</v>
      </c>
      <c r="V26" s="31">
        <f>IF(V$22&lt;=1/$C$43,0,INDEX('SC-New (2)'!$E195:$Y198,1,V$22-ROUND(1/$C$43,0)))</f>
        <v>500.43132087170306</v>
      </c>
      <c r="W26" s="31">
        <f>IF(W$22&lt;=1/$C$43,0,INDEX('SC-New (2)'!$E195:$Y198,1,W$22-ROUND(1/$C$43,0)))</f>
        <v>452.65095518172825</v>
      </c>
      <c r="X26" s="31">
        <f>IF(X$22&lt;=1/$C$43,0,INDEX('SC-New (2)'!$E195:$Y198,1,X$22-ROUND(1/$C$43,0)))</f>
        <v>417.10415244931073</v>
      </c>
      <c r="Y26" s="31"/>
      <c r="Z26" s="31"/>
      <c r="AB26" s="31"/>
      <c r="AC26" s="31"/>
      <c r="AD26" s="31"/>
      <c r="AE26" s="31"/>
      <c r="AF26" s="31"/>
    </row>
    <row r="27" spans="1:32">
      <c r="E27" s="31"/>
      <c r="F27" s="31"/>
      <c r="G27" s="31"/>
      <c r="H27" s="31"/>
      <c r="I27" s="31"/>
      <c r="J27" s="31"/>
      <c r="K27" s="31"/>
      <c r="L27" s="31"/>
      <c r="M27" s="31"/>
      <c r="N27" s="31"/>
      <c r="O27" s="31"/>
      <c r="P27" s="31"/>
      <c r="Q27" s="31"/>
      <c r="R27" s="31"/>
      <c r="S27" s="31"/>
      <c r="T27" s="31"/>
      <c r="U27" s="31"/>
      <c r="V27" s="31"/>
      <c r="W27" s="31"/>
      <c r="X27" s="31"/>
      <c r="Y27" s="31"/>
      <c r="Z27" s="31"/>
      <c r="AB27" s="31"/>
      <c r="AC27" s="31"/>
      <c r="AD27" s="31"/>
      <c r="AE27" s="31"/>
      <c r="AF27" s="31"/>
    </row>
    <row r="28" spans="1:32">
      <c r="C28" s="1" t="s">
        <v>157</v>
      </c>
      <c r="E28" s="31">
        <f t="shared" ref="E28:X28" si="3">SUM(E23:E26)</f>
        <v>0</v>
      </c>
      <c r="F28" s="31">
        <f t="shared" si="3"/>
        <v>0</v>
      </c>
      <c r="G28" s="31">
        <f t="shared" si="3"/>
        <v>0</v>
      </c>
      <c r="H28" s="31">
        <f t="shared" si="3"/>
        <v>0</v>
      </c>
      <c r="I28" s="31">
        <f t="shared" si="3"/>
        <v>0</v>
      </c>
      <c r="J28" s="31">
        <f t="shared" si="3"/>
        <v>0</v>
      </c>
      <c r="K28" s="31">
        <f t="shared" si="3"/>
        <v>0</v>
      </c>
      <c r="L28" s="31">
        <f t="shared" si="3"/>
        <v>0</v>
      </c>
      <c r="M28" s="31">
        <f t="shared" si="3"/>
        <v>75564.479945292871</v>
      </c>
      <c r="N28" s="31">
        <f t="shared" si="3"/>
        <v>61286.126504782551</v>
      </c>
      <c r="O28" s="31">
        <f t="shared" si="3"/>
        <v>51160.819635853899</v>
      </c>
      <c r="P28" s="31">
        <f t="shared" si="3"/>
        <v>43545.035290682194</v>
      </c>
      <c r="Q28" s="31">
        <f t="shared" si="3"/>
        <v>36859.86497659576</v>
      </c>
      <c r="R28" s="31">
        <f t="shared" si="3"/>
        <v>31135.01441748835</v>
      </c>
      <c r="S28" s="31">
        <f t="shared" si="3"/>
        <v>26981.298287871883</v>
      </c>
      <c r="T28" s="31">
        <f t="shared" si="3"/>
        <v>24096.509981672851</v>
      </c>
      <c r="U28" s="31">
        <f t="shared" si="3"/>
        <v>21598.453781537835</v>
      </c>
      <c r="V28" s="31">
        <f t="shared" si="3"/>
        <v>19882.450936622645</v>
      </c>
      <c r="W28" s="31">
        <f t="shared" si="3"/>
        <v>18171.70833918111</v>
      </c>
      <c r="X28" s="31">
        <f t="shared" si="3"/>
        <v>16623.692014112108</v>
      </c>
      <c r="Y28" s="31"/>
      <c r="Z28" s="31"/>
      <c r="AB28" s="31"/>
      <c r="AC28" s="31"/>
      <c r="AD28" s="31"/>
      <c r="AE28" s="31"/>
      <c r="AF28" s="31"/>
    </row>
    <row r="29" spans="1:32">
      <c r="E29" s="31"/>
      <c r="F29" s="31"/>
      <c r="G29" s="31"/>
      <c r="H29" s="31"/>
      <c r="I29" s="31"/>
      <c r="J29" s="31"/>
      <c r="K29" s="31"/>
      <c r="L29" s="31"/>
      <c r="M29" s="31"/>
      <c r="N29" s="31"/>
      <c r="O29" s="31"/>
      <c r="P29" s="31"/>
      <c r="Q29" s="31"/>
      <c r="R29" s="31"/>
      <c r="S29" s="31"/>
      <c r="T29" s="31"/>
      <c r="U29" s="31"/>
      <c r="V29" s="31"/>
      <c r="W29" s="31"/>
      <c r="X29" s="31"/>
      <c r="Y29" s="31"/>
    </row>
    <row r="30" spans="1:32">
      <c r="E30" s="31"/>
      <c r="F30" s="31"/>
      <c r="G30" s="31"/>
      <c r="H30" s="31"/>
      <c r="I30" s="31"/>
      <c r="J30" s="31"/>
      <c r="K30" s="31"/>
      <c r="L30" s="31"/>
      <c r="M30" s="31"/>
      <c r="N30" s="31"/>
      <c r="O30" s="31"/>
      <c r="P30" s="31"/>
      <c r="Q30" s="31"/>
      <c r="R30" s="31"/>
      <c r="S30" s="31"/>
      <c r="T30" s="31"/>
      <c r="U30" s="31"/>
      <c r="V30" s="31"/>
      <c r="W30" s="31"/>
      <c r="X30" s="31"/>
      <c r="Y30" s="31"/>
    </row>
    <row r="31" spans="1:32" ht="15">
      <c r="A31" s="63" t="s">
        <v>158</v>
      </c>
      <c r="E31" s="31"/>
      <c r="F31" s="31"/>
      <c r="G31" s="31"/>
      <c r="H31" s="31"/>
      <c r="I31" s="31"/>
      <c r="J31" s="31"/>
      <c r="K31" s="31"/>
      <c r="L31" s="31"/>
      <c r="M31" s="31"/>
      <c r="N31" s="31"/>
      <c r="O31" s="31"/>
      <c r="P31" s="31"/>
      <c r="Q31" s="31"/>
      <c r="R31" s="31"/>
      <c r="S31" s="31"/>
      <c r="T31" s="31"/>
      <c r="U31" s="31"/>
      <c r="V31" s="31"/>
      <c r="W31" s="31"/>
      <c r="X31" s="31"/>
      <c r="Y31" s="31"/>
      <c r="Z31" s="81">
        <v>0.85</v>
      </c>
    </row>
    <row r="32" spans="1:32">
      <c r="E32" s="31">
        <v>2</v>
      </c>
      <c r="F32" s="31">
        <v>3</v>
      </c>
      <c r="G32" s="31">
        <v>4</v>
      </c>
      <c r="H32" s="31">
        <v>5</v>
      </c>
      <c r="I32" s="31">
        <v>6</v>
      </c>
      <c r="J32" s="31">
        <v>7</v>
      </c>
      <c r="K32" s="31">
        <v>8</v>
      </c>
      <c r="L32" s="31">
        <v>9</v>
      </c>
      <c r="M32" s="31">
        <v>10</v>
      </c>
      <c r="N32" s="31">
        <v>11</v>
      </c>
      <c r="O32" s="31">
        <v>12</v>
      </c>
      <c r="P32" s="31">
        <v>13</v>
      </c>
      <c r="Q32" s="31">
        <v>14</v>
      </c>
      <c r="R32" s="31">
        <v>15</v>
      </c>
      <c r="S32" s="31">
        <v>16</v>
      </c>
      <c r="T32" s="31">
        <v>17</v>
      </c>
      <c r="U32" s="31">
        <v>18</v>
      </c>
      <c r="V32" s="31">
        <v>19</v>
      </c>
      <c r="W32" s="31">
        <v>20</v>
      </c>
      <c r="X32" s="31">
        <v>21</v>
      </c>
      <c r="Y32" s="31"/>
      <c r="Z32" s="82" t="s">
        <v>159</v>
      </c>
    </row>
    <row r="33" spans="1:30">
      <c r="C33" s="1" t="str">
        <f>C13</f>
        <v>Single Family</v>
      </c>
      <c r="E33" s="31">
        <f>SUM(E13,E23)</f>
        <v>0</v>
      </c>
      <c r="F33" s="31">
        <f t="shared" ref="F33:X36" si="4">SUM(F13,F23)</f>
        <v>4193982.9785983553</v>
      </c>
      <c r="G33" s="31">
        <f t="shared" si="4"/>
        <v>4184459.3604704877</v>
      </c>
      <c r="H33" s="31">
        <f t="shared" si="4"/>
        <v>4174957.36839659</v>
      </c>
      <c r="I33" s="31">
        <f t="shared" si="4"/>
        <v>4165476.9532686244</v>
      </c>
      <c r="J33" s="31">
        <f t="shared" si="4"/>
        <v>4156018.0660900641</v>
      </c>
      <c r="K33" s="31">
        <f t="shared" si="4"/>
        <v>4146580.6579756448</v>
      </c>
      <c r="L33" s="31">
        <f t="shared" si="4"/>
        <v>4137164.6801511091</v>
      </c>
      <c r="M33" s="31">
        <f t="shared" si="4"/>
        <v>4178669.7082700869</v>
      </c>
      <c r="N33" s="31">
        <f t="shared" si="4"/>
        <v>4159182.4657673636</v>
      </c>
      <c r="O33" s="31">
        <f t="shared" si="4"/>
        <v>4142517.9400630072</v>
      </c>
      <c r="P33" s="31">
        <f t="shared" si="4"/>
        <v>4128191.547021627</v>
      </c>
      <c r="Q33" s="31">
        <f t="shared" si="4"/>
        <v>4114785.7396671129</v>
      </c>
      <c r="R33" s="31">
        <f t="shared" si="4"/>
        <v>4101600.2682805392</v>
      </c>
      <c r="S33" s="31">
        <f>SUM(S13,S23)</f>
        <v>4089475.0745603079</v>
      </c>
      <c r="T33" s="31">
        <f t="shared" si="4"/>
        <v>4078210.567550756</v>
      </c>
      <c r="U33" s="31">
        <f t="shared" si="4"/>
        <v>4067209.5059909686</v>
      </c>
      <c r="V33" s="31">
        <f t="shared" si="4"/>
        <v>4056872.5706104836</v>
      </c>
      <c r="W33" s="31">
        <f t="shared" si="4"/>
        <v>4046619.5912782908</v>
      </c>
      <c r="X33" s="31">
        <f t="shared" si="4"/>
        <v>4036417.2478317614</v>
      </c>
      <c r="Y33" s="31"/>
      <c r="Z33" s="83">
        <f>INDEX(E33:Y33,1,MATCH($C$9,$E$11:$Y$11,0))*$Z$31*A43*B43</f>
        <v>216150143.62139082</v>
      </c>
    </row>
    <row r="34" spans="1:30">
      <c r="C34" s="1" t="str">
        <f t="shared" ref="C34:C36" si="5">C14</f>
        <v>Multifamily - Low Rise</v>
      </c>
      <c r="E34" s="31">
        <f>SUM(E14,E24)</f>
        <v>0</v>
      </c>
      <c r="F34" s="31">
        <f t="shared" si="4"/>
        <v>924139.92640956037</v>
      </c>
      <c r="G34" s="31">
        <f t="shared" si="4"/>
        <v>922041.3730050053</v>
      </c>
      <c r="H34" s="31">
        <f t="shared" si="4"/>
        <v>919947.58503289847</v>
      </c>
      <c r="I34" s="31">
        <f t="shared" si="4"/>
        <v>917858.55167181045</v>
      </c>
      <c r="J34" s="31">
        <f t="shared" si="4"/>
        <v>915774.26212488639</v>
      </c>
      <c r="K34" s="31">
        <f t="shared" si="4"/>
        <v>913694.70561978838</v>
      </c>
      <c r="L34" s="31">
        <f t="shared" si="4"/>
        <v>911619.87140864041</v>
      </c>
      <c r="M34" s="31">
        <f t="shared" si="4"/>
        <v>928452.94050261413</v>
      </c>
      <c r="N34" s="31">
        <f t="shared" si="4"/>
        <v>923140.63717880694</v>
      </c>
      <c r="O34" s="31">
        <f t="shared" si="4"/>
        <v>918858.7757823685</v>
      </c>
      <c r="P34" s="31">
        <f t="shared" si="4"/>
        <v>914806.08669093472</v>
      </c>
      <c r="Q34" s="31">
        <f t="shared" si="4"/>
        <v>910802.01506280794</v>
      </c>
      <c r="R34" s="31">
        <f t="shared" si="4"/>
        <v>907333.49608522048</v>
      </c>
      <c r="S34" s="31">
        <f t="shared" si="4"/>
        <v>904300.32814124227</v>
      </c>
      <c r="T34" s="31">
        <f t="shared" si="4"/>
        <v>901600.14014623268</v>
      </c>
      <c r="U34" s="31">
        <f t="shared" si="4"/>
        <v>899036.85304151278</v>
      </c>
      <c r="V34" s="31">
        <f t="shared" si="4"/>
        <v>896577.11599902494</v>
      </c>
      <c r="W34" s="31">
        <f t="shared" si="4"/>
        <v>894080.7682523923</v>
      </c>
      <c r="X34" s="31">
        <f t="shared" si="4"/>
        <v>891677.13598517317</v>
      </c>
      <c r="Y34" s="31"/>
      <c r="Z34" s="83">
        <f>INDEX(E34:Y34,1,MATCH($C$9,$E$11:$Y$11,0))*$Z$31*A44*B44</f>
        <v>17432288.008510135</v>
      </c>
    </row>
    <row r="35" spans="1:30">
      <c r="C35" s="1" t="str">
        <f t="shared" si="5"/>
        <v>Multifamily - High Rise</v>
      </c>
      <c r="E35" s="31">
        <f>SUM(E15,E25)</f>
        <v>0</v>
      </c>
      <c r="F35" s="31">
        <f t="shared" si="4"/>
        <v>210700.52836963299</v>
      </c>
      <c r="G35" s="31">
        <f t="shared" si="4"/>
        <v>210222.06585706791</v>
      </c>
      <c r="H35" s="31">
        <f t="shared" si="4"/>
        <v>209744.68984569819</v>
      </c>
      <c r="I35" s="31">
        <f t="shared" si="4"/>
        <v>209268.39786827751</v>
      </c>
      <c r="J35" s="31">
        <f t="shared" si="4"/>
        <v>208793.18746316229</v>
      </c>
      <c r="K35" s="31">
        <f t="shared" si="4"/>
        <v>208319.05617429892</v>
      </c>
      <c r="L35" s="31">
        <f t="shared" si="4"/>
        <v>207846.00155121088</v>
      </c>
      <c r="M35" s="31">
        <f t="shared" si="4"/>
        <v>211617.62596067085</v>
      </c>
      <c r="N35" s="31">
        <f t="shared" si="4"/>
        <v>210467.29731723975</v>
      </c>
      <c r="O35" s="31">
        <f t="shared" si="4"/>
        <v>209537.84809766032</v>
      </c>
      <c r="P35" s="31">
        <f t="shared" si="4"/>
        <v>208546.7457988305</v>
      </c>
      <c r="Q35" s="31">
        <f t="shared" si="4"/>
        <v>207596.74182162207</v>
      </c>
      <c r="R35" s="31">
        <f t="shared" si="4"/>
        <v>206842.07973600179</v>
      </c>
      <c r="S35" s="31">
        <f t="shared" si="4"/>
        <v>206158.46823827951</v>
      </c>
      <c r="T35" s="31">
        <f t="shared" si="4"/>
        <v>205562.54450458876</v>
      </c>
      <c r="U35" s="31">
        <f t="shared" si="4"/>
        <v>204968.6101710579</v>
      </c>
      <c r="V35" s="31">
        <f t="shared" si="4"/>
        <v>204408.29449353053</v>
      </c>
      <c r="W35" s="31">
        <f t="shared" si="4"/>
        <v>203826.26425560965</v>
      </c>
      <c r="X35" s="31">
        <f t="shared" si="4"/>
        <v>203277.87182613133</v>
      </c>
      <c r="Y35" s="31"/>
      <c r="Z35" s="83">
        <f t="shared" ref="Z35:Z36" si="6">INDEX(E35:Y35,1,MATCH($C$9,$E$11:$Y$11,0))*$Z$31*A45*B45</f>
        <v>3974082.3942008675</v>
      </c>
    </row>
    <row r="36" spans="1:30">
      <c r="C36" s="1" t="str">
        <f t="shared" si="5"/>
        <v>Manufactured</v>
      </c>
      <c r="E36" s="31">
        <f>SUM(E16,E26)</f>
        <v>0</v>
      </c>
      <c r="F36" s="31">
        <f t="shared" si="4"/>
        <v>565893.30394507048</v>
      </c>
      <c r="G36" s="31">
        <f t="shared" si="4"/>
        <v>559845.60985814757</v>
      </c>
      <c r="H36" s="31">
        <f t="shared" si="4"/>
        <v>553862.54739615123</v>
      </c>
      <c r="I36" s="31">
        <f t="shared" si="4"/>
        <v>547943.42584177968</v>
      </c>
      <c r="J36" s="31">
        <f t="shared" si="4"/>
        <v>542087.56185941794</v>
      </c>
      <c r="K36" s="31">
        <f t="shared" si="4"/>
        <v>536294.27941624937</v>
      </c>
      <c r="L36" s="31">
        <f t="shared" si="4"/>
        <v>530562.90970421082</v>
      </c>
      <c r="M36" s="31">
        <f t="shared" si="4"/>
        <v>526410.85014461842</v>
      </c>
      <c r="N36" s="31">
        <f t="shared" si="4"/>
        <v>520563.25549909432</v>
      </c>
      <c r="O36" s="31">
        <f t="shared" si="4"/>
        <v>514881.66233789868</v>
      </c>
      <c r="P36" s="31">
        <f t="shared" si="4"/>
        <v>509290.23078949755</v>
      </c>
      <c r="Q36" s="31">
        <f t="shared" si="4"/>
        <v>503704.70767990476</v>
      </c>
      <c r="R36" s="31">
        <f t="shared" si="4"/>
        <v>498213.18150931771</v>
      </c>
      <c r="S36" s="31">
        <f t="shared" si="4"/>
        <v>492810.33682916343</v>
      </c>
      <c r="T36" s="31">
        <f t="shared" si="4"/>
        <v>487478.61732042325</v>
      </c>
      <c r="U36" s="31">
        <f t="shared" si="4"/>
        <v>482214.17806911899</v>
      </c>
      <c r="V36" s="31">
        <f t="shared" si="4"/>
        <v>477012.71991360572</v>
      </c>
      <c r="W36" s="31">
        <f t="shared" si="4"/>
        <v>471872.45916340128</v>
      </c>
      <c r="X36" s="31">
        <f t="shared" si="4"/>
        <v>466798.85524516011</v>
      </c>
      <c r="Y36" s="31"/>
      <c r="Z36" s="83">
        <f t="shared" si="6"/>
        <v>13688876.430064319</v>
      </c>
    </row>
    <row r="37" spans="1:30">
      <c r="E37" s="31"/>
      <c r="F37" s="31"/>
      <c r="G37" s="31"/>
      <c r="H37" s="31"/>
      <c r="I37" s="31"/>
      <c r="J37" s="31"/>
      <c r="K37" s="31"/>
      <c r="L37" s="31"/>
      <c r="M37" s="31"/>
      <c r="N37" s="31"/>
      <c r="O37" s="31"/>
      <c r="P37" s="31"/>
      <c r="Q37" s="31"/>
      <c r="R37" s="31"/>
      <c r="S37" s="31"/>
      <c r="T37" s="31"/>
      <c r="U37" s="31"/>
      <c r="V37" s="31"/>
      <c r="W37" s="31"/>
      <c r="X37" s="31"/>
      <c r="Y37" s="31"/>
    </row>
    <row r="38" spans="1:30">
      <c r="E38" s="31">
        <f t="shared" ref="E38:Z38" si="7">SUM(E33:E36)</f>
        <v>0</v>
      </c>
      <c r="F38" s="31">
        <f t="shared" si="7"/>
        <v>5894716.7373226183</v>
      </c>
      <c r="G38" s="31">
        <f t="shared" si="7"/>
        <v>5876568.4091907088</v>
      </c>
      <c r="H38" s="31">
        <f t="shared" si="7"/>
        <v>5858512.1906713378</v>
      </c>
      <c r="I38" s="31">
        <f t="shared" si="7"/>
        <v>5840547.3286504922</v>
      </c>
      <c r="J38" s="31">
        <f t="shared" si="7"/>
        <v>5822673.077537531</v>
      </c>
      <c r="K38" s="31">
        <f t="shared" si="7"/>
        <v>5804888.6991859814</v>
      </c>
      <c r="L38" s="31">
        <f t="shared" si="7"/>
        <v>5787193.462815172</v>
      </c>
      <c r="M38" s="31">
        <f t="shared" si="7"/>
        <v>5845151.1248779893</v>
      </c>
      <c r="N38" s="31">
        <f t="shared" si="7"/>
        <v>5813353.6557625048</v>
      </c>
      <c r="O38" s="31">
        <f t="shared" si="7"/>
        <v>5785796.2262809342</v>
      </c>
      <c r="P38" s="31">
        <f t="shared" si="7"/>
        <v>5760834.6103008902</v>
      </c>
      <c r="Q38" s="31">
        <f t="shared" si="7"/>
        <v>5736889.2042314485</v>
      </c>
      <c r="R38" s="31">
        <f t="shared" si="7"/>
        <v>5713989.0256110793</v>
      </c>
      <c r="S38" s="31">
        <f t="shared" si="7"/>
        <v>5692744.2077689925</v>
      </c>
      <c r="T38" s="31">
        <f t="shared" si="7"/>
        <v>5672851.8695220007</v>
      </c>
      <c r="U38" s="31">
        <f t="shared" si="7"/>
        <v>5653429.1472726585</v>
      </c>
      <c r="V38" s="31">
        <f t="shared" si="7"/>
        <v>5634870.7010166449</v>
      </c>
      <c r="W38" s="31">
        <f t="shared" si="7"/>
        <v>5616399.0829496942</v>
      </c>
      <c r="X38" s="31">
        <f t="shared" si="7"/>
        <v>5598171.110888225</v>
      </c>
      <c r="Y38" s="31"/>
      <c r="Z38" s="31">
        <f t="shared" si="7"/>
        <v>251245390.45416614</v>
      </c>
    </row>
    <row r="39" spans="1:30">
      <c r="E39" s="31"/>
      <c r="F39" s="31"/>
      <c r="G39" s="31"/>
      <c r="H39" s="31"/>
      <c r="I39" s="31"/>
      <c r="J39" s="31"/>
      <c r="K39" s="31"/>
      <c r="L39" s="31"/>
      <c r="M39" s="31"/>
      <c r="N39" s="31"/>
      <c r="O39" s="31"/>
      <c r="P39" s="31"/>
      <c r="Q39" s="31"/>
      <c r="R39" s="31"/>
      <c r="S39" s="31"/>
      <c r="T39" s="31"/>
      <c r="U39" s="31"/>
      <c r="V39" s="31"/>
      <c r="W39" s="31"/>
      <c r="X39" s="31"/>
      <c r="Y39" s="31"/>
    </row>
    <row r="40" spans="1:30">
      <c r="E40" s="31"/>
      <c r="F40" s="31"/>
      <c r="G40" s="31"/>
      <c r="H40" s="31"/>
      <c r="I40" s="31"/>
      <c r="J40" s="31"/>
      <c r="K40" s="31"/>
      <c r="L40" s="31"/>
      <c r="M40" s="31"/>
      <c r="N40" s="31"/>
      <c r="O40" s="31"/>
      <c r="P40" s="31"/>
      <c r="Q40" s="31"/>
      <c r="R40" s="31"/>
      <c r="S40" s="31"/>
      <c r="T40" s="31"/>
      <c r="U40" s="31"/>
      <c r="V40" s="31"/>
      <c r="W40" s="31"/>
      <c r="X40" s="31"/>
      <c r="Y40" s="31"/>
    </row>
    <row r="41" spans="1:30" ht="15">
      <c r="A41" s="60" t="s">
        <v>160</v>
      </c>
      <c r="B41" s="60"/>
      <c r="E41" s="58"/>
      <c r="F41" s="58"/>
      <c r="G41" s="31"/>
      <c r="H41" s="31"/>
      <c r="I41" s="31"/>
      <c r="J41" s="31"/>
      <c r="K41" s="31"/>
      <c r="L41" s="31"/>
      <c r="M41" s="31"/>
      <c r="N41" s="31"/>
      <c r="O41" s="31"/>
      <c r="P41" s="31"/>
      <c r="Q41" s="31"/>
      <c r="R41" s="31"/>
      <c r="S41" s="31"/>
      <c r="T41" s="31"/>
      <c r="U41" s="31"/>
      <c r="V41" s="31"/>
      <c r="W41" s="31"/>
      <c r="X41" s="31"/>
      <c r="Y41" s="31"/>
    </row>
    <row r="42" spans="1:30" ht="15">
      <c r="A42" s="61" t="s">
        <v>69</v>
      </c>
      <c r="B42" s="61" t="s">
        <v>70</v>
      </c>
      <c r="C42" s="61" t="s">
        <v>161</v>
      </c>
      <c r="D42" s="61" t="str">
        <f>CONCATENATE(C8," - ",C7)</f>
        <v>Lighting - NR</v>
      </c>
      <c r="E42" s="78">
        <v>2016</v>
      </c>
      <c r="F42" s="79">
        <v>2017</v>
      </c>
      <c r="G42" s="79">
        <v>2018</v>
      </c>
      <c r="H42" s="79">
        <v>2019</v>
      </c>
      <c r="I42" s="79">
        <v>2020</v>
      </c>
      <c r="J42" s="79">
        <v>2021</v>
      </c>
      <c r="K42" s="79">
        <v>2022</v>
      </c>
      <c r="L42" s="79">
        <v>2023</v>
      </c>
      <c r="M42" s="79">
        <v>2024</v>
      </c>
      <c r="N42" s="79">
        <v>2025</v>
      </c>
      <c r="O42" s="79">
        <v>2026</v>
      </c>
      <c r="P42" s="79">
        <v>2027</v>
      </c>
      <c r="Q42" s="79">
        <v>2028</v>
      </c>
      <c r="R42" s="79">
        <v>2029</v>
      </c>
      <c r="S42" s="79">
        <v>2030</v>
      </c>
      <c r="T42" s="79">
        <v>2031</v>
      </c>
      <c r="U42" s="79">
        <v>2032</v>
      </c>
      <c r="V42" s="79">
        <v>2033</v>
      </c>
      <c r="W42" s="79">
        <v>2034</v>
      </c>
      <c r="X42" s="79">
        <v>2035</v>
      </c>
      <c r="Y42" s="80"/>
    </row>
    <row r="43" spans="1:30">
      <c r="A43" s="62">
        <f>INDEX([2]!ResApplic,MATCH($D$42,[2]APPLIC!$B$9:$B$120,0)+1,MATCH($D43,[2]APPLIC!$C$8:$F$8,0)+1)</f>
        <v>1</v>
      </c>
      <c r="B43" s="139">
        <f>VLOOKUP($C$8,[2]!ExistingSat,MATCH($D43,[2]SATS!$C$10:$F$10,0)+1,FALSE)</f>
        <v>63</v>
      </c>
      <c r="C43" s="62">
        <f>VLOOKUP($D$42,[2]TURN!$B$10:$F$78,MATCH(D43,$D$43:$D$46,0)+1,FALSE)</f>
        <v>0.125</v>
      </c>
      <c r="D43" s="1" t="str">
        <f>C13</f>
        <v>Single Family</v>
      </c>
      <c r="E43" s="31">
        <f>E13*$C43*$A43*$B43</f>
        <v>0</v>
      </c>
      <c r="F43" s="31">
        <f>F13*$C43*$A43*$B43</f>
        <v>33027615.956462048</v>
      </c>
      <c r="G43" s="31">
        <f t="shared" ref="F43:X46" si="8">G13*$C43*$A43*$B43</f>
        <v>32952617.463705093</v>
      </c>
      <c r="H43" s="31">
        <f t="shared" si="8"/>
        <v>32877789.276123147</v>
      </c>
      <c r="I43" s="31">
        <f t="shared" si="8"/>
        <v>32803131.006990418</v>
      </c>
      <c r="J43" s="31">
        <f>J13*$C43*$A43*$B43</f>
        <v>32728642.270459253</v>
      </c>
      <c r="K43" s="31">
        <f t="shared" si="8"/>
        <v>32654322.681558203</v>
      </c>
      <c r="L43" s="31">
        <f t="shared" si="8"/>
        <v>32580171.856189985</v>
      </c>
      <c r="M43" s="31">
        <f t="shared" si="8"/>
        <v>32506189.411129523</v>
      </c>
      <c r="N43" s="31">
        <f t="shared" si="8"/>
        <v>32432374.964021973</v>
      </c>
      <c r="O43" s="31">
        <f t="shared" si="8"/>
        <v>32358728.133380711</v>
      </c>
      <c r="P43" s="31">
        <f t="shared" si="8"/>
        <v>32285248.538585402</v>
      </c>
      <c r="Q43" s="31">
        <f t="shared" si="8"/>
        <v>32211935.79988002</v>
      </c>
      <c r="R43" s="31">
        <f t="shared" si="8"/>
        <v>32138789.538370878</v>
      </c>
      <c r="S43" s="31">
        <f t="shared" si="8"/>
        <v>32065809.376024667</v>
      </c>
      <c r="T43" s="31">
        <f t="shared" si="8"/>
        <v>31992994.935666513</v>
      </c>
      <c r="U43" s="31">
        <f t="shared" si="8"/>
        <v>31920345.840978026</v>
      </c>
      <c r="V43" s="31">
        <f t="shared" si="8"/>
        <v>31847861.71649535</v>
      </c>
      <c r="W43" s="31">
        <f t="shared" si="8"/>
        <v>31775542.187607225</v>
      </c>
      <c r="X43" s="31">
        <f t="shared" si="8"/>
        <v>31703386.880553056</v>
      </c>
      <c r="Y43" s="31"/>
      <c r="Z43" s="31">
        <f>X13*A43*B43*$Z$31</f>
        <v>215583030.78776076</v>
      </c>
      <c r="AD43" s="31"/>
    </row>
    <row r="44" spans="1:30">
      <c r="A44" s="62">
        <f>INDEX([2]!ResApplic,MATCH($D$42,[2]APPLIC!$B$9:$B$120,0)+1,MATCH($D44,[2]APPLIC!$C$8:$F$8,0)+1)</f>
        <v>1</v>
      </c>
      <c r="B44" s="139">
        <f>VLOOKUP($C$8,[2]!ExistingSat,MATCH($D44,[2]SATS!$C$10:$F$10,0)+1,FALSE)</f>
        <v>23</v>
      </c>
      <c r="C44" s="62">
        <f>VLOOKUP($D$42,[2]TURN!$B$10:$F$78,MATCH(D44,$D$43:$D$46,0)+1,FALSE)</f>
        <v>0.125</v>
      </c>
      <c r="D44" s="1" t="str">
        <f t="shared" ref="D44:D46" si="9">C14</f>
        <v>Multifamily - Low Rise</v>
      </c>
      <c r="E44" s="31">
        <f t="shared" ref="E44:T45" si="10">E14*$C44*$A44*$B44</f>
        <v>0</v>
      </c>
      <c r="F44" s="31">
        <f t="shared" si="10"/>
        <v>2656902.2884274861</v>
      </c>
      <c r="G44" s="31">
        <f t="shared" si="10"/>
        <v>2650868.9473893903</v>
      </c>
      <c r="H44" s="31">
        <f t="shared" si="10"/>
        <v>2644849.306969583</v>
      </c>
      <c r="I44" s="31">
        <f t="shared" si="10"/>
        <v>2638843.336056455</v>
      </c>
      <c r="J44" s="31">
        <f t="shared" si="10"/>
        <v>2632851.0036090482</v>
      </c>
      <c r="K44" s="31">
        <f t="shared" si="10"/>
        <v>2626872.2786568915</v>
      </c>
      <c r="L44" s="31">
        <f t="shared" si="10"/>
        <v>2620907.1302998411</v>
      </c>
      <c r="M44" s="31">
        <f t="shared" si="10"/>
        <v>2614955.5277079241</v>
      </c>
      <c r="N44" s="31">
        <f t="shared" si="10"/>
        <v>2609017.4401211757</v>
      </c>
      <c r="O44" s="31">
        <f t="shared" si="10"/>
        <v>2603092.8368494813</v>
      </c>
      <c r="P44" s="31">
        <f t="shared" si="10"/>
        <v>2597181.6872724188</v>
      </c>
      <c r="Q44" s="31">
        <f t="shared" si="10"/>
        <v>2591283.9608390974</v>
      </c>
      <c r="R44" s="31">
        <f t="shared" si="10"/>
        <v>2585399.6270680041</v>
      </c>
      <c r="S44" s="31">
        <f t="shared" si="10"/>
        <v>2579528.6555468431</v>
      </c>
      <c r="T44" s="31">
        <f t="shared" si="10"/>
        <v>2573671.0159323788</v>
      </c>
      <c r="U44" s="31">
        <f t="shared" si="8"/>
        <v>2567826.6779502803</v>
      </c>
      <c r="V44" s="31">
        <f t="shared" si="8"/>
        <v>2561995.6113949642</v>
      </c>
      <c r="W44" s="31">
        <f t="shared" si="8"/>
        <v>2556177.7861294369</v>
      </c>
      <c r="X44" s="31">
        <f t="shared" si="8"/>
        <v>2550373.1720851432</v>
      </c>
      <c r="Y44" s="31"/>
      <c r="Z44" s="31">
        <f t="shared" ref="Z44:Z46" si="11">X14*A44*B44*$Z$31</f>
        <v>17342537.570178974</v>
      </c>
      <c r="AD44" s="31"/>
    </row>
    <row r="45" spans="1:30">
      <c r="A45" s="62">
        <f>INDEX([2]!ResApplic,MATCH($D$42,[2]APPLIC!$B$9:$B$120,0)+1,MATCH($D45,[2]APPLIC!$C$8:$F$8,0)+1)</f>
        <v>1</v>
      </c>
      <c r="B45" s="139">
        <f>VLOOKUP($C$8,[2]!ExistingSat,MATCH($D45,[2]SATS!$C$10:$F$10,0)+1,FALSE)</f>
        <v>23</v>
      </c>
      <c r="C45" s="62">
        <f>VLOOKUP($D$42,[2]TURN!$B$10:$F$78,MATCH(D45,$D$43:$D$46,0)+1,FALSE)</f>
        <v>0.125</v>
      </c>
      <c r="D45" s="1" t="str">
        <f t="shared" si="9"/>
        <v>Multifamily - High Rise</v>
      </c>
      <c r="E45" s="31">
        <f t="shared" si="10"/>
        <v>0</v>
      </c>
      <c r="F45" s="31">
        <f t="shared" si="8"/>
        <v>605764.01906269486</v>
      </c>
      <c r="G45" s="31">
        <f t="shared" si="8"/>
        <v>604388.43933907023</v>
      </c>
      <c r="H45" s="31">
        <f t="shared" si="8"/>
        <v>603015.98330638232</v>
      </c>
      <c r="I45" s="31">
        <f t="shared" si="8"/>
        <v>601646.64387129783</v>
      </c>
      <c r="J45" s="31">
        <f t="shared" si="8"/>
        <v>600280.41395659163</v>
      </c>
      <c r="K45" s="31">
        <f t="shared" si="8"/>
        <v>598917.28650110937</v>
      </c>
      <c r="L45" s="31">
        <f t="shared" si="8"/>
        <v>597557.25445973128</v>
      </c>
      <c r="M45" s="31">
        <f t="shared" si="8"/>
        <v>596200.31080333621</v>
      </c>
      <c r="N45" s="31">
        <f t="shared" si="8"/>
        <v>594846.44851876411</v>
      </c>
      <c r="O45" s="31">
        <f t="shared" si="8"/>
        <v>593495.66060878127</v>
      </c>
      <c r="P45" s="31">
        <f t="shared" si="8"/>
        <v>592147.94009204314</v>
      </c>
      <c r="Q45" s="31">
        <f t="shared" si="8"/>
        <v>590803.28000305826</v>
      </c>
      <c r="R45" s="31">
        <f t="shared" si="8"/>
        <v>589461.67339215288</v>
      </c>
      <c r="S45" s="31">
        <f t="shared" si="8"/>
        <v>588123.11332543474</v>
      </c>
      <c r="T45" s="31">
        <f t="shared" si="8"/>
        <v>586787.59288475686</v>
      </c>
      <c r="U45" s="31">
        <f t="shared" si="8"/>
        <v>585455.10516768228</v>
      </c>
      <c r="V45" s="31">
        <f t="shared" si="8"/>
        <v>584125.64328744845</v>
      </c>
      <c r="W45" s="31">
        <f t="shared" si="8"/>
        <v>582799.20037293085</v>
      </c>
      <c r="X45" s="31">
        <f t="shared" si="8"/>
        <v>581475.76956860849</v>
      </c>
      <c r="Y45" s="31"/>
      <c r="Z45" s="31">
        <f t="shared" si="11"/>
        <v>3954035.2330665374</v>
      </c>
      <c r="AD45" s="31"/>
    </row>
    <row r="46" spans="1:30">
      <c r="A46" s="62">
        <f>INDEX([2]!ResApplic,MATCH($D$42,[2]APPLIC!$B$9:$B$120,0)+1,MATCH($D46,[2]APPLIC!$C$8:$F$8,0)+1)</f>
        <v>1</v>
      </c>
      <c r="B46" s="139">
        <f>VLOOKUP($C$8,[2]!ExistingSat,MATCH($D46,[2]SATS!$C$10:$F$10,0)+1,FALSE)</f>
        <v>34.5</v>
      </c>
      <c r="C46" s="62">
        <f>VLOOKUP($D$42,[2]TURN!$B$10:$F$78,MATCH(D46,$D$43:$D$46,0)+1,FALSE)</f>
        <v>0.125</v>
      </c>
      <c r="D46" s="1" t="str">
        <f t="shared" si="9"/>
        <v>Manufactured</v>
      </c>
      <c r="E46" s="31">
        <f>E16*$C46*$A46*$B46</f>
        <v>0</v>
      </c>
      <c r="F46" s="31">
        <f t="shared" si="8"/>
        <v>2440414.8732631165</v>
      </c>
      <c r="G46" s="31">
        <f t="shared" si="8"/>
        <v>2414334.1925132615</v>
      </c>
      <c r="H46" s="31">
        <f t="shared" si="8"/>
        <v>2388532.2356459023</v>
      </c>
      <c r="I46" s="31">
        <f t="shared" si="8"/>
        <v>2363006.023942675</v>
      </c>
      <c r="J46" s="31">
        <f t="shared" si="8"/>
        <v>2337752.61051874</v>
      </c>
      <c r="K46" s="31">
        <f t="shared" si="8"/>
        <v>2312769.0799825755</v>
      </c>
      <c r="L46" s="31">
        <f t="shared" si="8"/>
        <v>2288052.5480994093</v>
      </c>
      <c r="M46" s="31">
        <f t="shared" si="8"/>
        <v>2263600.1614582469</v>
      </c>
      <c r="N46" s="31">
        <f t="shared" si="8"/>
        <v>2239409.0971424589</v>
      </c>
      <c r="O46" s="31">
        <f t="shared" si="8"/>
        <v>2215476.5624038884</v>
      </c>
      <c r="P46" s="31">
        <f t="shared" si="8"/>
        <v>2191799.7943404401</v>
      </c>
      <c r="Q46" s="31">
        <f t="shared" si="8"/>
        <v>2168376.0595771139</v>
      </c>
      <c r="R46" s="31">
        <f t="shared" si="8"/>
        <v>2145202.6539504542</v>
      </c>
      <c r="S46" s="31">
        <f t="shared" si="8"/>
        <v>2122276.9021963626</v>
      </c>
      <c r="T46" s="31">
        <f t="shared" si="8"/>
        <v>2099596.1576412516</v>
      </c>
      <c r="U46" s="31">
        <f t="shared" si="8"/>
        <v>2077157.8018964985</v>
      </c>
      <c r="V46" s="31">
        <f t="shared" si="8"/>
        <v>2054959.2445561655</v>
      </c>
      <c r="W46" s="31">
        <f t="shared" si="8"/>
        <v>2032997.9228979468</v>
      </c>
      <c r="X46" s="31">
        <f t="shared" si="8"/>
        <v>2011271.3015873155</v>
      </c>
      <c r="Y46" s="31"/>
      <c r="Z46" s="31">
        <f t="shared" si="11"/>
        <v>13676644.850793745</v>
      </c>
      <c r="AD46" s="31"/>
    </row>
    <row r="47" spans="1:30">
      <c r="E47" s="31"/>
      <c r="F47" s="31"/>
      <c r="G47" s="31"/>
      <c r="H47" s="31"/>
      <c r="I47" s="31"/>
      <c r="J47" s="31"/>
      <c r="K47" s="31"/>
      <c r="L47" s="31"/>
      <c r="M47" s="31"/>
      <c r="N47" s="31"/>
      <c r="O47" s="31"/>
      <c r="P47" s="31"/>
      <c r="Q47" s="31"/>
      <c r="R47" s="31"/>
      <c r="S47" s="31"/>
      <c r="T47" s="31"/>
      <c r="U47" s="31"/>
      <c r="V47" s="31"/>
      <c r="W47" s="31"/>
      <c r="X47" s="31"/>
      <c r="Y47" s="31"/>
    </row>
    <row r="48" spans="1:30">
      <c r="E48" s="31">
        <f t="shared" ref="E48:X48" si="12">SUM(E43:E46)</f>
        <v>0</v>
      </c>
      <c r="F48" s="31">
        <f t="shared" si="12"/>
        <v>38730697.137215346</v>
      </c>
      <c r="G48" s="31">
        <f t="shared" si="12"/>
        <v>38622209.042946823</v>
      </c>
      <c r="H48" s="31">
        <f t="shared" si="12"/>
        <v>38514186.802045025</v>
      </c>
      <c r="I48" s="31">
        <f t="shared" si="12"/>
        <v>38406627.010860845</v>
      </c>
      <c r="J48" s="31">
        <f t="shared" si="12"/>
        <v>38299526.298543632</v>
      </c>
      <c r="K48" s="31">
        <f t="shared" si="12"/>
        <v>38192881.32669878</v>
      </c>
      <c r="L48" s="31">
        <f t="shared" si="12"/>
        <v>38086688.789048962</v>
      </c>
      <c r="M48" s="31">
        <f t="shared" si="12"/>
        <v>37980945.411099032</v>
      </c>
      <c r="N48" s="31">
        <f t="shared" si="12"/>
        <v>37875647.949804366</v>
      </c>
      <c r="O48" s="31">
        <f t="shared" si="12"/>
        <v>37770793.193242863</v>
      </c>
      <c r="P48" s="31">
        <f t="shared" si="12"/>
        <v>37666377.960290305</v>
      </c>
      <c r="Q48" s="31">
        <f t="shared" si="12"/>
        <v>37562399.100299291</v>
      </c>
      <c r="R48" s="31">
        <f t="shared" si="12"/>
        <v>37458853.49278149</v>
      </c>
      <c r="S48" s="31">
        <f t="shared" si="12"/>
        <v>37355738.047093302</v>
      </c>
      <c r="T48" s="31">
        <f t="shared" si="12"/>
        <v>37253049.702124901</v>
      </c>
      <c r="U48" s="31">
        <f t="shared" si="12"/>
        <v>37150785.425992481</v>
      </c>
      <c r="V48" s="31">
        <f t="shared" si="12"/>
        <v>37048942.21573393</v>
      </c>
      <c r="W48" s="31">
        <f t="shared" si="12"/>
        <v>36947517.097007543</v>
      </c>
      <c r="X48" s="31">
        <f t="shared" si="12"/>
        <v>36846507.123794116</v>
      </c>
      <c r="Y48" s="31"/>
      <c r="Z48" s="31">
        <f>SUM(E48:X48)</f>
        <v>717770373.12662292</v>
      </c>
      <c r="AD48" s="31"/>
    </row>
    <row r="49" spans="1:30">
      <c r="E49" s="31"/>
      <c r="F49" s="31"/>
      <c r="G49" s="31"/>
      <c r="H49" s="31"/>
      <c r="I49" s="31"/>
      <c r="J49" s="31"/>
      <c r="K49" s="31"/>
      <c r="L49" s="31"/>
      <c r="M49" s="31"/>
      <c r="N49" s="31"/>
      <c r="O49" s="31"/>
      <c r="P49" s="31"/>
      <c r="Q49" s="31"/>
      <c r="R49" s="31"/>
      <c r="S49" s="31"/>
      <c r="T49" s="31"/>
      <c r="U49" s="31"/>
      <c r="V49" s="31"/>
      <c r="W49" s="31"/>
      <c r="X49" s="31"/>
      <c r="Y49" s="31"/>
      <c r="Z49" s="31"/>
      <c r="AD49" s="31"/>
    </row>
    <row r="50" spans="1:30" ht="15">
      <c r="A50" s="61" t="s">
        <v>69</v>
      </c>
      <c r="B50" s="61" t="s">
        <v>70</v>
      </c>
      <c r="C50" s="61" t="s">
        <v>161</v>
      </c>
      <c r="D50" s="61" t="str">
        <f>CONCATENATE(C8," - ","NEW")</f>
        <v>Lighting - NEW</v>
      </c>
      <c r="E50" s="78">
        <v>2016</v>
      </c>
      <c r="F50" s="79">
        <v>2017</v>
      </c>
      <c r="G50" s="79">
        <v>2018</v>
      </c>
      <c r="H50" s="79">
        <v>2019</v>
      </c>
      <c r="I50" s="79">
        <v>2020</v>
      </c>
      <c r="J50" s="79">
        <v>2021</v>
      </c>
      <c r="K50" s="79">
        <v>2022</v>
      </c>
      <c r="L50" s="79">
        <v>2023</v>
      </c>
      <c r="M50" s="79">
        <v>2024</v>
      </c>
      <c r="N50" s="79">
        <v>2025</v>
      </c>
      <c r="O50" s="79">
        <v>2026</v>
      </c>
      <c r="P50" s="79">
        <v>2027</v>
      </c>
      <c r="Q50" s="79">
        <v>2028</v>
      </c>
      <c r="R50" s="79">
        <v>2029</v>
      </c>
      <c r="S50" s="79">
        <v>2030</v>
      </c>
      <c r="T50" s="79">
        <v>2031</v>
      </c>
      <c r="U50" s="79">
        <v>2032</v>
      </c>
      <c r="V50" s="79">
        <v>2033</v>
      </c>
      <c r="W50" s="79">
        <v>2034</v>
      </c>
      <c r="X50" s="79">
        <v>2035</v>
      </c>
      <c r="Y50" s="80"/>
    </row>
    <row r="51" spans="1:30">
      <c r="A51" s="62">
        <f>INDEX([2]!ResApplic,MATCH($D$50,[2]APPLIC!$B$9:$B$120,0)+1,MATCH($D51,[2]APPLIC!$C$8:$F$8,0)+1)</f>
        <v>1</v>
      </c>
      <c r="B51" s="139">
        <f>VLOOKUP($C$8,[2]!NewSat,MATCH($D51,[2]SATS!$C$10:$F$10,0)+1,FALSE)</f>
        <v>77</v>
      </c>
      <c r="C51" s="62">
        <f>VLOOKUP($D$50,[2]TURN!$B$9:$F$78,MATCH(D51,$D$51:$D$54,0)+1,FALSE)</f>
        <v>1</v>
      </c>
      <c r="D51" s="1" t="str">
        <f>D43</f>
        <v>Single Family</v>
      </c>
      <c r="E51" s="31">
        <f>E23*$C51*$A51*$B51</f>
        <v>0</v>
      </c>
      <c r="F51" s="31">
        <f t="shared" ref="F51:X54" si="13">F23*$C51*$A51*$B51</f>
        <v>0</v>
      </c>
      <c r="G51" s="31">
        <f t="shared" si="13"/>
        <v>0</v>
      </c>
      <c r="H51" s="31">
        <f t="shared" si="13"/>
        <v>0</v>
      </c>
      <c r="I51" s="31">
        <f t="shared" si="13"/>
        <v>0</v>
      </c>
      <c r="J51" s="31">
        <f t="shared" si="13"/>
        <v>0</v>
      </c>
      <c r="K51" s="31">
        <f t="shared" si="13"/>
        <v>0</v>
      </c>
      <c r="L51" s="31">
        <f t="shared" si="13"/>
        <v>0</v>
      </c>
      <c r="M51" s="31">
        <f>M23*$C51*$A51*$B51</f>
        <v>3919271.0724191298</v>
      </c>
      <c r="N51" s="31">
        <f t="shared" si="13"/>
        <v>3140494.6603165693</v>
      </c>
      <c r="O51" s="31">
        <f t="shared" si="13"/>
        <v>2577428.52512903</v>
      </c>
      <c r="P51" s="31">
        <f t="shared" si="13"/>
        <v>2192763.4100524466</v>
      </c>
      <c r="Q51" s="31">
        <f t="shared" si="13"/>
        <v>1877351.9110963843</v>
      </c>
      <c r="R51" s="31">
        <f t="shared" si="13"/>
        <v>1577278.5046418398</v>
      </c>
      <c r="S51" s="31">
        <f t="shared" si="13"/>
        <v>1357222.3977914064</v>
      </c>
      <c r="T51" s="31">
        <f t="shared" si="13"/>
        <v>1201818.7748912084</v>
      </c>
      <c r="U51" s="31">
        <f t="shared" si="13"/>
        <v>1065083.738408321</v>
      </c>
      <c r="V51" s="31">
        <f t="shared" si="13"/>
        <v>977873.37571936124</v>
      </c>
      <c r="W51" s="31">
        <f t="shared" si="13"/>
        <v>895518.24960217986</v>
      </c>
      <c r="X51" s="31">
        <f>X23*$C51*$A51*$B51</f>
        <v>815456.36208241445</v>
      </c>
      <c r="Y51" s="31"/>
      <c r="Z51" s="31">
        <f>SUM(E23:X23)*A51*B51*$Z$31</f>
        <v>18357926.834827751</v>
      </c>
      <c r="AD51" s="31"/>
    </row>
    <row r="52" spans="1:30">
      <c r="A52" s="62">
        <f>INDEX([2]!ResApplic,MATCH($D$50,[2]APPLIC!$B$9:$B$120,0)+1,MATCH($D52,[2]APPLIC!$C$8:$F$8,0)+1)</f>
        <v>1</v>
      </c>
      <c r="B52" s="139">
        <f>VLOOKUP($C$8,[2]!NewSat,MATCH($D52,[2]SATS!$C$10:$F$10,0)+1,FALSE)</f>
        <v>23</v>
      </c>
      <c r="C52" s="62">
        <f>VLOOKUP($D$50,[2]TURN!$B$9:$F$78,MATCH(D52,$D$51:$D$54,0)+1,FALSE)</f>
        <v>1</v>
      </c>
      <c r="D52" s="1" t="str">
        <f t="shared" ref="D52:D54" si="14">D44</f>
        <v>Multifamily - Low Rise</v>
      </c>
      <c r="E52" s="31">
        <f t="shared" ref="E52:T54" si="15">E24*$C52*$A52*$B52</f>
        <v>0</v>
      </c>
      <c r="F52" s="31">
        <f t="shared" si="15"/>
        <v>0</v>
      </c>
      <c r="G52" s="31">
        <f t="shared" si="15"/>
        <v>0</v>
      </c>
      <c r="H52" s="31">
        <f t="shared" si="15"/>
        <v>0</v>
      </c>
      <c r="I52" s="31">
        <f t="shared" si="15"/>
        <v>0</v>
      </c>
      <c r="J52" s="31">
        <f t="shared" si="15"/>
        <v>0</v>
      </c>
      <c r="K52" s="31">
        <f t="shared" si="15"/>
        <v>0</v>
      </c>
      <c r="L52" s="31">
        <f t="shared" si="15"/>
        <v>0</v>
      </c>
      <c r="M52" s="31">
        <f t="shared" si="15"/>
        <v>434773.40989673103</v>
      </c>
      <c r="N52" s="31">
        <f t="shared" si="15"/>
        <v>360095.13414315594</v>
      </c>
      <c r="O52" s="31">
        <f t="shared" si="15"/>
        <v>309009.14819862478</v>
      </c>
      <c r="P52" s="31">
        <f t="shared" si="15"/>
        <v>263086.49571214896</v>
      </c>
      <c r="Q52" s="31">
        <f t="shared" si="15"/>
        <v>218174.65973180436</v>
      </c>
      <c r="R52" s="31">
        <f t="shared" si="15"/>
        <v>185473.39341603711</v>
      </c>
      <c r="S52" s="31">
        <f t="shared" si="15"/>
        <v>162678.30287382682</v>
      </c>
      <c r="T52" s="31">
        <f t="shared" si="15"/>
        <v>147435.0959043208</v>
      </c>
      <c r="U52" s="31">
        <f t="shared" si="13"/>
        <v>135234.19635255134</v>
      </c>
      <c r="V52" s="31">
        <f t="shared" si="13"/>
        <v>125308.77681786046</v>
      </c>
      <c r="W52" s="31">
        <f t="shared" si="13"/>
        <v>114435.38076952536</v>
      </c>
      <c r="X52" s="31">
        <f t="shared" si="13"/>
        <v>105588.75097783828</v>
      </c>
      <c r="Y52" s="31"/>
      <c r="Z52" s="31">
        <f t="shared" ref="Z52:Z54" si="16">SUM(E24:X24)*A52*B52*$Z$31</f>
        <v>2177098.8330752612</v>
      </c>
      <c r="AD52" s="31"/>
    </row>
    <row r="53" spans="1:30">
      <c r="A53" s="62">
        <f>INDEX([2]!ResApplic,MATCH($D$50,[2]APPLIC!$B$9:$B$120,0)+1,MATCH($D53,[2]APPLIC!$C$8:$F$8,0)+1)</f>
        <v>1</v>
      </c>
      <c r="B53" s="139">
        <f>VLOOKUP($C$8,[2]!NewSat,MATCH($D53,[2]SATS!$C$10:$F$10,0)+1,FALSE)</f>
        <v>23</v>
      </c>
      <c r="C53" s="62">
        <f>VLOOKUP($D$50,[2]TURN!$B$9:$F$78,MATCH(D53,$D$51:$D$54,0)+1,FALSE)</f>
        <v>1</v>
      </c>
      <c r="D53" s="1" t="str">
        <f t="shared" si="14"/>
        <v>Multifamily - High Rise</v>
      </c>
      <c r="E53" s="31">
        <f t="shared" si="15"/>
        <v>0</v>
      </c>
      <c r="F53" s="31">
        <f t="shared" si="13"/>
        <v>0</v>
      </c>
      <c r="G53" s="31">
        <f t="shared" si="13"/>
        <v>0</v>
      </c>
      <c r="H53" s="31">
        <f t="shared" si="13"/>
        <v>0</v>
      </c>
      <c r="I53" s="31">
        <f t="shared" si="13"/>
        <v>0</v>
      </c>
      <c r="J53" s="31">
        <f t="shared" si="13"/>
        <v>0</v>
      </c>
      <c r="K53" s="31">
        <f t="shared" si="13"/>
        <v>0</v>
      </c>
      <c r="L53" s="31">
        <f t="shared" si="13"/>
        <v>0</v>
      </c>
      <c r="M53" s="31">
        <f t="shared" si="13"/>
        <v>97602.91066874018</v>
      </c>
      <c r="N53" s="31">
        <f t="shared" si="13"/>
        <v>81976.2501464011</v>
      </c>
      <c r="O53" s="31">
        <f t="shared" si="13"/>
        <v>71405.221375937414</v>
      </c>
      <c r="P53" s="31">
        <f t="shared" si="13"/>
        <v>59391.632636756731</v>
      </c>
      <c r="Q53" s="31">
        <f t="shared" si="13"/>
        <v>48298.821872841865</v>
      </c>
      <c r="R53" s="31">
        <f t="shared" si="13"/>
        <v>41674.446790817703</v>
      </c>
      <c r="S53" s="31">
        <f t="shared" si="13"/>
        <v>36659.862876951018</v>
      </c>
      <c r="T53" s="31">
        <f t="shared" si="13"/>
        <v>33637.780527486204</v>
      </c>
      <c r="U53" s="31">
        <f t="shared" si="13"/>
        <v>30637.192592873675</v>
      </c>
      <c r="V53" s="31">
        <f t="shared" si="13"/>
        <v>28385.627051615043</v>
      </c>
      <c r="W53" s="31">
        <f t="shared" si="13"/>
        <v>25610.474895575477</v>
      </c>
      <c r="X53" s="31">
        <f t="shared" si="13"/>
        <v>23584.895452152396</v>
      </c>
      <c r="Y53" s="31"/>
      <c r="Z53" s="31">
        <f t="shared" si="16"/>
        <v>492035.3493549265</v>
      </c>
      <c r="AD53" s="31"/>
    </row>
    <row r="54" spans="1:30">
      <c r="A54" s="62">
        <f>INDEX([2]!ResApplic,MATCH($D$50,[2]APPLIC!$B$9:$B$120,0)+1,MATCH($D54,[2]APPLIC!$C$8:$F$8,0)+1)</f>
        <v>1</v>
      </c>
      <c r="B54" s="139">
        <f>VLOOKUP($C$8,[2]!NewSat,MATCH($D54,[2]SATS!$C$10:$F$10,0)+1,FALSE)</f>
        <v>34.5</v>
      </c>
      <c r="C54" s="62">
        <f>VLOOKUP($D$50,[2]TURN!$B$9:$F$78,MATCH(D54,$D$51:$D$54,0)+1,FALSE)</f>
        <v>1</v>
      </c>
      <c r="D54" s="1" t="str">
        <f t="shared" si="14"/>
        <v>Manufactured</v>
      </c>
      <c r="E54" s="31">
        <f t="shared" si="15"/>
        <v>0</v>
      </c>
      <c r="F54" s="31">
        <f t="shared" si="13"/>
        <v>0</v>
      </c>
      <c r="G54" s="31">
        <f t="shared" si="13"/>
        <v>0</v>
      </c>
      <c r="H54" s="31">
        <f t="shared" si="13"/>
        <v>0</v>
      </c>
      <c r="I54" s="31">
        <f t="shared" si="13"/>
        <v>0</v>
      </c>
      <c r="J54" s="31">
        <f t="shared" si="13"/>
        <v>0</v>
      </c>
      <c r="K54" s="31">
        <f t="shared" si="13"/>
        <v>0</v>
      </c>
      <c r="L54" s="31">
        <f t="shared" si="13"/>
        <v>0</v>
      </c>
      <c r="M54" s="31">
        <f t="shared" si="13"/>
        <v>52373.038323358094</v>
      </c>
      <c r="N54" s="31">
        <f t="shared" si="13"/>
        <v>44159.537579082738</v>
      </c>
      <c r="O54" s="31">
        <f t="shared" si="13"/>
        <v>39604.851426394729</v>
      </c>
      <c r="P54" s="31">
        <f t="shared" si="13"/>
        <v>36114.6075141459</v>
      </c>
      <c r="Q54" s="31">
        <f t="shared" si="13"/>
        <v>30803.938339801702</v>
      </c>
      <c r="R54" s="31">
        <f t="shared" si="13"/>
        <v>26733.530467825993</v>
      </c>
      <c r="S54" s="31">
        <f t="shared" si="13"/>
        <v>23741.40303523781</v>
      </c>
      <c r="T54" s="31">
        <f t="shared" si="13"/>
        <v>21243.036424591221</v>
      </c>
      <c r="U54" s="31">
        <f t="shared" si="13"/>
        <v>19126.728212617971</v>
      </c>
      <c r="V54" s="31">
        <f t="shared" si="13"/>
        <v>17264.880570073758</v>
      </c>
      <c r="W54" s="31">
        <f t="shared" si="13"/>
        <v>15616.457953769625</v>
      </c>
      <c r="X54" s="31">
        <f t="shared" si="13"/>
        <v>14390.09325950122</v>
      </c>
      <c r="Y54" s="31"/>
      <c r="Z54" s="31">
        <f t="shared" si="16"/>
        <v>289996.28764044063</v>
      </c>
      <c r="AD54" s="31"/>
    </row>
    <row r="55" spans="1:30">
      <c r="E55" s="31"/>
      <c r="F55" s="31"/>
      <c r="G55" s="31"/>
      <c r="H55" s="31"/>
      <c r="I55" s="31"/>
      <c r="J55" s="31"/>
      <c r="K55" s="31"/>
      <c r="L55" s="31"/>
      <c r="M55" s="31"/>
      <c r="N55" s="31"/>
      <c r="O55" s="31"/>
      <c r="P55" s="31"/>
      <c r="Q55" s="31"/>
      <c r="R55" s="31"/>
      <c r="S55" s="31"/>
      <c r="T55" s="31"/>
      <c r="U55" s="31"/>
      <c r="V55" s="31"/>
      <c r="W55" s="31"/>
      <c r="X55" s="31"/>
      <c r="Y55" s="31"/>
    </row>
    <row r="56" spans="1:30">
      <c r="E56" s="31">
        <f t="shared" ref="E56:X56" si="17">SUM(E51:E54)</f>
        <v>0</v>
      </c>
      <c r="F56" s="31">
        <f t="shared" si="17"/>
        <v>0</v>
      </c>
      <c r="G56" s="31">
        <f t="shared" si="17"/>
        <v>0</v>
      </c>
      <c r="H56" s="31">
        <f t="shared" si="17"/>
        <v>0</v>
      </c>
      <c r="I56" s="31">
        <f t="shared" si="17"/>
        <v>0</v>
      </c>
      <c r="J56" s="31">
        <f t="shared" si="17"/>
        <v>0</v>
      </c>
      <c r="K56" s="31">
        <f t="shared" si="17"/>
        <v>0</v>
      </c>
      <c r="L56" s="31">
        <f t="shared" si="17"/>
        <v>0</v>
      </c>
      <c r="M56" s="31">
        <f t="shared" si="17"/>
        <v>4504020.4313079584</v>
      </c>
      <c r="N56" s="31">
        <f t="shared" si="17"/>
        <v>3626725.5821852093</v>
      </c>
      <c r="O56" s="31">
        <f t="shared" si="17"/>
        <v>2997447.7461299868</v>
      </c>
      <c r="P56" s="31">
        <f t="shared" si="17"/>
        <v>2551356.145915498</v>
      </c>
      <c r="Q56" s="31">
        <f t="shared" si="17"/>
        <v>2174629.3310408322</v>
      </c>
      <c r="R56" s="31">
        <f t="shared" si="17"/>
        <v>1831159.8753165205</v>
      </c>
      <c r="S56" s="31">
        <f t="shared" si="17"/>
        <v>1580301.9665774221</v>
      </c>
      <c r="T56" s="31">
        <f t="shared" si="17"/>
        <v>1404134.6877476065</v>
      </c>
      <c r="U56" s="31">
        <f t="shared" si="17"/>
        <v>1250081.855566364</v>
      </c>
      <c r="V56" s="31">
        <f t="shared" si="17"/>
        <v>1148832.6601589108</v>
      </c>
      <c r="W56" s="31">
        <f t="shared" si="17"/>
        <v>1051180.5632210502</v>
      </c>
      <c r="X56" s="31">
        <f t="shared" si="17"/>
        <v>959020.10177190637</v>
      </c>
      <c r="Y56" s="31"/>
      <c r="Z56" s="31">
        <f>SUM(E56:X56)</f>
        <v>25078890.94693926</v>
      </c>
      <c r="AD56" s="31"/>
    </row>
    <row r="57" spans="1:30">
      <c r="E57" s="31"/>
      <c r="F57" s="31"/>
      <c r="G57" s="31"/>
      <c r="H57" s="31"/>
      <c r="I57" s="31"/>
      <c r="J57" s="31"/>
      <c r="K57" s="31"/>
      <c r="L57" s="31"/>
      <c r="M57" s="31"/>
      <c r="N57" s="31"/>
      <c r="O57" s="31"/>
      <c r="P57" s="31"/>
      <c r="Q57" s="31"/>
      <c r="R57" s="31"/>
      <c r="S57" s="31"/>
      <c r="T57" s="31"/>
      <c r="U57" s="31"/>
      <c r="V57" s="31"/>
      <c r="W57" s="31"/>
      <c r="X57" s="31"/>
      <c r="Y57" s="31"/>
      <c r="Z57" s="31"/>
      <c r="AD57" s="31"/>
    </row>
    <row r="58" spans="1:30" ht="15.75" thickBot="1">
      <c r="E58" s="61" t="s">
        <v>71</v>
      </c>
      <c r="F58" s="31"/>
      <c r="G58" s="31"/>
      <c r="H58" s="31"/>
      <c r="I58" s="31"/>
      <c r="J58" s="31"/>
      <c r="K58" s="31"/>
      <c r="L58" s="31"/>
      <c r="M58" s="31"/>
      <c r="N58" s="31"/>
      <c r="O58" s="31"/>
      <c r="P58" s="31"/>
      <c r="Q58" s="31"/>
      <c r="R58" s="31"/>
      <c r="S58" s="31"/>
      <c r="T58" s="31"/>
      <c r="U58" s="31"/>
      <c r="V58" s="31"/>
      <c r="W58" s="31"/>
      <c r="X58" s="31"/>
      <c r="Y58" s="31"/>
    </row>
    <row r="59" spans="1:30" ht="15.75" thickBot="1">
      <c r="A59" s="63" t="s">
        <v>162</v>
      </c>
      <c r="D59" s="61" t="str">
        <f>D42</f>
        <v>Lighting - NR</v>
      </c>
      <c r="E59" s="65">
        <f>VLOOKUP($D$42,[2]ACHIEV!$B$9:$X$79,MATCH(E$11,$E$11:$Y$11,0)+2,FALSE)</f>
        <v>0.22119921692859512</v>
      </c>
      <c r="F59" s="65">
        <f>VLOOKUP($D$42,[2]ACHIEV!$B$9:$X$79,MATCH(F$11,$E$11:$Y$11,0)+2,FALSE)</f>
        <v>0.37624232795148943</v>
      </c>
      <c r="G59" s="65">
        <f>VLOOKUP($D$42,[2]ACHIEV!$B$9:$X$79,MATCH(G$11,$E$11:$Y$11,0)+2,FALSE)</f>
        <v>0.48357361352878442</v>
      </c>
      <c r="H59" s="65">
        <f>VLOOKUP($D$42,[2]ACHIEV!$B$9:$X$79,MATCH(H$11,$E$11:$Y$11,0)+2,FALSE)</f>
        <v>0.56716330278444227</v>
      </c>
      <c r="I59" s="65">
        <f>VLOOKUP($D$42,[2]ACHIEV!$B$9:$X$79,MATCH(I$11,$E$11:$Y$11,0)+2,FALSE)</f>
        <v>0.64040048266456928</v>
      </c>
      <c r="J59" s="65">
        <f>VLOOKUP($D$42,[2]ACHIEV!$B$9:$X$79,MATCH(J$11,$E$11:$Y$11,0)+2,FALSE)</f>
        <v>0.70377511937632964</v>
      </c>
      <c r="K59" s="65">
        <f>VLOOKUP($D$42,[2]ACHIEV!$B$9:$X$79,MATCH(K$11,$E$11:$Y$11,0)+2,FALSE)</f>
        <v>0.7580669577441127</v>
      </c>
      <c r="L59" s="65">
        <f>VLOOKUP($D$42,[2]ACHIEV!$B$9:$X$79,MATCH(L$11,$E$11:$Y$11,0)+2,FALSE)</f>
        <v>0.80419335000071168</v>
      </c>
      <c r="M59" s="65">
        <f>VLOOKUP($D$42,[2]ACHIEV!$B$9:$X$79,MATCH(M$11,$E$11:$Y$11,0)+2,FALSE)</f>
        <v>0.84311022627788457</v>
      </c>
      <c r="N59" s="65">
        <f>VLOOKUP($D$42,[2]ACHIEV!$B$9:$X$79,MATCH(N$11,$E$11:$Y$11,0)+2,FALSE)</f>
        <v>0.87575014259103623</v>
      </c>
      <c r="O59" s="65">
        <f>VLOOKUP($D$42,[2]ACHIEV!$B$9:$X$79,MATCH(O$11,$E$11:$Y$11,0)+2,FALSE)</f>
        <v>0.90298584871682319</v>
      </c>
      <c r="P59" s="65">
        <f>VLOOKUP($D$42,[2]ACHIEV!$B$9:$X$79,MATCH(P$11,$E$11:$Y$11,0)+2,FALSE)</f>
        <v>0.92419703797508856</v>
      </c>
      <c r="Q59" s="65">
        <f>VLOOKUP($D$42,[2]ACHIEV!$B$9:$X$79,MATCH(Q$11,$E$11:$Y$11,0)+2,FALSE)</f>
        <v>0.94071632877930145</v>
      </c>
      <c r="R59" s="65">
        <f>VLOOKUP($D$42,[2]ACHIEV!$B$9:$X$79,MATCH(R$11,$E$11:$Y$11,0)+2,FALSE)</f>
        <v>0.95358156539340677</v>
      </c>
      <c r="S59" s="65">
        <f>VLOOKUP($D$42,[2]ACHIEV!$B$9:$X$79,MATCH(S$11,$E$11:$Y$11,0)+2,FALSE)</f>
        <v>0.96360102174287088</v>
      </c>
      <c r="T59" s="65">
        <f>VLOOKUP($D$42,[2]ACHIEV!$B$9:$X$79,MATCH(T$11,$E$11:$Y$11,0)+2,FALSE)</f>
        <v>0.97140418219378311</v>
      </c>
      <c r="U59" s="65">
        <f>VLOOKUP($D$42,[2]ACHIEV!$B$9:$X$79,MATCH(U$11,$E$11:$Y$11,0)+2,FALSE)</f>
        <v>0.97748128966338554</v>
      </c>
      <c r="V59" s="65">
        <f>VLOOKUP($D$42,[2]ACHIEV!$B$9:$X$79,MATCH(V$11,$E$11:$Y$11,0)+2,FALSE)</f>
        <v>0.98221414571952104</v>
      </c>
      <c r="W59" s="65">
        <f>VLOOKUP($D$42,[2]ACHIEV!$B$9:$X$79,MATCH(W$11,$E$11:$Y$11,0)+2,FALSE)</f>
        <v>0.98590009772220355</v>
      </c>
      <c r="X59" s="65">
        <f>VLOOKUP($D$42,[2]ACHIEV!$B$9:$X$79,MATCH(X$11,$E$11:$Y$11,0)+2,FALSE)</f>
        <v>0.98877072002825628</v>
      </c>
      <c r="Y59" s="138"/>
      <c r="Z59" s="137">
        <v>0.85</v>
      </c>
    </row>
    <row r="60" spans="1:30">
      <c r="D60" s="1" t="str">
        <f>C23</f>
        <v>Single Family</v>
      </c>
      <c r="E60" s="31">
        <f>(E43+E51)*E$59*$Z$59</f>
        <v>0</v>
      </c>
      <c r="F60" s="31">
        <f>(F43+F51)*F$59*$Z$59</f>
        <v>10562429.047024984</v>
      </c>
      <c r="G60" s="31">
        <f t="shared" ref="G60:X60" si="18">(G43+G51)*G$59*$Z$59</f>
        <v>13544763.856832258</v>
      </c>
      <c r="H60" s="31">
        <f t="shared" si="18"/>
        <v>15850014.220982384</v>
      </c>
      <c r="I60" s="31">
        <f t="shared" si="18"/>
        <v>17856069.790317897</v>
      </c>
      <c r="J60" s="31">
        <f t="shared" si="18"/>
        <v>19578563.502780002</v>
      </c>
      <c r="K60" s="31">
        <f>(K43+K51)*K$59*$Z$59</f>
        <v>21041038.594542891</v>
      </c>
      <c r="L60" s="31">
        <f t="shared" si="18"/>
        <v>22270643.916334081</v>
      </c>
      <c r="M60" s="31">
        <f t="shared" si="18"/>
        <v>26104076.495976724</v>
      </c>
      <c r="N60" s="31">
        <f t="shared" si="18"/>
        <v>26480003.799003799</v>
      </c>
      <c r="O60" s="31">
        <f t="shared" si="18"/>
        <v>26814826.810510065</v>
      </c>
      <c r="P60" s="31">
        <f t="shared" si="18"/>
        <v>27084805.040470693</v>
      </c>
      <c r="Q60" s="31">
        <f t="shared" si="18"/>
        <v>27258097.14824542</v>
      </c>
      <c r="R60" s="31">
        <f t="shared" si="18"/>
        <v>27328367.801861681</v>
      </c>
      <c r="S60" s="31">
        <f t="shared" si="18"/>
        <v>27375497.431944568</v>
      </c>
      <c r="T60" s="31">
        <f t="shared" si="18"/>
        <v>27408743.735742409</v>
      </c>
      <c r="U60" s="31">
        <f t="shared" si="18"/>
        <v>27406244.208555445</v>
      </c>
      <c r="V60" s="31">
        <f t="shared" si="18"/>
        <v>27405616.14853273</v>
      </c>
      <c r="W60" s="31">
        <f t="shared" si="18"/>
        <v>27378841.426072855</v>
      </c>
      <c r="X60" s="31">
        <f t="shared" si="18"/>
        <v>27330628.040380672</v>
      </c>
      <c r="Y60" s="31"/>
    </row>
    <row r="61" spans="1:30">
      <c r="D61" s="1" t="str">
        <f>C24</f>
        <v>Multifamily - Low Rise</v>
      </c>
      <c r="E61" s="31">
        <f t="shared" ref="E61:X63" si="19">(E44+E52)*E$59*$Z$59</f>
        <v>0</v>
      </c>
      <c r="F61" s="31">
        <f t="shared" si="19"/>
        <v>849693.23681695736</v>
      </c>
      <c r="G61" s="31">
        <f t="shared" si="19"/>
        <v>1089606.7344982827</v>
      </c>
      <c r="H61" s="31">
        <f t="shared" si="19"/>
        <v>1275052.2480618102</v>
      </c>
      <c r="I61" s="31">
        <f t="shared" si="19"/>
        <v>1436429.0641737257</v>
      </c>
      <c r="J61" s="31">
        <f t="shared" si="19"/>
        <v>1574994.7749602899</v>
      </c>
      <c r="K61" s="31">
        <f t="shared" si="19"/>
        <v>1692643.3151642086</v>
      </c>
      <c r="L61" s="31">
        <f t="shared" si="19"/>
        <v>1791558.6723830937</v>
      </c>
      <c r="M61" s="31">
        <f t="shared" si="19"/>
        <v>2185569.0064695622</v>
      </c>
      <c r="N61" s="31">
        <f t="shared" si="19"/>
        <v>2210170.6462387028</v>
      </c>
      <c r="O61" s="31">
        <f t="shared" si="19"/>
        <v>2235148.8501408179</v>
      </c>
      <c r="P61" s="31">
        <f t="shared" si="19"/>
        <v>2246933.675149417</v>
      </c>
      <c r="Q61" s="31">
        <f t="shared" si="19"/>
        <v>2246468.0594906965</v>
      </c>
      <c r="R61" s="31">
        <f t="shared" si="19"/>
        <v>2245915.4175225999</v>
      </c>
      <c r="S61" s="31">
        <f t="shared" si="19"/>
        <v>2246034.4129198822</v>
      </c>
      <c r="T61" s="31">
        <f t="shared" si="19"/>
        <v>2246799.7786465492</v>
      </c>
      <c r="U61" s="31">
        <f t="shared" si="19"/>
        <v>2245862.7150343447</v>
      </c>
      <c r="V61" s="31">
        <f t="shared" si="19"/>
        <v>2243582.1263632625</v>
      </c>
      <c r="W61" s="31">
        <f t="shared" si="19"/>
        <v>2238014.1148903067</v>
      </c>
      <c r="X61" s="31">
        <f t="shared" si="19"/>
        <v>2232216.7755794241</v>
      </c>
      <c r="Y61" s="31"/>
    </row>
    <row r="62" spans="1:30">
      <c r="D62" s="1" t="str">
        <f>C25</f>
        <v>Multifamily - High Rise</v>
      </c>
      <c r="E62" s="31">
        <f t="shared" si="19"/>
        <v>0</v>
      </c>
      <c r="F62" s="31">
        <f t="shared" si="19"/>
        <v>193726.95501318891</v>
      </c>
      <c r="G62" s="31">
        <f t="shared" si="19"/>
        <v>248426.3563482842</v>
      </c>
      <c r="H62" s="31">
        <f t="shared" si="19"/>
        <v>290707.25621527748</v>
      </c>
      <c r="I62" s="31">
        <f t="shared" si="19"/>
        <v>327500.58095939271</v>
      </c>
      <c r="J62" s="31">
        <f t="shared" si="19"/>
        <v>359093.05699283694</v>
      </c>
      <c r="K62" s="31">
        <f t="shared" si="19"/>
        <v>385916.49452051683</v>
      </c>
      <c r="L62" s="31">
        <f t="shared" si="19"/>
        <v>408468.83473901916</v>
      </c>
      <c r="M62" s="31">
        <f t="shared" si="19"/>
        <v>497209.7023905004</v>
      </c>
      <c r="N62" s="31">
        <f t="shared" si="19"/>
        <v>503818.43863513815</v>
      </c>
      <c r="O62" s="31">
        <f t="shared" si="19"/>
        <v>510336.67414680525</v>
      </c>
      <c r="P62" s="31">
        <f t="shared" si="19"/>
        <v>511828.30175358494</v>
      </c>
      <c r="Q62" s="31">
        <f t="shared" si="19"/>
        <v>511031.71554305707</v>
      </c>
      <c r="R62" s="31">
        <f t="shared" si="19"/>
        <v>511563.80404133856</v>
      </c>
      <c r="S62" s="31">
        <f t="shared" si="19"/>
        <v>511735.28710074507</v>
      </c>
      <c r="T62" s="31">
        <f t="shared" si="19"/>
        <v>512281.23210102366</v>
      </c>
      <c r="U62" s="31">
        <f t="shared" si="19"/>
        <v>511885.88970166678</v>
      </c>
      <c r="V62" s="31">
        <f t="shared" si="19"/>
        <v>511374.64901871257</v>
      </c>
      <c r="W62" s="31">
        <f t="shared" si="19"/>
        <v>509856.48455700133</v>
      </c>
      <c r="X62" s="31">
        <f t="shared" si="19"/>
        <v>508526.32900135027</v>
      </c>
      <c r="Y62" s="31"/>
    </row>
    <row r="63" spans="1:30">
      <c r="D63" s="1" t="str">
        <f>C26</f>
        <v>Manufactured</v>
      </c>
      <c r="E63" s="31">
        <f>(E46+E54)*E$59*$Z$59</f>
        <v>0</v>
      </c>
      <c r="F63" s="31">
        <f t="shared" si="19"/>
        <v>780459.26712136087</v>
      </c>
      <c r="G63" s="31">
        <f t="shared" si="19"/>
        <v>992382.06327877706</v>
      </c>
      <c r="H63" s="31">
        <f t="shared" si="19"/>
        <v>1151484.656839632</v>
      </c>
      <c r="I63" s="31">
        <f t="shared" si="19"/>
        <v>1286279.6685313478</v>
      </c>
      <c r="J63" s="31">
        <f t="shared" si="19"/>
        <v>1398464.3041591295</v>
      </c>
      <c r="K63" s="31">
        <f t="shared" si="19"/>
        <v>1490248.7473629853</v>
      </c>
      <c r="L63" s="31">
        <f t="shared" si="19"/>
        <v>1564031.147088669</v>
      </c>
      <c r="M63" s="31">
        <f t="shared" si="19"/>
        <v>1659727.5852431776</v>
      </c>
      <c r="N63" s="31">
        <f t="shared" si="19"/>
        <v>1699860.2238527369</v>
      </c>
      <c r="O63" s="31">
        <f t="shared" si="19"/>
        <v>1730860.613734111</v>
      </c>
      <c r="P63" s="31">
        <f t="shared" si="19"/>
        <v>1750177.107397642</v>
      </c>
      <c r="Q63" s="31">
        <f t="shared" si="19"/>
        <v>1758483.8538704817</v>
      </c>
      <c r="R63" s="31">
        <f t="shared" si="19"/>
        <v>1760450.5606713416</v>
      </c>
      <c r="S63" s="31">
        <f t="shared" si="19"/>
        <v>1757719.6168600633</v>
      </c>
      <c r="T63" s="31">
        <f t="shared" si="19"/>
        <v>1751163.2534446442</v>
      </c>
      <c r="U63" s="31">
        <f t="shared" si="19"/>
        <v>1741717.0700935938</v>
      </c>
      <c r="V63" s="31">
        <f t="shared" si="19"/>
        <v>1730062.6714802133</v>
      </c>
      <c r="W63" s="31">
        <f t="shared" si="19"/>
        <v>1716769.750535296</v>
      </c>
      <c r="X63" s="31">
        <f t="shared" si="19"/>
        <v>1702477.4745287097</v>
      </c>
      <c r="Y63" s="31"/>
    </row>
    <row r="65" spans="1:29">
      <c r="E65" s="31">
        <f t="shared" ref="E65:X65" si="20">SUM(E60:E63)</f>
        <v>0</v>
      </c>
      <c r="F65" s="31">
        <f t="shared" si="20"/>
        <v>12386308.505976493</v>
      </c>
      <c r="G65" s="31">
        <f t="shared" si="20"/>
        <v>15875179.010957602</v>
      </c>
      <c r="H65" s="31">
        <f t="shared" si="20"/>
        <v>18567258.382099103</v>
      </c>
      <c r="I65" s="31">
        <f t="shared" si="20"/>
        <v>20906279.103982363</v>
      </c>
      <c r="J65" s="31">
        <f t="shared" si="20"/>
        <v>22911115.638892259</v>
      </c>
      <c r="K65" s="31">
        <f t="shared" si="20"/>
        <v>24609847.151590601</v>
      </c>
      <c r="L65" s="31">
        <f t="shared" si="20"/>
        <v>26034702.570544861</v>
      </c>
      <c r="M65" s="31">
        <f t="shared" si="20"/>
        <v>30446582.790079962</v>
      </c>
      <c r="N65" s="31">
        <f t="shared" si="20"/>
        <v>30893853.107730374</v>
      </c>
      <c r="O65" s="31">
        <f t="shared" si="20"/>
        <v>31291172.948531799</v>
      </c>
      <c r="P65" s="31">
        <f t="shared" si="20"/>
        <v>31593744.124771338</v>
      </c>
      <c r="Q65" s="31">
        <f t="shared" si="20"/>
        <v>31774080.777149655</v>
      </c>
      <c r="R65" s="31">
        <f t="shared" si="20"/>
        <v>31846297.584096961</v>
      </c>
      <c r="S65" s="31">
        <f t="shared" si="20"/>
        <v>31890986.748825256</v>
      </c>
      <c r="T65" s="31">
        <f t="shared" si="20"/>
        <v>31918987.999934625</v>
      </c>
      <c r="U65" s="31">
        <f t="shared" si="20"/>
        <v>31905709.883385051</v>
      </c>
      <c r="V65" s="31">
        <f t="shared" si="20"/>
        <v>31890635.595394917</v>
      </c>
      <c r="W65" s="31">
        <f t="shared" si="20"/>
        <v>31843481.776055459</v>
      </c>
      <c r="X65" s="31">
        <f t="shared" si="20"/>
        <v>31773848.619490154</v>
      </c>
      <c r="Y65" s="31"/>
    </row>
    <row r="66" spans="1:29">
      <c r="E66" s="31"/>
      <c r="F66" s="31"/>
      <c r="G66" s="31"/>
      <c r="H66" s="31"/>
      <c r="I66" s="31"/>
      <c r="J66" s="31"/>
      <c r="K66" s="31"/>
      <c r="L66" s="31"/>
      <c r="M66" s="31"/>
      <c r="N66" s="31"/>
      <c r="O66" s="31"/>
      <c r="P66" s="31"/>
      <c r="Q66" s="31"/>
      <c r="R66" s="31"/>
      <c r="S66" s="31"/>
      <c r="T66" s="31"/>
      <c r="U66" s="31"/>
      <c r="V66" s="31"/>
      <c r="W66" s="31"/>
      <c r="X66" s="31"/>
      <c r="Y66" s="31"/>
    </row>
    <row r="68" spans="1:29" ht="15">
      <c r="A68" s="63" t="s">
        <v>163</v>
      </c>
      <c r="D68" s="61" t="str">
        <f>D42</f>
        <v>Lighting - NR</v>
      </c>
      <c r="E68" s="61">
        <v>1</v>
      </c>
      <c r="F68" s="61">
        <v>2</v>
      </c>
      <c r="G68" s="61">
        <v>3</v>
      </c>
      <c r="H68" s="61">
        <v>4</v>
      </c>
      <c r="I68" s="61">
        <v>5</v>
      </c>
      <c r="J68" s="61">
        <v>6</v>
      </c>
      <c r="K68" s="61">
        <v>7</v>
      </c>
      <c r="L68" s="61">
        <v>8</v>
      </c>
      <c r="M68" s="61">
        <v>9</v>
      </c>
      <c r="N68" s="61">
        <v>10</v>
      </c>
      <c r="O68" s="61">
        <v>11</v>
      </c>
      <c r="P68" s="61">
        <v>12</v>
      </c>
      <c r="Q68" s="61">
        <v>13</v>
      </c>
      <c r="R68" s="61">
        <v>14</v>
      </c>
      <c r="S68" s="61">
        <v>15</v>
      </c>
      <c r="T68" s="61">
        <v>16</v>
      </c>
      <c r="U68" s="61">
        <v>17</v>
      </c>
      <c r="V68" s="61">
        <v>18</v>
      </c>
      <c r="W68" s="61">
        <v>19</v>
      </c>
      <c r="X68" s="61">
        <v>20</v>
      </c>
      <c r="Y68" s="61"/>
    </row>
    <row r="69" spans="1:29">
      <c r="D69" s="1" t="str">
        <f>D60</f>
        <v>Single Family</v>
      </c>
      <c r="E69" s="31">
        <f>E60</f>
        <v>0</v>
      </c>
      <c r="F69" s="31">
        <f>E69+F60</f>
        <v>10562429.047024984</v>
      </c>
      <c r="G69" s="31">
        <f t="shared" ref="G69:W70" si="21">F69+G60</f>
        <v>24107192.903857242</v>
      </c>
      <c r="H69" s="31">
        <f t="shared" si="21"/>
        <v>39957207.124839626</v>
      </c>
      <c r="I69" s="31">
        <f t="shared" si="21"/>
        <v>57813276.915157527</v>
      </c>
      <c r="J69" s="31">
        <f t="shared" si="21"/>
        <v>77391840.417937532</v>
      </c>
      <c r="K69" s="31">
        <f t="shared" si="21"/>
        <v>98432879.012480423</v>
      </c>
      <c r="L69" s="31">
        <f t="shared" si="21"/>
        <v>120703522.9288145</v>
      </c>
      <c r="M69" s="31">
        <f t="shared" si="21"/>
        <v>146807599.42479122</v>
      </c>
      <c r="N69" s="31">
        <f t="shared" si="21"/>
        <v>173287603.22379503</v>
      </c>
      <c r="O69" s="31">
        <f t="shared" si="21"/>
        <v>200102430.0343051</v>
      </c>
      <c r="P69" s="31">
        <f t="shared" si="21"/>
        <v>227187235.07477579</v>
      </c>
      <c r="Q69" s="31">
        <f t="shared" si="21"/>
        <v>254445332.22302121</v>
      </c>
      <c r="R69" s="31">
        <f t="shared" si="21"/>
        <v>281773700.02488291</v>
      </c>
      <c r="S69" s="31">
        <f t="shared" si="21"/>
        <v>309149197.45682746</v>
      </c>
      <c r="T69" s="31">
        <f t="shared" si="21"/>
        <v>336557941.19256985</v>
      </c>
      <c r="U69" s="31">
        <f t="shared" si="21"/>
        <v>363964185.40112531</v>
      </c>
      <c r="V69" s="31">
        <f t="shared" si="21"/>
        <v>391369801.54965806</v>
      </c>
      <c r="W69" s="31">
        <f t="shared" si="21"/>
        <v>418748642.9757309</v>
      </c>
      <c r="X69" s="31">
        <f>W69+X60</f>
        <v>446079271.01611155</v>
      </c>
      <c r="Y69" s="31"/>
    </row>
    <row r="70" spans="1:29">
      <c r="D70" s="1" t="str">
        <f t="shared" ref="D70:E72" si="22">D61</f>
        <v>Multifamily - Low Rise</v>
      </c>
      <c r="E70" s="31">
        <f t="shared" si="22"/>
        <v>0</v>
      </c>
      <c r="F70" s="31">
        <f t="shared" ref="F70:U72" si="23">E70+F61</f>
        <v>849693.23681695736</v>
      </c>
      <c r="G70" s="31">
        <f t="shared" si="23"/>
        <v>1939299.97131524</v>
      </c>
      <c r="H70" s="31">
        <f t="shared" si="23"/>
        <v>3214352.2193770502</v>
      </c>
      <c r="I70" s="31">
        <f t="shared" si="23"/>
        <v>4650781.2835507756</v>
      </c>
      <c r="J70" s="31">
        <f t="shared" si="23"/>
        <v>6225776.0585110653</v>
      </c>
      <c r="K70" s="31">
        <f t="shared" si="23"/>
        <v>7918419.3736752737</v>
      </c>
      <c r="L70" s="31">
        <f t="shared" si="23"/>
        <v>9709978.0460583679</v>
      </c>
      <c r="M70" s="31">
        <f t="shared" si="23"/>
        <v>11895547.052527931</v>
      </c>
      <c r="N70" s="31">
        <f t="shared" si="23"/>
        <v>14105717.698766634</v>
      </c>
      <c r="O70" s="31">
        <f t="shared" si="23"/>
        <v>16340866.548907451</v>
      </c>
      <c r="P70" s="31">
        <f t="shared" si="23"/>
        <v>18587800.22405687</v>
      </c>
      <c r="Q70" s="31">
        <f t="shared" si="23"/>
        <v>20834268.283547565</v>
      </c>
      <c r="R70" s="31">
        <f t="shared" si="23"/>
        <v>23080183.701070167</v>
      </c>
      <c r="S70" s="31">
        <f t="shared" si="23"/>
        <v>25326218.11399005</v>
      </c>
      <c r="T70" s="31">
        <f t="shared" si="23"/>
        <v>27573017.892636597</v>
      </c>
      <c r="U70" s="31">
        <f t="shared" si="23"/>
        <v>29818880.60767094</v>
      </c>
      <c r="V70" s="31">
        <f t="shared" si="21"/>
        <v>32062462.734034203</v>
      </c>
      <c r="W70" s="31">
        <f t="shared" si="21"/>
        <v>34300476.84892451</v>
      </c>
      <c r="X70" s="31">
        <f t="shared" ref="G70:X72" si="24">W70+X61</f>
        <v>36532693.624503933</v>
      </c>
      <c r="Y70" s="31"/>
    </row>
    <row r="71" spans="1:29">
      <c r="D71" s="1" t="str">
        <f t="shared" si="22"/>
        <v>Multifamily - High Rise</v>
      </c>
      <c r="E71" s="31">
        <f t="shared" si="22"/>
        <v>0</v>
      </c>
      <c r="F71" s="31">
        <f t="shared" si="23"/>
        <v>193726.95501318891</v>
      </c>
      <c r="G71" s="31">
        <f t="shared" si="24"/>
        <v>442153.31136147311</v>
      </c>
      <c r="H71" s="31">
        <f t="shared" si="24"/>
        <v>732860.56757675065</v>
      </c>
      <c r="I71" s="31">
        <f t="shared" si="24"/>
        <v>1060361.1485361434</v>
      </c>
      <c r="J71" s="31">
        <f t="shared" si="24"/>
        <v>1419454.2055289804</v>
      </c>
      <c r="K71" s="31">
        <f t="shared" si="24"/>
        <v>1805370.7000494972</v>
      </c>
      <c r="L71" s="31">
        <f t="shared" si="24"/>
        <v>2213839.5347885164</v>
      </c>
      <c r="M71" s="31">
        <f t="shared" si="24"/>
        <v>2711049.2371790167</v>
      </c>
      <c r="N71" s="31">
        <f t="shared" si="24"/>
        <v>3214867.675814155</v>
      </c>
      <c r="O71" s="31">
        <f t="shared" si="24"/>
        <v>3725204.3499609604</v>
      </c>
      <c r="P71" s="31">
        <f t="shared" si="24"/>
        <v>4237032.6517145457</v>
      </c>
      <c r="Q71" s="31">
        <f t="shared" si="24"/>
        <v>4748064.3672576025</v>
      </c>
      <c r="R71" s="31">
        <f t="shared" si="24"/>
        <v>5259628.1712989407</v>
      </c>
      <c r="S71" s="31">
        <f t="shared" si="24"/>
        <v>5771363.458399686</v>
      </c>
      <c r="T71" s="31">
        <f t="shared" si="24"/>
        <v>6283644.6905007102</v>
      </c>
      <c r="U71" s="31">
        <f t="shared" si="24"/>
        <v>6795530.5802023765</v>
      </c>
      <c r="V71" s="31">
        <f t="shared" si="24"/>
        <v>7306905.2292210888</v>
      </c>
      <c r="W71" s="31">
        <f t="shared" si="24"/>
        <v>7816761.7137780897</v>
      </c>
      <c r="X71" s="31">
        <f t="shared" si="24"/>
        <v>8325288.0427794401</v>
      </c>
      <c r="Y71" s="31"/>
    </row>
    <row r="72" spans="1:29">
      <c r="D72" s="1" t="str">
        <f t="shared" si="22"/>
        <v>Manufactured</v>
      </c>
      <c r="E72" s="31">
        <f t="shared" si="22"/>
        <v>0</v>
      </c>
      <c r="F72" s="31">
        <f t="shared" si="23"/>
        <v>780459.26712136087</v>
      </c>
      <c r="G72" s="31">
        <f t="shared" si="24"/>
        <v>1772841.3304001379</v>
      </c>
      <c r="H72" s="31">
        <f t="shared" si="24"/>
        <v>2924325.9872397697</v>
      </c>
      <c r="I72" s="31">
        <f t="shared" si="24"/>
        <v>4210605.6557711177</v>
      </c>
      <c r="J72" s="31">
        <f t="shared" si="24"/>
        <v>5609069.9599302467</v>
      </c>
      <c r="K72" s="31">
        <f t="shared" si="24"/>
        <v>7099318.707293232</v>
      </c>
      <c r="L72" s="31">
        <f t="shared" si="24"/>
        <v>8663349.8543819003</v>
      </c>
      <c r="M72" s="31">
        <f t="shared" si="24"/>
        <v>10323077.439625077</v>
      </c>
      <c r="N72" s="31">
        <f t="shared" si="24"/>
        <v>12022937.663477814</v>
      </c>
      <c r="O72" s="31">
        <f t="shared" si="24"/>
        <v>13753798.277211925</v>
      </c>
      <c r="P72" s="31">
        <f t="shared" si="24"/>
        <v>15503975.384609567</v>
      </c>
      <c r="Q72" s="31">
        <f t="shared" si="24"/>
        <v>17262459.23848005</v>
      </c>
      <c r="R72" s="31">
        <f t="shared" si="24"/>
        <v>19022909.799151391</v>
      </c>
      <c r="S72" s="31">
        <f t="shared" si="24"/>
        <v>20780629.416011453</v>
      </c>
      <c r="T72" s="31">
        <f t="shared" si="24"/>
        <v>22531792.669456098</v>
      </c>
      <c r="U72" s="31">
        <f t="shared" si="24"/>
        <v>24273509.739549693</v>
      </c>
      <c r="V72" s="31">
        <f t="shared" si="24"/>
        <v>26003572.411029905</v>
      </c>
      <c r="W72" s="31">
        <f t="shared" si="24"/>
        <v>27720342.161565199</v>
      </c>
      <c r="X72" s="31">
        <f t="shared" si="24"/>
        <v>29422819.636093911</v>
      </c>
      <c r="Y72" s="31"/>
    </row>
    <row r="74" spans="1:29">
      <c r="E74" s="31">
        <f t="shared" ref="E74:X74" si="25">SUM(E69:E72)</f>
        <v>0</v>
      </c>
      <c r="F74" s="31">
        <f t="shared" si="25"/>
        <v>12386308.505976493</v>
      </c>
      <c r="G74" s="31">
        <f t="shared" si="25"/>
        <v>28261487.516934093</v>
      </c>
      <c r="H74" s="31">
        <f t="shared" si="25"/>
        <v>46828745.899033196</v>
      </c>
      <c r="I74" s="31">
        <f t="shared" si="25"/>
        <v>67735025.003015563</v>
      </c>
      <c r="J74" s="31">
        <f t="shared" si="25"/>
        <v>90646140.641907811</v>
      </c>
      <c r="K74" s="31">
        <f t="shared" si="25"/>
        <v>115255987.79349841</v>
      </c>
      <c r="L74" s="31">
        <f t="shared" si="25"/>
        <v>141290690.3640433</v>
      </c>
      <c r="M74" s="31">
        <f t="shared" si="25"/>
        <v>171737273.15412325</v>
      </c>
      <c r="N74" s="31">
        <f t="shared" si="25"/>
        <v>202631126.26185361</v>
      </c>
      <c r="O74" s="31">
        <f t="shared" si="25"/>
        <v>233922299.21038544</v>
      </c>
      <c r="P74" s="31">
        <f t="shared" si="25"/>
        <v>265516043.33515677</v>
      </c>
      <c r="Q74" s="31">
        <f t="shared" si="25"/>
        <v>297290124.11230642</v>
      </c>
      <c r="R74" s="31">
        <f t="shared" si="25"/>
        <v>329136421.69640338</v>
      </c>
      <c r="S74" s="31">
        <f t="shared" si="25"/>
        <v>361027408.4452287</v>
      </c>
      <c r="T74" s="31">
        <f t="shared" si="25"/>
        <v>392946396.44516331</v>
      </c>
      <c r="U74" s="31">
        <f t="shared" si="25"/>
        <v>424852106.32854837</v>
      </c>
      <c r="V74" s="31">
        <f t="shared" si="25"/>
        <v>456742741.92394328</v>
      </c>
      <c r="W74" s="31">
        <f t="shared" si="25"/>
        <v>488586223.69999868</v>
      </c>
      <c r="X74" s="31">
        <f t="shared" si="25"/>
        <v>520360072.31948882</v>
      </c>
      <c r="Y74" s="31"/>
    </row>
    <row r="75" spans="1:29">
      <c r="E75" s="31"/>
      <c r="F75" s="31"/>
      <c r="G75" s="31"/>
      <c r="H75" s="31"/>
      <c r="I75" s="31"/>
      <c r="J75" s="31"/>
      <c r="K75" s="31"/>
      <c r="L75" s="31"/>
      <c r="M75" s="31"/>
      <c r="N75" s="31"/>
      <c r="O75" s="31"/>
      <c r="P75" s="31"/>
      <c r="Q75" s="31"/>
      <c r="R75" s="31"/>
      <c r="S75" s="31"/>
      <c r="T75" s="31"/>
      <c r="U75" s="31"/>
      <c r="V75" s="31"/>
      <c r="W75" s="31"/>
      <c r="X75" s="31"/>
      <c r="Y75" s="31"/>
    </row>
    <row r="77" spans="1:29" customForma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ustomFormat="1" ht="15">
      <c r="A78" s="63" t="s">
        <v>72</v>
      </c>
      <c r="B78" s="1"/>
      <c r="C78" s="1"/>
      <c r="D78" s="66" t="s">
        <v>153</v>
      </c>
      <c r="E78" s="1" t="s">
        <v>185</v>
      </c>
      <c r="F78" s="1"/>
      <c r="G78" s="1"/>
      <c r="H78" s="1"/>
      <c r="I78" s="1"/>
      <c r="J78" s="1"/>
      <c r="K78" s="1"/>
      <c r="L78" s="1"/>
      <c r="M78" s="1"/>
      <c r="N78" s="1"/>
      <c r="O78" s="1"/>
      <c r="P78" s="1"/>
      <c r="Q78" s="1"/>
      <c r="R78" s="1"/>
      <c r="S78" s="1"/>
      <c r="T78" s="1"/>
      <c r="U78" s="1"/>
      <c r="V78" s="1"/>
      <c r="W78" s="1"/>
      <c r="X78" s="1"/>
      <c r="Y78" s="1"/>
      <c r="Z78" s="1"/>
      <c r="AA78" s="1"/>
      <c r="AB78" s="1"/>
      <c r="AC78" s="1"/>
    </row>
    <row r="79" spans="1:29" customFormat="1" ht="15">
      <c r="A79" s="61" t="s">
        <v>73</v>
      </c>
      <c r="B79" s="61" t="s">
        <v>44</v>
      </c>
      <c r="C79" s="61"/>
      <c r="D79" s="61">
        <v>1</v>
      </c>
      <c r="E79" s="74">
        <f t="shared" ref="E79:X79" si="26">E11</f>
        <v>2016</v>
      </c>
      <c r="F79" s="67">
        <f t="shared" si="26"/>
        <v>2017</v>
      </c>
      <c r="G79" s="67">
        <f t="shared" si="26"/>
        <v>2018</v>
      </c>
      <c r="H79" s="67">
        <f t="shared" si="26"/>
        <v>2019</v>
      </c>
      <c r="I79" s="67">
        <f t="shared" si="26"/>
        <v>2020</v>
      </c>
      <c r="J79" s="67">
        <f t="shared" si="26"/>
        <v>2021</v>
      </c>
      <c r="K79" s="67">
        <f t="shared" si="26"/>
        <v>2022</v>
      </c>
      <c r="L79" s="67">
        <f t="shared" si="26"/>
        <v>2023</v>
      </c>
      <c r="M79" s="67">
        <f t="shared" si="26"/>
        <v>2024</v>
      </c>
      <c r="N79" s="67">
        <f t="shared" si="26"/>
        <v>2025</v>
      </c>
      <c r="O79" s="67">
        <f t="shared" si="26"/>
        <v>2026</v>
      </c>
      <c r="P79" s="67">
        <f t="shared" si="26"/>
        <v>2027</v>
      </c>
      <c r="Q79" s="67">
        <f t="shared" si="26"/>
        <v>2028</v>
      </c>
      <c r="R79" s="67">
        <f t="shared" si="26"/>
        <v>2029</v>
      </c>
      <c r="S79" s="67">
        <f t="shared" si="26"/>
        <v>2030</v>
      </c>
      <c r="T79" s="67">
        <f t="shared" si="26"/>
        <v>2031</v>
      </c>
      <c r="U79" s="67">
        <f t="shared" si="26"/>
        <v>2032</v>
      </c>
      <c r="V79" s="67">
        <f t="shared" si="26"/>
        <v>2033</v>
      </c>
      <c r="W79" s="67">
        <f t="shared" si="26"/>
        <v>2034</v>
      </c>
      <c r="X79" s="67">
        <f t="shared" si="26"/>
        <v>2035</v>
      </c>
      <c r="Y79" s="68" t="s">
        <v>159</v>
      </c>
      <c r="Z79" s="1"/>
      <c r="AA79" s="1"/>
    </row>
    <row r="80" spans="1:29" customFormat="1" ht="15">
      <c r="A80" s="61" t="s">
        <v>36</v>
      </c>
      <c r="B80" s="61" t="s">
        <v>74</v>
      </c>
      <c r="C80" s="61" t="s">
        <v>75</v>
      </c>
      <c r="D80" s="61" t="s">
        <v>76</v>
      </c>
      <c r="E80" s="75" t="str">
        <f>CONCATENATE($E$78,"_",E$11)</f>
        <v>aMW_2016</v>
      </c>
      <c r="F80" s="69" t="str">
        <f t="shared" ref="F80:X80" si="27">CONCATENATE($E$78,"_",F$11)</f>
        <v>aMW_2017</v>
      </c>
      <c r="G80" s="69" t="str">
        <f t="shared" si="27"/>
        <v>aMW_2018</v>
      </c>
      <c r="H80" s="69" t="str">
        <f t="shared" si="27"/>
        <v>aMW_2019</v>
      </c>
      <c r="I80" s="69" t="str">
        <f t="shared" si="27"/>
        <v>aMW_2020</v>
      </c>
      <c r="J80" s="69" t="str">
        <f t="shared" si="27"/>
        <v>aMW_2021</v>
      </c>
      <c r="K80" s="69" t="str">
        <f t="shared" si="27"/>
        <v>aMW_2022</v>
      </c>
      <c r="L80" s="69" t="str">
        <f t="shared" si="27"/>
        <v>aMW_2023</v>
      </c>
      <c r="M80" s="69" t="str">
        <f t="shared" si="27"/>
        <v>aMW_2024</v>
      </c>
      <c r="N80" s="69" t="str">
        <f t="shared" si="27"/>
        <v>aMW_2025</v>
      </c>
      <c r="O80" s="69" t="str">
        <f t="shared" si="27"/>
        <v>aMW_2026</v>
      </c>
      <c r="P80" s="69" t="str">
        <f t="shared" si="27"/>
        <v>aMW_2027</v>
      </c>
      <c r="Q80" s="69" t="str">
        <f t="shared" si="27"/>
        <v>aMW_2028</v>
      </c>
      <c r="R80" s="69" t="str">
        <f t="shared" si="27"/>
        <v>aMW_2029</v>
      </c>
      <c r="S80" s="69" t="str">
        <f t="shared" si="27"/>
        <v>aMW_2030</v>
      </c>
      <c r="T80" s="69" t="str">
        <f t="shared" si="27"/>
        <v>aMW_2031</v>
      </c>
      <c r="U80" s="69" t="str">
        <f t="shared" si="27"/>
        <v>aMW_2032</v>
      </c>
      <c r="V80" s="69" t="str">
        <f t="shared" si="27"/>
        <v>aMW_2033</v>
      </c>
      <c r="W80" s="69" t="str">
        <f t="shared" si="27"/>
        <v>aMW_2034</v>
      </c>
      <c r="X80" s="69" t="str">
        <f t="shared" si="27"/>
        <v>aMW_2035</v>
      </c>
      <c r="Y80" s="70" t="s">
        <v>159</v>
      </c>
      <c r="Z80" s="1"/>
      <c r="AA80" s="1"/>
    </row>
    <row r="81" spans="1:29" customFormat="1">
      <c r="A81" s="89">
        <f t="shared" ref="A81:A140" si="28">VLOOKUP($D81,MeasureOutput,3,FALSE)</f>
        <v>20.131003317263307</v>
      </c>
      <c r="B81" s="71">
        <f t="shared" ref="B81:B140" si="29">VLOOKUP($D81,MeasureOutput,11,FALSE)</f>
        <v>-21.262756278752239</v>
      </c>
      <c r="C81" s="1" t="str">
        <f>C13</f>
        <v>Single Family</v>
      </c>
      <c r="D81" t="s">
        <v>746</v>
      </c>
      <c r="E81" s="37">
        <f>VLOOKUP($C81,$D$60:$Z$63,E$32,FALSE)*$D$79*$A81/8760/1000*INDEX('Bulb Weighting'!$B$2:$C$17,MATCH(RIGHT('SC-New'!$D44,LEN($D81)-7),'Bulb Weighting'!$B$3:$B$17,0)+1,2)</f>
        <v>0</v>
      </c>
      <c r="F81" s="37">
        <f>VLOOKUP($C81,$D$60:$Z$63,F$32,FALSE)*$D$79*$A81/8760/1000*INDEX('Bulb Weighting'!$B$2:$C$17,MATCH(RIGHT('SC-New'!$D44,LEN($D81)-7),'Bulb Weighting'!$B$3:$B$17,0)+1,2)</f>
        <v>1.9680889883906174</v>
      </c>
      <c r="G81" s="37">
        <f>VLOOKUP($C81,$D$60:$Z$63,G$32,FALSE)*$D$79*$A81/8760/1000*INDEX('Bulb Weighting'!$B$2:$C$17,MATCH(RIGHT('SC-New'!$D44,LEN($D81)-7),'Bulb Weighting'!$B$3:$B$17,0)+1,2)</f>
        <v>2.5237850572346425</v>
      </c>
      <c r="H81" s="37">
        <f>VLOOKUP($C81,$D$60:$Z$63,H$32,FALSE)*$D$79*$A81/8760/1000*INDEX('Bulb Weighting'!$B$2:$C$17,MATCH(RIGHT('SC-New'!$D44,LEN($D81)-7),'Bulb Weighting'!$B$3:$B$17,0)+1,2)</f>
        <v>2.9533205208073139</v>
      </c>
      <c r="I81" s="37">
        <f>VLOOKUP($C81,$D$60:$Z$63,I$32,FALSE)*$D$79*$A81/8760/1000*INDEX('Bulb Weighting'!$B$2:$C$17,MATCH(RIGHT('SC-New'!$D44,LEN($D81)-7),'Bulb Weighting'!$B$3:$B$17,0)+1,2)</f>
        <v>3.3271072566548705</v>
      </c>
      <c r="J81" s="37">
        <f>VLOOKUP($C81,$D$60:$Z$63,J$32,FALSE)*$D$79*$A81/8760/1000*INDEX('Bulb Weighting'!$B$2:$C$17,MATCH(RIGHT('SC-New'!$D44,LEN($D81)-7),'Bulb Weighting'!$B$3:$B$17,0)+1,2)</f>
        <v>3.6480581376478733</v>
      </c>
      <c r="K81" s="37">
        <f>VLOOKUP($C81,$D$60:$Z$63,K$32,FALSE)*$D$79*$A81/8760/1000*INDEX('Bulb Weighting'!$B$2:$C$17,MATCH(RIGHT('SC-New'!$D44,LEN($D81)-7),'Bulb Weighting'!$B$3:$B$17,0)+1,2)</f>
        <v>3.9205599562238564</v>
      </c>
      <c r="L81" s="37">
        <f>VLOOKUP($C81,$D$60:$Z$63,L$32,FALSE)*$D$79*$A81/8760/1000*INDEX('Bulb Weighting'!$B$2:$C$17,MATCH(RIGHT('SC-New'!$D44,LEN($D81)-7),'Bulb Weighting'!$B$3:$B$17,0)+1,2)</f>
        <v>4.1496713361071951</v>
      </c>
      <c r="M81" s="37">
        <f>VLOOKUP($C81,$D$60:$Z$63,M$32,FALSE)*$D$79*$A81/8760/1000*INDEX('Bulb Weighting'!$B$2:$C$17,MATCH(RIGHT('SC-New'!$D44,LEN($D81)-7),'Bulb Weighting'!$B$3:$B$17,0)+1,2)</f>
        <v>4.8639517742662104</v>
      </c>
      <c r="N81" s="37">
        <f>VLOOKUP($C81,$D$60:$Z$63,N$32,FALSE)*$D$79*$A81/8760/1000*INDEX('Bulb Weighting'!$B$2:$C$17,MATCH(RIGHT('SC-New'!$D44,LEN($D81)-7),'Bulb Weighting'!$B$3:$B$17,0)+1,2)</f>
        <v>4.9339980091075564</v>
      </c>
      <c r="O81" s="37">
        <f>VLOOKUP($C81,$D$60:$Z$63,O$32,FALSE)*$D$79*$A81/8760/1000*INDEX('Bulb Weighting'!$B$2:$C$17,MATCH(RIGHT('SC-New'!$D44,LEN($D81)-7),'Bulb Weighting'!$B$3:$B$17,0)+1,2)</f>
        <v>4.9963853140609444</v>
      </c>
      <c r="P81" s="37">
        <f>VLOOKUP($C81,$D$60:$Z$63,P$32,FALSE)*$D$79*$A81/8760/1000*INDEX('Bulb Weighting'!$B$2:$C$17,MATCH(RIGHT('SC-New'!$D44,LEN($D81)-7),'Bulb Weighting'!$B$3:$B$17,0)+1,2)</f>
        <v>5.0466901425360158</v>
      </c>
      <c r="Q81" s="37">
        <f>VLOOKUP($C81,$D$60:$Z$63,Q$32,FALSE)*$D$79*$A81/8760/1000*INDEX('Bulb Weighting'!$B$2:$C$17,MATCH(RIGHT('SC-New'!$D44,LEN($D81)-7),'Bulb Weighting'!$B$3:$B$17,0)+1,2)</f>
        <v>5.0789795229018422</v>
      </c>
      <c r="R81" s="37">
        <f>VLOOKUP($C81,$D$60:$Z$63,R$32,FALSE)*$D$79*$A81/8760/1000*INDEX('Bulb Weighting'!$B$2:$C$17,MATCH(RIGHT('SC-New'!$D44,LEN($D81)-7),'Bulb Weighting'!$B$3:$B$17,0)+1,2)</f>
        <v>5.0920729977998462</v>
      </c>
      <c r="S81" s="37">
        <f>VLOOKUP($C81,$D$60:$Z$63,S$32,FALSE)*$D$79*$A81/8760/1000*INDEX('Bulb Weighting'!$B$2:$C$17,MATCH(RIGHT('SC-New'!$D44,LEN($D81)-7),'Bulb Weighting'!$B$3:$B$17,0)+1,2)</f>
        <v>5.1008546242212018</v>
      </c>
      <c r="T81" s="37">
        <f>VLOOKUP($C81,$D$60:$Z$63,T$32,FALSE)*$D$79*$A81/8760/1000*INDEX('Bulb Weighting'!$B$2:$C$17,MATCH(RIGHT('SC-New'!$D44,LEN($D81)-7),'Bulb Weighting'!$B$3:$B$17,0)+1,2)</f>
        <v>5.1070493815178342</v>
      </c>
      <c r="U81" s="37">
        <f>VLOOKUP($C81,$D$60:$Z$63,U$32,FALSE)*$D$79*$A81/8760/1000*INDEX('Bulb Weighting'!$B$2:$C$17,MATCH(RIGHT('SC-New'!$D44,LEN($D81)-7),'Bulb Weighting'!$B$3:$B$17,0)+1,2)</f>
        <v>5.1065836466086632</v>
      </c>
      <c r="V81" s="37">
        <f>VLOOKUP($C81,$D$60:$Z$63,V$32,FALSE)*$D$79*$A81/8760/1000*INDEX('Bulb Weighting'!$B$2:$C$17,MATCH(RIGHT('SC-New'!$D44,LEN($D81)-7),'Bulb Weighting'!$B$3:$B$17,0)+1,2)</f>
        <v>5.1064666206850564</v>
      </c>
      <c r="W81" s="37">
        <f>VLOOKUP($C81,$D$60:$Z$63,W$32,FALSE)*$D$79*$A81/8760/1000*INDEX('Bulb Weighting'!$B$2:$C$17,MATCH(RIGHT('SC-New'!$D44,LEN($D81)-7),'Bulb Weighting'!$B$3:$B$17,0)+1,2)</f>
        <v>5.1014777079826947</v>
      </c>
      <c r="X81" s="37">
        <f>VLOOKUP($C81,$D$60:$Z$63,X$32,FALSE)*$D$79*$A81/8760/1000*INDEX('Bulb Weighting'!$B$2:$C$17,MATCH(RIGHT('SC-New'!$D44,LEN($D81)-7),'Bulb Weighting'!$B$3:$B$17,0)+1,2)</f>
        <v>5.0924941462421751</v>
      </c>
      <c r="Y81" s="32">
        <f>(VLOOKUP($C81,$D$43:$Z$46,$X$68+3,FALSE)+VLOOKUP($C81,$D$51:$Z$54,$X$68+3,FALSE))*$A81*$D$79/8760/1000*INDEX('Bulb Weighting'!$B$2:$C$17,MATCH(RIGHT('SC-New'!$D44,LEN($D81)-7),'Bulb Weighting'!$B$3:$B$17,0)+1,2)</f>
        <v>43.590032234134036</v>
      </c>
      <c r="Z81" s="32"/>
      <c r="AA81" s="32">
        <f>SUM(E81:X81)</f>
        <v>83.1175951409964</v>
      </c>
      <c r="AB81" s="37"/>
      <c r="AC81" s="84"/>
    </row>
    <row r="82" spans="1:29" customFormat="1">
      <c r="A82" s="89">
        <f t="shared" si="28"/>
        <v>15.166068390464758</v>
      </c>
      <c r="B82" s="71">
        <f t="shared" si="29"/>
        <v>-19.792953526125213</v>
      </c>
      <c r="C82" s="1" t="s">
        <v>29</v>
      </c>
      <c r="D82" t="s">
        <v>747</v>
      </c>
      <c r="E82" s="37">
        <f>VLOOKUP($C82,$D$60:$Z$63,E$32,FALSE)*$D$79*$A82/8760/1000*INDEX('Bulb Weighting'!$B$2:$C$17,MATCH(RIGHT('SC-New'!$D45,LEN($D82)-7),'Bulb Weighting'!$B$3:$B$17,0)+1,2)</f>
        <v>0</v>
      </c>
      <c r="F82" s="37">
        <f>VLOOKUP($C82,$D$60:$Z$63,F$32,FALSE)*$D$79*$A82/8760/1000*INDEX('Bulb Weighting'!$B$2:$C$17,MATCH(RIGHT('SC-New'!$D45,LEN($D82)-7),'Bulb Weighting'!$B$3:$B$17,0)+1,2)</f>
        <v>0.40666270076880207</v>
      </c>
      <c r="G82" s="37">
        <f>VLOOKUP($C82,$D$60:$Z$63,G$32,FALSE)*$D$79*$A82/8760/1000*INDEX('Bulb Weighting'!$B$2:$C$17,MATCH(RIGHT('SC-New'!$D45,LEN($D82)-7),'Bulb Weighting'!$B$3:$B$17,0)+1,2)</f>
        <v>0.52148518364215557</v>
      </c>
      <c r="H82" s="37">
        <f>VLOOKUP($C82,$D$60:$Z$63,H$32,FALSE)*$D$79*$A82/8760/1000*INDEX('Bulb Weighting'!$B$2:$C$17,MATCH(RIGHT('SC-New'!$D45,LEN($D82)-7),'Bulb Weighting'!$B$3:$B$17,0)+1,2)</f>
        <v>0.61023932673366355</v>
      </c>
      <c r="I82" s="37">
        <f>VLOOKUP($C82,$D$60:$Z$63,I$32,FALSE)*$D$79*$A82/8760/1000*INDEX('Bulb Weighting'!$B$2:$C$17,MATCH(RIGHT('SC-New'!$D45,LEN($D82)-7),'Bulb Weighting'!$B$3:$B$17,0)+1,2)</f>
        <v>0.68747421011951226</v>
      </c>
      <c r="J82" s="37">
        <f>VLOOKUP($C82,$D$60:$Z$63,J$32,FALSE)*$D$79*$A82/8760/1000*INDEX('Bulb Weighting'!$B$2:$C$17,MATCH(RIGHT('SC-New'!$D45,LEN($D82)-7),'Bulb Weighting'!$B$3:$B$17,0)+1,2)</f>
        <v>0.75379171550094881</v>
      </c>
      <c r="K82" s="37">
        <f>VLOOKUP($C82,$D$60:$Z$63,K$32,FALSE)*$D$79*$A82/8760/1000*INDEX('Bulb Weighting'!$B$2:$C$17,MATCH(RIGHT('SC-New'!$D45,LEN($D82)-7),'Bulb Weighting'!$B$3:$B$17,0)+1,2)</f>
        <v>0.81009827793801525</v>
      </c>
      <c r="L82" s="37">
        <f>VLOOKUP($C82,$D$60:$Z$63,L$32,FALSE)*$D$79*$A82/8760/1000*INDEX('Bulb Weighting'!$B$2:$C$17,MATCH(RIGHT('SC-New'!$D45,LEN($D82)-7),'Bulb Weighting'!$B$3:$B$17,0)+1,2)</f>
        <v>0.85743915178560215</v>
      </c>
      <c r="M82" s="37">
        <f>VLOOKUP($C82,$D$60:$Z$63,M$32,FALSE)*$D$79*$A82/8760/1000*INDEX('Bulb Weighting'!$B$2:$C$17,MATCH(RIGHT('SC-New'!$D45,LEN($D82)-7),'Bulb Weighting'!$B$3:$B$17,0)+1,2)</f>
        <v>1.0050296387003217</v>
      </c>
      <c r="N82" s="37">
        <f>VLOOKUP($C82,$D$60:$Z$63,N$32,FALSE)*$D$79*$A82/8760/1000*INDEX('Bulb Weighting'!$B$2:$C$17,MATCH(RIGHT('SC-New'!$D45,LEN($D82)-7),'Bulb Weighting'!$B$3:$B$17,0)+1,2)</f>
        <v>1.0195031666796439</v>
      </c>
      <c r="O82" s="37">
        <f>VLOOKUP($C82,$D$60:$Z$63,O$32,FALSE)*$D$79*$A82/8760/1000*INDEX('Bulb Weighting'!$B$2:$C$17,MATCH(RIGHT('SC-New'!$D45,LEN($D82)-7),'Bulb Weighting'!$B$3:$B$17,0)+1,2)</f>
        <v>1.0323941437013577</v>
      </c>
      <c r="P82" s="37">
        <f>VLOOKUP($C82,$D$60:$Z$63,P$32,FALSE)*$D$79*$A82/8760/1000*INDEX('Bulb Weighting'!$B$2:$C$17,MATCH(RIGHT('SC-New'!$D45,LEN($D82)-7),'Bulb Weighting'!$B$3:$B$17,0)+1,2)</f>
        <v>1.0427885402606882</v>
      </c>
      <c r="Q82" s="37">
        <f>VLOOKUP($C82,$D$60:$Z$63,Q$32,FALSE)*$D$79*$A82/8760/1000*INDEX('Bulb Weighting'!$B$2:$C$17,MATCH(RIGHT('SC-New'!$D45,LEN($D82)-7),'Bulb Weighting'!$B$3:$B$17,0)+1,2)</f>
        <v>1.0494604370616838</v>
      </c>
      <c r="R82" s="37">
        <f>VLOOKUP($C82,$D$60:$Z$63,R$32,FALSE)*$D$79*$A82/8760/1000*INDEX('Bulb Weighting'!$B$2:$C$17,MATCH(RIGHT('SC-New'!$D45,LEN($D82)-7),'Bulb Weighting'!$B$3:$B$17,0)+1,2)</f>
        <v>1.0521659183157734</v>
      </c>
      <c r="S82" s="37">
        <f>VLOOKUP($C82,$D$60:$Z$63,S$32,FALSE)*$D$79*$A82/8760/1000*INDEX('Bulb Weighting'!$B$2:$C$17,MATCH(RIGHT('SC-New'!$D45,LEN($D82)-7),'Bulb Weighting'!$B$3:$B$17,0)+1,2)</f>
        <v>1.053980450046156</v>
      </c>
      <c r="T82" s="37">
        <f>VLOOKUP($C82,$D$60:$Z$63,T$32,FALSE)*$D$79*$A82/8760/1000*INDEX('Bulb Weighting'!$B$2:$C$17,MATCH(RIGHT('SC-New'!$D45,LEN($D82)-7),'Bulb Weighting'!$B$3:$B$17,0)+1,2)</f>
        <v>1.0552604616450807</v>
      </c>
      <c r="U82" s="37">
        <f>VLOOKUP($C82,$D$60:$Z$63,U$32,FALSE)*$D$79*$A82/8760/1000*INDEX('Bulb Weighting'!$B$2:$C$17,MATCH(RIGHT('SC-New'!$D45,LEN($D82)-7),'Bulb Weighting'!$B$3:$B$17,0)+1,2)</f>
        <v>1.0551642276754161</v>
      </c>
      <c r="V82" s="37">
        <f>VLOOKUP($C82,$D$60:$Z$63,V$32,FALSE)*$D$79*$A82/8760/1000*INDEX('Bulb Weighting'!$B$2:$C$17,MATCH(RIGHT('SC-New'!$D45,LEN($D82)-7),'Bulb Weighting'!$B$3:$B$17,0)+1,2)</f>
        <v>1.055140046818537</v>
      </c>
      <c r="W82" s="37">
        <f>VLOOKUP($C82,$D$60:$Z$63,W$32,FALSE)*$D$79*$A82/8760/1000*INDEX('Bulb Weighting'!$B$2:$C$17,MATCH(RIGHT('SC-New'!$D45,LEN($D82)-7),'Bulb Weighting'!$B$3:$B$17,0)+1,2)</f>
        <v>1.0541091967271996</v>
      </c>
      <c r="X82" s="37">
        <f>VLOOKUP($C82,$D$60:$Z$63,X$32,FALSE)*$D$79*$A82/8760/1000*INDEX('Bulb Weighting'!$B$2:$C$17,MATCH(RIGHT('SC-New'!$D45,LEN($D82)-7),'Bulb Weighting'!$B$3:$B$17,0)+1,2)</f>
        <v>1.0522529394636952</v>
      </c>
      <c r="Y82" s="32">
        <f>(VLOOKUP($C82,$D$43:$Z$46,$X$68+3,FALSE)+VLOOKUP($C82,$D$51:$Z$54,$X$68+3,FALSE))*$A82*$D$79/8760/1000*INDEX('Bulb Weighting'!$B$2:$C$17,MATCH(RIGHT('SC-New'!$D45,LEN($D82)-7),'Bulb Weighting'!$B$3:$B$17,0)+1,2)</f>
        <v>9.0069302452770081</v>
      </c>
      <c r="Z82" s="32"/>
      <c r="AA82" s="32">
        <f t="shared" ref="AA82:AA83" si="30">SUM(E82:X82)</f>
        <v>17.174439733584251</v>
      </c>
      <c r="AB82" s="37"/>
      <c r="AC82" s="84"/>
    </row>
    <row r="83" spans="1:29" customFormat="1">
      <c r="A83" s="89">
        <f t="shared" si="28"/>
        <v>7.5107020440195642</v>
      </c>
      <c r="B83" s="71">
        <f t="shared" si="29"/>
        <v>253.66864707291808</v>
      </c>
      <c r="C83" s="1" t="s">
        <v>29</v>
      </c>
      <c r="D83" t="s">
        <v>748</v>
      </c>
      <c r="E83" s="37">
        <f>VLOOKUP($C83,$D$60:$Z$63,E$32,FALSE)*$D$79*$A83/8760/1000*INDEX('Bulb Weighting'!$B$2:$C$17,MATCH(RIGHT('SC-New'!$D46,LEN($D83)-7),'Bulb Weighting'!$B$3:$B$17,0)+1,2)</f>
        <v>0</v>
      </c>
      <c r="F83" s="37">
        <f>VLOOKUP($C83,$D$60:$Z$63,F$32,FALSE)*$D$79*$A83/8760/1000*INDEX('Bulb Weighting'!$B$2:$C$17,MATCH(RIGHT('SC-New'!$D46,LEN($D83)-7),'Bulb Weighting'!$B$3:$B$17,0)+1,2)</f>
        <v>3.9566400751658631E-3</v>
      </c>
      <c r="G83" s="37">
        <f>VLOOKUP($C83,$D$60:$Z$63,G$32,FALSE)*$D$79*$A83/8760/1000*INDEX('Bulb Weighting'!$B$2:$C$17,MATCH(RIGHT('SC-New'!$D46,LEN($D83)-7),'Bulb Weighting'!$B$3:$B$17,0)+1,2)</f>
        <v>5.0738097502009078E-3</v>
      </c>
      <c r="H83" s="37">
        <f>VLOOKUP($C83,$D$60:$Z$63,H$32,FALSE)*$D$79*$A83/8760/1000*INDEX('Bulb Weighting'!$B$2:$C$17,MATCH(RIGHT('SC-New'!$D46,LEN($D83)-7),'Bulb Weighting'!$B$3:$B$17,0)+1,2)</f>
        <v>5.9373465307538736E-3</v>
      </c>
      <c r="I83" s="37">
        <f>VLOOKUP($C83,$D$60:$Z$63,I$32,FALSE)*$D$79*$A83/8760/1000*INDEX('Bulb Weighting'!$B$2:$C$17,MATCH(RIGHT('SC-New'!$D46,LEN($D83)-7),'Bulb Weighting'!$B$3:$B$17,0)+1,2)</f>
        <v>6.6888062398137108E-3</v>
      </c>
      <c r="J83" s="37">
        <f>VLOOKUP($C83,$D$60:$Z$63,J$32,FALSE)*$D$79*$A83/8760/1000*INDEX('Bulb Weighting'!$B$2:$C$17,MATCH(RIGHT('SC-New'!$D46,LEN($D83)-7),'Bulb Weighting'!$B$3:$B$17,0)+1,2)</f>
        <v>7.334044908078978E-3</v>
      </c>
      <c r="K83" s="37">
        <f>VLOOKUP($C83,$D$60:$Z$63,K$32,FALSE)*$D$79*$A83/8760/1000*INDEX('Bulb Weighting'!$B$2:$C$17,MATCH(RIGHT('SC-New'!$D46,LEN($D83)-7),'Bulb Weighting'!$B$3:$B$17,0)+1,2)</f>
        <v>7.8818817296319489E-3</v>
      </c>
      <c r="L83" s="37">
        <f>VLOOKUP($C83,$D$60:$Z$63,L$32,FALSE)*$D$79*$A83/8760/1000*INDEX('Bulb Weighting'!$B$2:$C$17,MATCH(RIGHT('SC-New'!$D46,LEN($D83)-7),'Bulb Weighting'!$B$3:$B$17,0)+1,2)</f>
        <v>8.3424865461165197E-3</v>
      </c>
      <c r="M83" s="37">
        <f>VLOOKUP($C83,$D$60:$Z$63,M$32,FALSE)*$D$79*$A83/8760/1000*INDEX('Bulb Weighting'!$B$2:$C$17,MATCH(RIGHT('SC-New'!$D46,LEN($D83)-7),'Bulb Weighting'!$B$3:$B$17,0)+1,2)</f>
        <v>9.778473751572125E-3</v>
      </c>
      <c r="N83" s="37">
        <f>VLOOKUP($C83,$D$60:$Z$63,N$32,FALSE)*$D$79*$A83/8760/1000*INDEX('Bulb Weighting'!$B$2:$C$17,MATCH(RIGHT('SC-New'!$D46,LEN($D83)-7),'Bulb Weighting'!$B$3:$B$17,0)+1,2)</f>
        <v>9.9192944875869053E-3</v>
      </c>
      <c r="O83" s="37">
        <f>VLOOKUP($C83,$D$60:$Z$63,O$32,FALSE)*$D$79*$A83/8760/1000*INDEX('Bulb Weighting'!$B$2:$C$17,MATCH(RIGHT('SC-New'!$D46,LEN($D83)-7),'Bulb Weighting'!$B$3:$B$17,0)+1,2)</f>
        <v>1.0044717734409713E-2</v>
      </c>
      <c r="P83" s="37">
        <f>VLOOKUP($C83,$D$60:$Z$63,P$32,FALSE)*$D$79*$A83/8760/1000*INDEX('Bulb Weighting'!$B$2:$C$17,MATCH(RIGHT('SC-New'!$D46,LEN($D83)-7),'Bulb Weighting'!$B$3:$B$17,0)+1,2)</f>
        <v>1.0145850407522004E-2</v>
      </c>
      <c r="Q83" s="37">
        <f>VLOOKUP($C83,$D$60:$Z$63,Q$32,FALSE)*$D$79*$A83/8760/1000*INDEX('Bulb Weighting'!$B$2:$C$17,MATCH(RIGHT('SC-New'!$D46,LEN($D83)-7),'Bulb Weighting'!$B$3:$B$17,0)+1,2)</f>
        <v>1.0210764878926155E-2</v>
      </c>
      <c r="R83" s="37">
        <f>VLOOKUP($C83,$D$60:$Z$63,R$32,FALSE)*$D$79*$A83/8760/1000*INDEX('Bulb Weighting'!$B$2:$C$17,MATCH(RIGHT('SC-New'!$D46,LEN($D83)-7),'Bulb Weighting'!$B$3:$B$17,0)+1,2)</f>
        <v>1.0237087960763518E-2</v>
      </c>
      <c r="S83" s="37">
        <f>VLOOKUP($C83,$D$60:$Z$63,S$32,FALSE)*$D$79*$A83/8760/1000*INDEX('Bulb Weighting'!$B$2:$C$17,MATCH(RIGHT('SC-New'!$D46,LEN($D83)-7),'Bulb Weighting'!$B$3:$B$17,0)+1,2)</f>
        <v>1.0254742515628076E-2</v>
      </c>
      <c r="T83" s="37">
        <f>VLOOKUP($C83,$D$60:$Z$63,T$32,FALSE)*$D$79*$A83/8760/1000*INDEX('Bulb Weighting'!$B$2:$C$17,MATCH(RIGHT('SC-New'!$D46,LEN($D83)-7),'Bulb Weighting'!$B$3:$B$17,0)+1,2)</f>
        <v>1.026719643672634E-2</v>
      </c>
      <c r="U83" s="37">
        <f>VLOOKUP($C83,$D$60:$Z$63,U$32,FALSE)*$D$79*$A83/8760/1000*INDEX('Bulb Weighting'!$B$2:$C$17,MATCH(RIGHT('SC-New'!$D46,LEN($D83)-7),'Bulb Weighting'!$B$3:$B$17,0)+1,2)</f>
        <v>1.0266260124691213E-2</v>
      </c>
      <c r="V83" s="37">
        <f>VLOOKUP($C83,$D$60:$Z$63,V$32,FALSE)*$D$79*$A83/8760/1000*INDEX('Bulb Weighting'!$B$2:$C$17,MATCH(RIGHT('SC-New'!$D46,LEN($D83)-7),'Bulb Weighting'!$B$3:$B$17,0)+1,2)</f>
        <v>1.0266024856132776E-2</v>
      </c>
      <c r="W83" s="37">
        <f>VLOOKUP($C83,$D$60:$Z$63,W$32,FALSE)*$D$79*$A83/8760/1000*INDEX('Bulb Weighting'!$B$2:$C$17,MATCH(RIGHT('SC-New'!$D46,LEN($D83)-7),'Bulb Weighting'!$B$3:$B$17,0)+1,2)</f>
        <v>1.0255995161314044E-2</v>
      </c>
      <c r="X83" s="37">
        <f>VLOOKUP($C83,$D$60:$Z$63,X$32,FALSE)*$D$79*$A83/8760/1000*INDEX('Bulb Weighting'!$B$2:$C$17,MATCH(RIGHT('SC-New'!$D46,LEN($D83)-7),'Bulb Weighting'!$B$3:$B$17,0)+1,2)</f>
        <v>1.0237934636302248E-2</v>
      </c>
      <c r="Y83" s="32">
        <f>(VLOOKUP($C83,$D$43:$Z$46,$X$68+3,FALSE)+VLOOKUP($C83,$D$51:$Z$54,$X$68+3,FALSE))*$A83*$D$79/8760/1000*INDEX('Bulb Weighting'!$B$2:$C$17,MATCH(RIGHT('SC-New'!$D46,LEN($D83)-7),'Bulb Weighting'!$B$3:$B$17,0)+1,2)</f>
        <v>8.7633267312969346E-2</v>
      </c>
      <c r="Z83" s="32"/>
      <c r="AA83" s="32">
        <f t="shared" si="30"/>
        <v>0.16709935873133688</v>
      </c>
      <c r="AB83" s="37"/>
      <c r="AC83" s="84"/>
    </row>
    <row r="84" spans="1:29" customFormat="1">
      <c r="A84" s="89">
        <f t="shared" si="28"/>
        <v>1.9210010172979759</v>
      </c>
      <c r="B84" s="71">
        <f t="shared" si="29"/>
        <v>19.879331870717266</v>
      </c>
      <c r="C84" s="1" t="s">
        <v>29</v>
      </c>
      <c r="D84" t="s">
        <v>749</v>
      </c>
      <c r="E84" s="37">
        <f>VLOOKUP($C84,$D$60:$Z$63,E$32,FALSE)*$D$79*$A84/8760/1000*INDEX('Bulb Weighting'!$B$2:$C$17,MATCH(RIGHT('SC-New'!$D47,LEN($D84)-7),'Bulb Weighting'!$B$3:$B$17,0)+1,2)</f>
        <v>0</v>
      </c>
      <c r="F84" s="37">
        <f>VLOOKUP($C84,$D$60:$Z$63,F$32,FALSE)*$D$79*$A84/8760/1000*INDEX('Bulb Weighting'!$B$2:$C$17,MATCH(RIGHT('SC-New'!$D47,LEN($D84)-7),'Bulb Weighting'!$B$3:$B$17,0)+1,2)</f>
        <v>0.15682633361228468</v>
      </c>
      <c r="G84" s="37">
        <f>VLOOKUP($C84,$D$60:$Z$63,G$32,FALSE)*$D$79*$A84/8760/1000*INDEX('Bulb Weighting'!$B$2:$C$17,MATCH(RIGHT('SC-New'!$D47,LEN($D84)-7),'Bulb Weighting'!$B$3:$B$17,0)+1,2)</f>
        <v>0.20110673840781793</v>
      </c>
      <c r="H84" s="37">
        <f>VLOOKUP($C84,$D$60:$Z$63,H$32,FALSE)*$D$79*$A84/8760/1000*INDEX('Bulb Weighting'!$B$2:$C$17,MATCH(RIGHT('SC-New'!$D47,LEN($D84)-7),'Bulb Weighting'!$B$3:$B$17,0)+1,2)</f>
        <v>0.23533408905400996</v>
      </c>
      <c r="I84" s="37">
        <f>VLOOKUP($C84,$D$60:$Z$63,I$32,FALSE)*$D$79*$A84/8760/1000*INDEX('Bulb Weighting'!$B$2:$C$17,MATCH(RIGHT('SC-New'!$D47,LEN($D84)-7),'Bulb Weighting'!$B$3:$B$17,0)+1,2)</f>
        <v>0.26511912605267302</v>
      </c>
      <c r="J84" s="37">
        <f>VLOOKUP($C84,$D$60:$Z$63,J$32,FALSE)*$D$79*$A84/8760/1000*INDEX('Bulb Weighting'!$B$2:$C$17,MATCH(RIGHT('SC-New'!$D47,LEN($D84)-7),'Bulb Weighting'!$B$3:$B$17,0)+1,2)</f>
        <v>0.2906939604390617</v>
      </c>
      <c r="K84" s="37">
        <f>VLOOKUP($C84,$D$60:$Z$63,K$32,FALSE)*$D$79*$A84/8760/1000*INDEX('Bulb Weighting'!$B$2:$C$17,MATCH(RIGHT('SC-New'!$D47,LEN($D84)-7),'Bulb Weighting'!$B$3:$B$17,0)+1,2)</f>
        <v>0.31240815190196802</v>
      </c>
      <c r="L84" s="37">
        <f>VLOOKUP($C84,$D$60:$Z$63,L$32,FALSE)*$D$79*$A84/8760/1000*INDEX('Bulb Weighting'!$B$2:$C$17,MATCH(RIGHT('SC-New'!$D47,LEN($D84)-7),'Bulb Weighting'!$B$3:$B$17,0)+1,2)</f>
        <v>0.33066479472040933</v>
      </c>
      <c r="M84" s="37">
        <f>VLOOKUP($C84,$D$60:$Z$63,M$32,FALSE)*$D$79*$A84/8760/1000*INDEX('Bulb Weighting'!$B$2:$C$17,MATCH(RIGHT('SC-New'!$D47,LEN($D84)-7),'Bulb Weighting'!$B$3:$B$17,0)+1,2)</f>
        <v>0.38758192750669468</v>
      </c>
      <c r="N84" s="37">
        <f>VLOOKUP($C84,$D$60:$Z$63,N$32,FALSE)*$D$79*$A84/8760/1000*INDEX('Bulb Weighting'!$B$2:$C$17,MATCH(RIGHT('SC-New'!$D47,LEN($D84)-7),'Bulb Weighting'!$B$3:$B$17,0)+1,2)</f>
        <v>0.39316353192514952</v>
      </c>
      <c r="O84" s="37">
        <f>VLOOKUP($C84,$D$60:$Z$63,O$32,FALSE)*$D$79*$A84/8760/1000*INDEX('Bulb Weighting'!$B$2:$C$17,MATCH(RIGHT('SC-New'!$D47,LEN($D84)-7),'Bulb Weighting'!$B$3:$B$17,0)+1,2)</f>
        <v>0.39813483777437952</v>
      </c>
      <c r="P84" s="37">
        <f>VLOOKUP($C84,$D$60:$Z$63,P$32,FALSE)*$D$79*$A84/8760/1000*INDEX('Bulb Weighting'!$B$2:$C$17,MATCH(RIGHT('SC-New'!$D47,LEN($D84)-7),'Bulb Weighting'!$B$3:$B$17,0)+1,2)</f>
        <v>0.40214335662656386</v>
      </c>
      <c r="Q84" s="37">
        <f>VLOOKUP($C84,$D$60:$Z$63,Q$32,FALSE)*$D$79*$A84/8760/1000*INDEX('Bulb Weighting'!$B$2:$C$17,MATCH(RIGHT('SC-New'!$D47,LEN($D84)-7),'Bulb Weighting'!$B$3:$B$17,0)+1,2)</f>
        <v>0.40471632216178893</v>
      </c>
      <c r="R84" s="37">
        <f>VLOOKUP($C84,$D$60:$Z$63,R$32,FALSE)*$D$79*$A84/8760/1000*INDEX('Bulb Weighting'!$B$2:$C$17,MATCH(RIGHT('SC-New'!$D47,LEN($D84)-7),'Bulb Weighting'!$B$3:$B$17,0)+1,2)</f>
        <v>0.40575967013772457</v>
      </c>
      <c r="S84" s="37">
        <f>VLOOKUP($C84,$D$60:$Z$63,S$32,FALSE)*$D$79*$A84/8760/1000*INDEX('Bulb Weighting'!$B$2:$C$17,MATCH(RIGHT('SC-New'!$D47,LEN($D84)-7),'Bulb Weighting'!$B$3:$B$17,0)+1,2)</f>
        <v>0.40645943030250259</v>
      </c>
      <c r="T84" s="37">
        <f>VLOOKUP($C84,$D$60:$Z$63,T$32,FALSE)*$D$79*$A84/8760/1000*INDEX('Bulb Weighting'!$B$2:$C$17,MATCH(RIGHT('SC-New'!$D47,LEN($D84)-7),'Bulb Weighting'!$B$3:$B$17,0)+1,2)</f>
        <v>0.40695305690179739</v>
      </c>
      <c r="U84" s="37">
        <f>VLOOKUP($C84,$D$60:$Z$63,U$32,FALSE)*$D$79*$A84/8760/1000*INDEX('Bulb Weighting'!$B$2:$C$17,MATCH(RIGHT('SC-New'!$D47,LEN($D84)-7),'Bulb Weighting'!$B$3:$B$17,0)+1,2)</f>
        <v>0.40691594501373157</v>
      </c>
      <c r="V84" s="37">
        <f>VLOOKUP($C84,$D$60:$Z$63,V$32,FALSE)*$D$79*$A84/8760/1000*INDEX('Bulb Weighting'!$B$2:$C$17,MATCH(RIGHT('SC-New'!$D47,LEN($D84)-7),'Bulb Weighting'!$B$3:$B$17,0)+1,2)</f>
        <v>0.40690661985280396</v>
      </c>
      <c r="W84" s="37">
        <f>VLOOKUP($C84,$D$60:$Z$63,W$32,FALSE)*$D$79*$A84/8760/1000*INDEX('Bulb Weighting'!$B$2:$C$17,MATCH(RIGHT('SC-New'!$D47,LEN($D84)-7),'Bulb Weighting'!$B$3:$B$17,0)+1,2)</f>
        <v>0.4065090804669132</v>
      </c>
      <c r="X84" s="37">
        <f>VLOOKUP($C84,$D$60:$Z$63,X$32,FALSE)*$D$79*$A84/8760/1000*INDEX('Bulb Weighting'!$B$2:$C$17,MATCH(RIGHT('SC-New'!$D47,LEN($D84)-7),'Bulb Weighting'!$B$3:$B$17,0)+1,2)</f>
        <v>0.40579322917215166</v>
      </c>
      <c r="Y84" s="447">
        <f>(VLOOKUP($C84,$D$43:$Z$46,$X$68+3,FALSE)+VLOOKUP($C84,$D$51:$Z$54,$X$68+3,FALSE))*$A84*$D$79/8760/1000*INDEX('Bulb Weighting'!$B$2:$C$17,MATCH(RIGHT('SC-New'!$D47,LEN($D84)-7),'Bulb Weighting'!$B$3:$B$17,0)+1,2)</f>
        <v>3.4734531708907426</v>
      </c>
      <c r="Z84" s="32"/>
      <c r="AA84" s="32">
        <f>SUM(E84:X84)</f>
        <v>6.6231902020304263</v>
      </c>
      <c r="AB84" s="37"/>
      <c r="AC84" s="84"/>
    </row>
    <row r="85" spans="1:29" customFormat="1">
      <c r="A85" s="89">
        <f t="shared" si="28"/>
        <v>7.4978046901704554</v>
      </c>
      <c r="B85" s="71">
        <f t="shared" si="29"/>
        <v>38.047469279788793</v>
      </c>
      <c r="C85" s="1" t="s">
        <v>29</v>
      </c>
      <c r="D85" t="s">
        <v>750</v>
      </c>
      <c r="E85" s="37">
        <f>VLOOKUP($C85,$D$60:$Z$63,E$32,FALSE)*$D$79*$A85/8760/1000*INDEX('Bulb Weighting'!$B$2:$C$17,MATCH(RIGHT('SC-New'!$D48,LEN($D85)-7),'Bulb Weighting'!$B$3:$B$17,0)+1,2)</f>
        <v>0</v>
      </c>
      <c r="F85" s="37">
        <f>VLOOKUP($C85,$D$60:$Z$63,F$32,FALSE)*$D$79*$A85/8760/1000*INDEX('Bulb Weighting'!$B$2:$C$17,MATCH(RIGHT('SC-New'!$D48,LEN($D85)-7),'Bulb Weighting'!$B$3:$B$17,0)+1,2)</f>
        <v>4.7232812400652602</v>
      </c>
      <c r="G85" s="37">
        <f>VLOOKUP($C85,$D$60:$Z$63,G$32,FALSE)*$D$79*$A85/8760/1000*INDEX('Bulb Weighting'!$B$2:$C$17,MATCH(RIGHT('SC-New'!$D48,LEN($D85)-7),'Bulb Weighting'!$B$3:$B$17,0)+1,2)</f>
        <v>6.0569144409172804</v>
      </c>
      <c r="H85" s="37">
        <f>VLOOKUP($C85,$D$60:$Z$63,H$32,FALSE)*$D$79*$A85/8760/1000*INDEX('Bulb Weighting'!$B$2:$C$17,MATCH(RIGHT('SC-New'!$D48,LEN($D85)-7),'Bulb Weighting'!$B$3:$B$17,0)+1,2)</f>
        <v>7.0877706720141154</v>
      </c>
      <c r="I85" s="37">
        <f>VLOOKUP($C85,$D$60:$Z$63,I$32,FALSE)*$D$79*$A85/8760/1000*INDEX('Bulb Weighting'!$B$2:$C$17,MATCH(RIGHT('SC-New'!$D48,LEN($D85)-7),'Bulb Weighting'!$B$3:$B$17,0)+1,2)</f>
        <v>7.9848337050519209</v>
      </c>
      <c r="J85" s="37">
        <f>VLOOKUP($C85,$D$60:$Z$63,J$32,FALSE)*$D$79*$A85/8760/1000*INDEX('Bulb Weighting'!$B$2:$C$17,MATCH(RIGHT('SC-New'!$D48,LEN($D85)-7),'Bulb Weighting'!$B$3:$B$17,0)+1,2)</f>
        <v>8.755094239061771</v>
      </c>
      <c r="K85" s="37">
        <f>VLOOKUP($C85,$D$60:$Z$63,K$32,FALSE)*$D$79*$A85/8760/1000*INDEX('Bulb Weighting'!$B$2:$C$17,MATCH(RIGHT('SC-New'!$D48,LEN($D85)-7),'Bulb Weighting'!$B$3:$B$17,0)+1,2)</f>
        <v>9.4090802809308052</v>
      </c>
      <c r="L85" s="37">
        <f>VLOOKUP($C85,$D$60:$Z$63,L$32,FALSE)*$D$79*$A85/8760/1000*INDEX('Bulb Weighting'!$B$2:$C$17,MATCH(RIGHT('SC-New'!$D48,LEN($D85)-7),'Bulb Weighting'!$B$3:$B$17,0)+1,2)</f>
        <v>9.9589321874613912</v>
      </c>
      <c r="M85" s="37">
        <f>VLOOKUP($C85,$D$60:$Z$63,M$32,FALSE)*$D$79*$A85/8760/1000*INDEX('Bulb Weighting'!$B$2:$C$17,MATCH(RIGHT('SC-New'!$D48,LEN($D85)-7),'Bulb Weighting'!$B$3:$B$17,0)+1,2)</f>
        <v>11.673157211636196</v>
      </c>
      <c r="N85" s="37">
        <f>VLOOKUP($C85,$D$60:$Z$63,N$32,FALSE)*$D$79*$A85/8760/1000*INDEX('Bulb Weighting'!$B$2:$C$17,MATCH(RIGHT('SC-New'!$D48,LEN($D85)-7),'Bulb Weighting'!$B$3:$B$17,0)+1,2)</f>
        <v>11.841263465426014</v>
      </c>
      <c r="O85" s="37">
        <f>VLOOKUP($C85,$D$60:$Z$63,O$32,FALSE)*$D$79*$A85/8760/1000*INDEX('Bulb Weighting'!$B$2:$C$17,MATCH(RIGHT('SC-New'!$D48,LEN($D85)-7),'Bulb Weighting'!$B$3:$B$17,0)+1,2)</f>
        <v>11.990988802462493</v>
      </c>
      <c r="P85" s="37">
        <f>VLOOKUP($C85,$D$60:$Z$63,P$32,FALSE)*$D$79*$A85/8760/1000*INDEX('Bulb Weighting'!$B$2:$C$17,MATCH(RIGHT('SC-New'!$D48,LEN($D85)-7),'Bulb Weighting'!$B$3:$B$17,0)+1,2)</f>
        <v>12.11171700836303</v>
      </c>
      <c r="Q85" s="37">
        <f>VLOOKUP($C85,$D$60:$Z$63,Q$32,FALSE)*$D$79*$A85/8760/1000*INDEX('Bulb Weighting'!$B$2:$C$17,MATCH(RIGHT('SC-New'!$D48,LEN($D85)-7),'Bulb Weighting'!$B$3:$B$17,0)+1,2)</f>
        <v>12.189209350139688</v>
      </c>
      <c r="R85" s="37">
        <f>VLOOKUP($C85,$D$60:$Z$63,R$32,FALSE)*$D$79*$A85/8760/1000*INDEX('Bulb Weighting'!$B$2:$C$17,MATCH(RIGHT('SC-New'!$D48,LEN($D85)-7),'Bulb Weighting'!$B$3:$B$17,0)+1,2)</f>
        <v>12.22063280950449</v>
      </c>
      <c r="S85" s="37">
        <f>VLOOKUP($C85,$D$60:$Z$63,S$32,FALSE)*$D$79*$A85/8760/1000*INDEX('Bulb Weighting'!$B$2:$C$17,MATCH(RIGHT('SC-New'!$D48,LEN($D85)-7),'Bulb Weighting'!$B$3:$B$17,0)+1,2)</f>
        <v>12.24170812244914</v>
      </c>
      <c r="T85" s="37">
        <f>VLOOKUP($C85,$D$60:$Z$63,T$32,FALSE)*$D$79*$A85/8760/1000*INDEX('Bulb Weighting'!$B$2:$C$17,MATCH(RIGHT('SC-New'!$D48,LEN($D85)-7),'Bulb Weighting'!$B$3:$B$17,0)+1,2)</f>
        <v>12.256575123432601</v>
      </c>
      <c r="U85" s="37">
        <f>VLOOKUP($C85,$D$60:$Z$63,U$32,FALSE)*$D$79*$A85/8760/1000*INDEX('Bulb Weighting'!$B$2:$C$17,MATCH(RIGHT('SC-New'!$D48,LEN($D85)-7),'Bulb Weighting'!$B$3:$B$17,0)+1,2)</f>
        <v>12.255457390966077</v>
      </c>
      <c r="V85" s="37">
        <f>VLOOKUP($C85,$D$60:$Z$63,V$32,FALSE)*$D$79*$A85/8760/1000*INDEX('Bulb Weighting'!$B$2:$C$17,MATCH(RIGHT('SC-New'!$D48,LEN($D85)-7),'Bulb Weighting'!$B$3:$B$17,0)+1,2)</f>
        <v>12.255176536618112</v>
      </c>
      <c r="W85" s="37">
        <f>VLOOKUP($C85,$D$60:$Z$63,W$32,FALSE)*$D$79*$A85/8760/1000*INDEX('Bulb Weighting'!$B$2:$C$17,MATCH(RIGHT('SC-New'!$D48,LEN($D85)-7),'Bulb Weighting'!$B$3:$B$17,0)+1,2)</f>
        <v>12.243203481581277</v>
      </c>
      <c r="X85" s="37">
        <f>VLOOKUP($C85,$D$60:$Z$63,X$32,FALSE)*$D$79*$A85/8760/1000*INDEX('Bulb Weighting'!$B$2:$C$17,MATCH(RIGHT('SC-New'!$D48,LEN($D85)-7),'Bulb Weighting'!$B$3:$B$17,0)+1,2)</f>
        <v>12.221643537448532</v>
      </c>
      <c r="Y85" s="447">
        <f>(VLOOKUP($C85,$D$43:$Z$46,$X$68+3,FALSE)+VLOOKUP($C85,$D$51:$Z$54,$X$68+3,FALSE))*$A85*$D$79/8760/1000*INDEX('Bulb Weighting'!$B$2:$C$17,MATCH(RIGHT('SC-New'!$D48,LEN($D85)-7),'Bulb Weighting'!$B$3:$B$17,0)+1,2)</f>
        <v>104.61314641757524</v>
      </c>
      <c r="Z85" s="32"/>
      <c r="AA85" s="32">
        <f>SUM(E85:X85)</f>
        <v>199.47663960553024</v>
      </c>
      <c r="AB85" s="37"/>
      <c r="AC85" s="84"/>
    </row>
    <row r="86" spans="1:29" customFormat="1">
      <c r="A86" s="89">
        <f t="shared" si="28"/>
        <v>14.009308234872018</v>
      </c>
      <c r="B86" s="71">
        <f t="shared" si="29"/>
        <v>64.372768585347757</v>
      </c>
      <c r="C86" s="1" t="s">
        <v>29</v>
      </c>
      <c r="D86" t="s">
        <v>751</v>
      </c>
      <c r="E86" s="37">
        <f>VLOOKUP($C86,$D$60:$Z$63,E$32,FALSE)*$D$79*$A86/8760/1000*INDEX('Bulb Weighting'!$B$2:$C$17,MATCH(RIGHT('SC-New'!$D49,LEN($D86)-7),'Bulb Weighting'!$B$3:$B$17,0)+1,2)</f>
        <v>0</v>
      </c>
      <c r="F86" s="37">
        <f>VLOOKUP($C86,$D$60:$Z$63,F$32,FALSE)*$D$79*$A86/8760/1000*INDEX('Bulb Weighting'!$B$2:$C$17,MATCH(RIGHT('SC-New'!$D49,LEN($D86)-7),'Bulb Weighting'!$B$3:$B$17,0)+1,2)</f>
        <v>0.87988743601869723</v>
      </c>
      <c r="G86" s="37">
        <f>VLOOKUP($C86,$D$60:$Z$63,G$32,FALSE)*$D$79*$A86/8760/1000*INDEX('Bulb Weighting'!$B$2:$C$17,MATCH(RIGHT('SC-New'!$D49,LEN($D86)-7),'Bulb Weighting'!$B$3:$B$17,0)+1,2)</f>
        <v>1.1283263999603996</v>
      </c>
      <c r="H86" s="37">
        <f>VLOOKUP($C86,$D$60:$Z$63,H$32,FALSE)*$D$79*$A86/8760/1000*INDEX('Bulb Weighting'!$B$2:$C$17,MATCH(RIGHT('SC-New'!$D49,LEN($D86)-7),'Bulb Weighting'!$B$3:$B$17,0)+1,2)</f>
        <v>1.3203618515845248</v>
      </c>
      <c r="I86" s="37">
        <f>VLOOKUP($C86,$D$60:$Z$63,I$32,FALSE)*$D$79*$A86/8760/1000*INDEX('Bulb Weighting'!$B$2:$C$17,MATCH(RIGHT('SC-New'!$D49,LEN($D86)-7),'Bulb Weighting'!$B$3:$B$17,0)+1,2)</f>
        <v>1.4874733259958786</v>
      </c>
      <c r="J86" s="37">
        <f>VLOOKUP($C86,$D$60:$Z$63,J$32,FALSE)*$D$79*$A86/8760/1000*INDEX('Bulb Weighting'!$B$2:$C$17,MATCH(RIGHT('SC-New'!$D49,LEN($D86)-7),'Bulb Weighting'!$B$3:$B$17,0)+1,2)</f>
        <v>1.6309631018295436</v>
      </c>
      <c r="K86" s="37">
        <f>VLOOKUP($C86,$D$60:$Z$63,K$32,FALSE)*$D$79*$A86/8760/1000*INDEX('Bulb Weighting'!$B$2:$C$17,MATCH(RIGHT('SC-New'!$D49,LEN($D86)-7),'Bulb Weighting'!$B$3:$B$17,0)+1,2)</f>
        <v>1.7527924133452413</v>
      </c>
      <c r="L86" s="37">
        <f>VLOOKUP($C86,$D$60:$Z$63,L$32,FALSE)*$D$79*$A86/8760/1000*INDEX('Bulb Weighting'!$B$2:$C$17,MATCH(RIGHT('SC-New'!$D49,LEN($D86)-7),'Bulb Weighting'!$B$3:$B$17,0)+1,2)</f>
        <v>1.8552228551582943</v>
      </c>
      <c r="M86" s="37">
        <f>VLOOKUP($C86,$D$60:$Z$63,M$32,FALSE)*$D$79*$A86/8760/1000*INDEX('Bulb Weighting'!$B$2:$C$17,MATCH(RIGHT('SC-New'!$D49,LEN($D86)-7),'Bulb Weighting'!$B$3:$B$17,0)+1,2)</f>
        <v>2.1745612524753719</v>
      </c>
      <c r="N86" s="37">
        <f>VLOOKUP($C86,$D$60:$Z$63,N$32,FALSE)*$D$79*$A86/8760/1000*INDEX('Bulb Weighting'!$B$2:$C$17,MATCH(RIGHT('SC-New'!$D49,LEN($D86)-7),'Bulb Weighting'!$B$3:$B$17,0)+1,2)</f>
        <v>2.2058773171151698</v>
      </c>
      <c r="O86" s="37">
        <f>VLOOKUP($C86,$D$60:$Z$63,O$32,FALSE)*$D$79*$A86/8760/1000*INDEX('Bulb Weighting'!$B$2:$C$17,MATCH(RIGHT('SC-New'!$D49,LEN($D86)-7),'Bulb Weighting'!$B$3:$B$17,0)+1,2)</f>
        <v>2.2337692499085353</v>
      </c>
      <c r="P86" s="37">
        <f>VLOOKUP($C86,$D$60:$Z$63,P$32,FALSE)*$D$79*$A86/8760/1000*INDEX('Bulb Weighting'!$B$2:$C$17,MATCH(RIGHT('SC-New'!$D49,LEN($D86)-7),'Bulb Weighting'!$B$3:$B$17,0)+1,2)</f>
        <v>2.2562593846572114</v>
      </c>
      <c r="Q86" s="37">
        <f>VLOOKUP($C86,$D$60:$Z$63,Q$32,FALSE)*$D$79*$A86/8760/1000*INDEX('Bulb Weighting'!$B$2:$C$17,MATCH(RIGHT('SC-New'!$D49,LEN($D86)-7),'Bulb Weighting'!$B$3:$B$17,0)+1,2)</f>
        <v>2.2706952258556075</v>
      </c>
      <c r="R86" s="37">
        <f>VLOOKUP($C86,$D$60:$Z$63,R$32,FALSE)*$D$79*$A86/8760/1000*INDEX('Bulb Weighting'!$B$2:$C$17,MATCH(RIGHT('SC-New'!$D49,LEN($D86)-7),'Bulb Weighting'!$B$3:$B$17,0)+1,2)</f>
        <v>2.2765490181000332</v>
      </c>
      <c r="S86" s="37">
        <f>VLOOKUP($C86,$D$60:$Z$63,S$32,FALSE)*$D$79*$A86/8760/1000*INDEX('Bulb Weighting'!$B$2:$C$17,MATCH(RIGHT('SC-New'!$D49,LEN($D86)-7),'Bulb Weighting'!$B$3:$B$17,0)+1,2)</f>
        <v>2.2804750818103328</v>
      </c>
      <c r="T86" s="37">
        <f>VLOOKUP($C86,$D$60:$Z$63,T$32,FALSE)*$D$79*$A86/8760/1000*INDEX('Bulb Weighting'!$B$2:$C$17,MATCH(RIGHT('SC-New'!$D49,LEN($D86)-7),'Bulb Weighting'!$B$3:$B$17,0)+1,2)</f>
        <v>2.2832446156813337</v>
      </c>
      <c r="U86" s="37">
        <f>VLOOKUP($C86,$D$60:$Z$63,U$32,FALSE)*$D$79*$A86/8760/1000*INDEX('Bulb Weighting'!$B$2:$C$17,MATCH(RIGHT('SC-New'!$D49,LEN($D86)-7),'Bulb Weighting'!$B$3:$B$17,0)+1,2)</f>
        <v>2.2830363962880478</v>
      </c>
      <c r="V86" s="37">
        <f>VLOOKUP($C86,$D$60:$Z$63,V$32,FALSE)*$D$79*$A86/8760/1000*INDEX('Bulb Weighting'!$B$2:$C$17,MATCH(RIGHT('SC-New'!$D49,LEN($D86)-7),'Bulb Weighting'!$B$3:$B$17,0)+1,2)</f>
        <v>2.2829840766823404</v>
      </c>
      <c r="W86" s="37">
        <f>VLOOKUP($C86,$D$60:$Z$63,W$32,FALSE)*$D$79*$A86/8760/1000*INDEX('Bulb Weighting'!$B$2:$C$17,MATCH(RIGHT('SC-New'!$D49,LEN($D86)-7),'Bulb Weighting'!$B$3:$B$17,0)+1,2)</f>
        <v>2.2807536482656907</v>
      </c>
      <c r="X86" s="37">
        <f>VLOOKUP($C86,$D$60:$Z$63,X$32,FALSE)*$D$79*$A86/8760/1000*INDEX('Bulb Weighting'!$B$2:$C$17,MATCH(RIGHT('SC-New'!$D49,LEN($D86)-7),'Bulb Weighting'!$B$3:$B$17,0)+1,2)</f>
        <v>2.2767373039068692</v>
      </c>
      <c r="Y86" s="447">
        <f>(VLOOKUP($C86,$D$43:$Z$46,$X$68+3,FALSE)+VLOOKUP($C86,$D$51:$Z$54,$X$68+3,FALSE))*$A86*$D$79/8760/1000*INDEX('Bulb Weighting'!$B$2:$C$17,MATCH(RIGHT('SC-New'!$D49,LEN($D86)-7),'Bulb Weighting'!$B$3:$B$17,0)+1,2)</f>
        <v>19.488103396091024</v>
      </c>
      <c r="Z86" s="32"/>
      <c r="AA86" s="32">
        <f t="shared" ref="AA86:AA88" si="31">SUM(E86:X86)</f>
        <v>37.159969954639124</v>
      </c>
      <c r="AB86" s="37"/>
      <c r="AC86" s="84"/>
    </row>
    <row r="87" spans="1:29" customFormat="1">
      <c r="A87" s="89">
        <f t="shared" si="28"/>
        <v>15.001215681785107</v>
      </c>
      <c r="B87" s="71">
        <f t="shared" si="29"/>
        <v>-40.723166254238713</v>
      </c>
      <c r="C87" s="1" t="s">
        <v>29</v>
      </c>
      <c r="D87" t="s">
        <v>752</v>
      </c>
      <c r="E87" s="37">
        <f>VLOOKUP($C87,$D$60:$Z$63,E$32,FALSE)*$D$79*$A87/8760/1000*INDEX('Bulb Weighting'!$B$2:$C$17,MATCH(RIGHT('SC-New'!$D50,LEN($D87)-7),'Bulb Weighting'!$B$3:$B$17,0)+1,2)</f>
        <v>0</v>
      </c>
      <c r="F87" s="37">
        <f>VLOOKUP($C87,$D$60:$Z$63,F$32,FALSE)*$D$79*$A87/8760/1000*INDEX('Bulb Weighting'!$B$2:$C$17,MATCH(RIGHT('SC-New'!$D50,LEN($D87)-7),'Bulb Weighting'!$B$3:$B$17,0)+1,2)</f>
        <v>0.80526416871980411</v>
      </c>
      <c r="G87" s="37">
        <f>VLOOKUP($C87,$D$60:$Z$63,G$32,FALSE)*$D$79*$A87/8760/1000*INDEX('Bulb Weighting'!$B$2:$C$17,MATCH(RIGHT('SC-New'!$D50,LEN($D87)-7),'Bulb Weighting'!$B$3:$B$17,0)+1,2)</f>
        <v>1.0326330202189784</v>
      </c>
      <c r="H87" s="37">
        <f>VLOOKUP($C87,$D$60:$Z$63,H$32,FALSE)*$D$79*$A87/8760/1000*INDEX('Bulb Weighting'!$B$2:$C$17,MATCH(RIGHT('SC-New'!$D50,LEN($D87)-7),'Bulb Weighting'!$B$3:$B$17,0)+1,2)</f>
        <v>1.2083819421680668</v>
      </c>
      <c r="I87" s="37">
        <f>VLOOKUP($C87,$D$60:$Z$63,I$32,FALSE)*$D$79*$A87/8760/1000*INDEX('Bulb Weighting'!$B$2:$C$17,MATCH(RIGHT('SC-New'!$D50,LEN($D87)-7),'Bulb Weighting'!$B$3:$B$17,0)+1,2)</f>
        <v>1.3613206898041221</v>
      </c>
      <c r="J87" s="37">
        <f>VLOOKUP($C87,$D$60:$Z$63,J$32,FALSE)*$D$79*$A87/8760/1000*INDEX('Bulb Weighting'!$B$2:$C$17,MATCH(RIGHT('SC-New'!$D50,LEN($D87)-7),'Bulb Weighting'!$B$3:$B$17,0)+1,2)</f>
        <v>1.4926410954906881</v>
      </c>
      <c r="K87" s="37">
        <f>VLOOKUP($C87,$D$60:$Z$63,K$32,FALSE)*$D$79*$A87/8760/1000*INDEX('Bulb Weighting'!$B$2:$C$17,MATCH(RIGHT('SC-New'!$D50,LEN($D87)-7),'Bulb Weighting'!$B$3:$B$17,0)+1,2)</f>
        <v>1.6041380611790459</v>
      </c>
      <c r="L87" s="37">
        <f>VLOOKUP($C87,$D$60:$Z$63,L$32,FALSE)*$D$79*$A87/8760/1000*INDEX('Bulb Weighting'!$B$2:$C$17,MATCH(RIGHT('SC-New'!$D50,LEN($D87)-7),'Bulb Weighting'!$B$3:$B$17,0)+1,2)</f>
        <v>1.6978813756095956</v>
      </c>
      <c r="M87" s="37">
        <f>VLOOKUP($C87,$D$60:$Z$63,M$32,FALSE)*$D$79*$A87/8760/1000*INDEX('Bulb Weighting'!$B$2:$C$17,MATCH(RIGHT('SC-New'!$D50,LEN($D87)-7),'Bulb Weighting'!$B$3:$B$17,0)+1,2)</f>
        <v>1.9901366784235643</v>
      </c>
      <c r="N87" s="37">
        <f>VLOOKUP($C87,$D$60:$Z$63,N$32,FALSE)*$D$79*$A87/8760/1000*INDEX('Bulb Weighting'!$B$2:$C$17,MATCH(RIGHT('SC-New'!$D50,LEN($D87)-7),'Bulb Weighting'!$B$3:$B$17,0)+1,2)</f>
        <v>2.0187968271283205</v>
      </c>
      <c r="O87" s="37">
        <f>VLOOKUP($C87,$D$60:$Z$63,O$32,FALSE)*$D$79*$A87/8760/1000*INDEX('Bulb Weighting'!$B$2:$C$17,MATCH(RIGHT('SC-New'!$D50,LEN($D87)-7),'Bulb Weighting'!$B$3:$B$17,0)+1,2)</f>
        <v>2.0443232446624386</v>
      </c>
      <c r="P87" s="37">
        <f>VLOOKUP($C87,$D$60:$Z$63,P$32,FALSE)*$D$79*$A87/8760/1000*INDEX('Bulb Weighting'!$B$2:$C$17,MATCH(RIGHT('SC-New'!$D50,LEN($D87)-7),'Bulb Weighting'!$B$3:$B$17,0)+1,2)</f>
        <v>2.0649059907290668</v>
      </c>
      <c r="Q87" s="37">
        <f>VLOOKUP($C87,$D$60:$Z$63,Q$32,FALSE)*$D$79*$A87/8760/1000*INDEX('Bulb Weighting'!$B$2:$C$17,MATCH(RIGHT('SC-New'!$D50,LEN($D87)-7),'Bulb Weighting'!$B$3:$B$17,0)+1,2)</f>
        <v>2.0781175280081947</v>
      </c>
      <c r="R87" s="37">
        <f>VLOOKUP($C87,$D$60:$Z$63,R$32,FALSE)*$D$79*$A87/8760/1000*INDEX('Bulb Weighting'!$B$2:$C$17,MATCH(RIGHT('SC-New'!$D50,LEN($D87)-7),'Bulb Weighting'!$B$3:$B$17,0)+1,2)</f>
        <v>2.0834748600402269</v>
      </c>
      <c r="S87" s="37">
        <f>VLOOKUP($C87,$D$60:$Z$63,S$32,FALSE)*$D$79*$A87/8760/1000*INDEX('Bulb Weighting'!$B$2:$C$17,MATCH(RIGHT('SC-New'!$D50,LEN($D87)-7),'Bulb Weighting'!$B$3:$B$17,0)+1,2)</f>
        <v>2.0870679542254571</v>
      </c>
      <c r="T87" s="37">
        <f>VLOOKUP($C87,$D$60:$Z$63,T$32,FALSE)*$D$79*$A87/8760/1000*INDEX('Bulb Weighting'!$B$2:$C$17,MATCH(RIGHT('SC-New'!$D50,LEN($D87)-7),'Bulb Weighting'!$B$3:$B$17,0)+1,2)</f>
        <v>2.0896026038852638</v>
      </c>
      <c r="U87" s="37">
        <f>VLOOKUP($C87,$D$60:$Z$63,U$32,FALSE)*$D$79*$A87/8760/1000*INDEX('Bulb Weighting'!$B$2:$C$17,MATCH(RIGHT('SC-New'!$D50,LEN($D87)-7),'Bulb Weighting'!$B$3:$B$17,0)+1,2)</f>
        <v>2.0894120435819996</v>
      </c>
      <c r="V87" s="37">
        <f>VLOOKUP($C87,$D$60:$Z$63,V$32,FALSE)*$D$79*$A87/8760/1000*INDEX('Bulb Weighting'!$B$2:$C$17,MATCH(RIGHT('SC-New'!$D50,LEN($D87)-7),'Bulb Weighting'!$B$3:$B$17,0)+1,2)</f>
        <v>2.0893641612028757</v>
      </c>
      <c r="W87" s="37">
        <f>VLOOKUP($C87,$D$60:$Z$63,W$32,FALSE)*$D$79*$A87/8760/1000*INDEX('Bulb Weighting'!$B$2:$C$17,MATCH(RIGHT('SC-New'!$D50,LEN($D87)-7),'Bulb Weighting'!$B$3:$B$17,0)+1,2)</f>
        <v>2.0873228954553511</v>
      </c>
      <c r="X87" s="37">
        <f>VLOOKUP($C87,$D$60:$Z$63,X$32,FALSE)*$D$79*$A87/8760/1000*INDEX('Bulb Weighting'!$B$2:$C$17,MATCH(RIGHT('SC-New'!$D50,LEN($D87)-7),'Bulb Weighting'!$B$3:$B$17,0)+1,2)</f>
        <v>2.0836471773248215</v>
      </c>
      <c r="Y87" s="32">
        <f>(VLOOKUP($C87,$D$43:$Z$46,$X$68+3,FALSE)+VLOOKUP($C87,$D$51:$Z$54,$X$68+3,FALSE))*$A87*$D$79/8760/1000*INDEX('Bulb Weighting'!$B$2:$C$17,MATCH(RIGHT('SC-New'!$D50,LEN($D87)-7),'Bulb Weighting'!$B$3:$B$17,0)+1,2)</f>
        <v>17.835317040309874</v>
      </c>
      <c r="Z87" s="32"/>
      <c r="AA87" s="32">
        <f t="shared" si="31"/>
        <v>34.008432317857888</v>
      </c>
      <c r="AB87" s="37"/>
      <c r="AC87" s="84"/>
    </row>
    <row r="88" spans="1:29" customFormat="1">
      <c r="A88" s="89">
        <f t="shared" si="28"/>
        <v>10.331554133000125</v>
      </c>
      <c r="B88" s="71">
        <f t="shared" si="29"/>
        <v>-97.483290128606981</v>
      </c>
      <c r="C88" s="1" t="s">
        <v>29</v>
      </c>
      <c r="D88" t="s">
        <v>753</v>
      </c>
      <c r="E88" s="37">
        <f>VLOOKUP($C88,$D$60:$Z$63,E$32,FALSE)*$D$79*$A88/8760/1000*INDEX('Bulb Weighting'!$B$2:$C$17,MATCH(RIGHT('SC-New'!$D51,LEN($D88)-7),'Bulb Weighting'!$B$3:$B$17,0)+1,2)</f>
        <v>0</v>
      </c>
      <c r="F88" s="37">
        <f>VLOOKUP($C88,$D$60:$Z$63,F$32,FALSE)*$D$79*$A88/8760/1000*INDEX('Bulb Weighting'!$B$2:$C$17,MATCH(RIGHT('SC-New'!$D51,LEN($D88)-7),'Bulb Weighting'!$B$3:$B$17,0)+1,2)</f>
        <v>0.33817912299227032</v>
      </c>
      <c r="G88" s="37">
        <f>VLOOKUP($C88,$D$60:$Z$63,G$32,FALSE)*$D$79*$A88/8760/1000*INDEX('Bulb Weighting'!$B$2:$C$17,MATCH(RIGHT('SC-New'!$D51,LEN($D88)-7),'Bulb Weighting'!$B$3:$B$17,0)+1,2)</f>
        <v>0.43366505392347171</v>
      </c>
      <c r="H88" s="37">
        <f>VLOOKUP($C88,$D$60:$Z$63,H$32,FALSE)*$D$79*$A88/8760/1000*INDEX('Bulb Weighting'!$B$2:$C$17,MATCH(RIGHT('SC-New'!$D51,LEN($D88)-7),'Bulb Weighting'!$B$3:$B$17,0)+1,2)</f>
        <v>0.50747265470877412</v>
      </c>
      <c r="I88" s="37">
        <f>VLOOKUP($C88,$D$60:$Z$63,I$32,FALSE)*$D$79*$A88/8760/1000*INDEX('Bulb Weighting'!$B$2:$C$17,MATCH(RIGHT('SC-New'!$D51,LEN($D88)-7),'Bulb Weighting'!$B$3:$B$17,0)+1,2)</f>
        <v>0.57170088384918416</v>
      </c>
      <c r="J88" s="37">
        <f>VLOOKUP($C88,$D$60:$Z$63,J$32,FALSE)*$D$79*$A88/8760/1000*INDEX('Bulb Weighting'!$B$2:$C$17,MATCH(RIGHT('SC-New'!$D51,LEN($D88)-7),'Bulb Weighting'!$B$3:$B$17,0)+1,2)</f>
        <v>0.62685026383050624</v>
      </c>
      <c r="K88" s="37">
        <f>VLOOKUP($C88,$D$60:$Z$63,K$32,FALSE)*$D$79*$A88/8760/1000*INDEX('Bulb Weighting'!$B$2:$C$17,MATCH(RIGHT('SC-New'!$D51,LEN($D88)-7),'Bulb Weighting'!$B$3:$B$17,0)+1,2)</f>
        <v>0.67367458252921653</v>
      </c>
      <c r="L88" s="37">
        <f>VLOOKUP($C88,$D$60:$Z$63,L$32,FALSE)*$D$79*$A88/8760/1000*INDEX('Bulb Weighting'!$B$2:$C$17,MATCH(RIGHT('SC-New'!$D51,LEN($D88)-7),'Bulb Weighting'!$B$3:$B$17,0)+1,2)</f>
        <v>0.71304306940838713</v>
      </c>
      <c r="M88" s="37">
        <f>VLOOKUP($C88,$D$60:$Z$63,M$32,FALSE)*$D$79*$A88/8760/1000*INDEX('Bulb Weighting'!$B$2:$C$17,MATCH(RIGHT('SC-New'!$D51,LEN($D88)-7),'Bulb Weighting'!$B$3:$B$17,0)+1,2)</f>
        <v>0.83577874527062523</v>
      </c>
      <c r="N88" s="37">
        <f>VLOOKUP($C88,$D$60:$Z$63,N$32,FALSE)*$D$79*$A88/8760/1000*INDEX('Bulb Weighting'!$B$2:$C$17,MATCH(RIGHT('SC-New'!$D51,LEN($D88)-7),'Bulb Weighting'!$B$3:$B$17,0)+1,2)</f>
        <v>0.84781487494122909</v>
      </c>
      <c r="O88" s="37">
        <f>VLOOKUP($C88,$D$60:$Z$63,O$32,FALSE)*$D$79*$A88/8760/1000*INDEX('Bulb Weighting'!$B$2:$C$17,MATCH(RIGHT('SC-New'!$D51,LEN($D88)-7),'Bulb Weighting'!$B$3:$B$17,0)+1,2)</f>
        <v>0.85853496138012553</v>
      </c>
      <c r="P88" s="37">
        <f>VLOOKUP($C88,$D$60:$Z$63,P$32,FALSE)*$D$79*$A88/8760/1000*INDEX('Bulb Weighting'!$B$2:$C$17,MATCH(RIGHT('SC-New'!$D51,LEN($D88)-7),'Bulb Weighting'!$B$3:$B$17,0)+1,2)</f>
        <v>0.86717890120008645</v>
      </c>
      <c r="Q88" s="37">
        <f>VLOOKUP($C88,$D$60:$Z$63,Q$32,FALSE)*$D$79*$A88/8760/1000*INDEX('Bulb Weighting'!$B$2:$C$17,MATCH(RIGHT('SC-New'!$D51,LEN($D88)-7),'Bulb Weighting'!$B$3:$B$17,0)+1,2)</f>
        <v>0.87272722467452879</v>
      </c>
      <c r="R88" s="37">
        <f>VLOOKUP($C88,$D$60:$Z$63,R$32,FALSE)*$D$79*$A88/8760/1000*INDEX('Bulb Weighting'!$B$2:$C$17,MATCH(RIGHT('SC-New'!$D51,LEN($D88)-7),'Bulb Weighting'!$B$3:$B$17,0)+1,2)</f>
        <v>0.87497709238073917</v>
      </c>
      <c r="S88" s="37">
        <f>VLOOKUP($C88,$D$60:$Z$63,S$32,FALSE)*$D$79*$A88/8760/1000*INDEX('Bulb Weighting'!$B$2:$C$17,MATCH(RIGHT('SC-New'!$D51,LEN($D88)-7),'Bulb Weighting'!$B$3:$B$17,0)+1,2)</f>
        <v>0.87648604992236356</v>
      </c>
      <c r="T88" s="37">
        <f>VLOOKUP($C88,$D$60:$Z$63,T$32,FALSE)*$D$79*$A88/8760/1000*INDEX('Bulb Weighting'!$B$2:$C$17,MATCH(RIGHT('SC-New'!$D51,LEN($D88)-7),'Bulb Weighting'!$B$3:$B$17,0)+1,2)</f>
        <v>0.87755050259807221</v>
      </c>
      <c r="U88" s="37">
        <f>VLOOKUP($C88,$D$60:$Z$63,U$32,FALSE)*$D$79*$A88/8760/1000*INDEX('Bulb Weighting'!$B$2:$C$17,MATCH(RIGHT('SC-New'!$D51,LEN($D88)-7),'Bulb Weighting'!$B$3:$B$17,0)+1,2)</f>
        <v>0.87747047480255091</v>
      </c>
      <c r="V88" s="37">
        <f>VLOOKUP($C88,$D$60:$Z$63,V$32,FALSE)*$D$79*$A88/8760/1000*INDEX('Bulb Weighting'!$B$2:$C$17,MATCH(RIGHT('SC-New'!$D51,LEN($D88)-7),'Bulb Weighting'!$B$3:$B$17,0)+1,2)</f>
        <v>0.87745036609585825</v>
      </c>
      <c r="W88" s="37">
        <f>VLOOKUP($C88,$D$60:$Z$63,W$32,FALSE)*$D$79*$A88/8760/1000*INDEX('Bulb Weighting'!$B$2:$C$17,MATCH(RIGHT('SC-New'!$D51,LEN($D88)-7),'Bulb Weighting'!$B$3:$B$17,0)+1,2)</f>
        <v>0.87659311516242899</v>
      </c>
      <c r="X88" s="37">
        <f>VLOOKUP($C88,$D$60:$Z$63,X$32,FALSE)*$D$79*$A88/8760/1000*INDEX('Bulb Weighting'!$B$2:$C$17,MATCH(RIGHT('SC-New'!$D51,LEN($D88)-7),'Bulb Weighting'!$B$3:$B$17,0)+1,2)</f>
        <v>0.87504945882947005</v>
      </c>
      <c r="Y88" s="32">
        <f>(VLOOKUP($C88,$D$43:$Z$46,$X$68+3,FALSE)+VLOOKUP($C88,$D$51:$Z$54,$X$68+3,FALSE))*$A88*$D$79/8760/1000*INDEX('Bulb Weighting'!$B$2:$C$17,MATCH(RIGHT('SC-New'!$D51,LEN($D88)-7),'Bulb Weighting'!$B$3:$B$17,0)+1,2)</f>
        <v>7.4901282203701163</v>
      </c>
      <c r="Z88" s="32"/>
      <c r="AA88" s="32">
        <f t="shared" si="31"/>
        <v>14.282197398499887</v>
      </c>
      <c r="AB88" s="37"/>
      <c r="AC88" s="84"/>
    </row>
    <row r="89" spans="1:29" customFormat="1">
      <c r="A89" s="89">
        <f t="shared" si="28"/>
        <v>11.177995908414712</v>
      </c>
      <c r="B89" s="71">
        <f t="shared" si="29"/>
        <v>-118.66739310804593</v>
      </c>
      <c r="C89" s="1" t="s">
        <v>29</v>
      </c>
      <c r="D89" t="s">
        <v>754</v>
      </c>
      <c r="E89" s="37">
        <f>VLOOKUP($C89,$D$60:$Z$63,E$32,FALSE)*$D$79*$A89/8760/1000*INDEX('Bulb Weighting'!$B$2:$C$17,MATCH(RIGHT('SC-New'!$D52,LEN($D89)-7),'Bulb Weighting'!$B$3:$B$17,0)+1,2)</f>
        <v>0</v>
      </c>
      <c r="F89" s="37">
        <f>VLOOKUP($C89,$D$60:$Z$63,F$32,FALSE)*$D$79*$A89/8760/1000*INDEX('Bulb Weighting'!$B$2:$C$17,MATCH(RIGHT('SC-New'!$D52,LEN($D89)-7),'Bulb Weighting'!$B$3:$B$17,0)+1,2)</f>
        <v>2.7569763524004802E-2</v>
      </c>
      <c r="G89" s="37">
        <f>VLOOKUP($C89,$D$60:$Z$63,G$32,FALSE)*$D$79*$A89/8760/1000*INDEX('Bulb Weighting'!$B$2:$C$17,MATCH(RIGHT('SC-New'!$D52,LEN($D89)-7),'Bulb Weighting'!$B$3:$B$17,0)+1,2)</f>
        <v>3.5354172308171075E-2</v>
      </c>
      <c r="H89" s="37">
        <f>VLOOKUP($C89,$D$60:$Z$63,H$32,FALSE)*$D$79*$A89/8760/1000*INDEX('Bulb Weighting'!$B$2:$C$17,MATCH(RIGHT('SC-New'!$D52,LEN($D89)-7),'Bulb Weighting'!$B$3:$B$17,0)+1,2)</f>
        <v>4.1371273783626282E-2</v>
      </c>
      <c r="I89" s="37">
        <f>VLOOKUP($C89,$D$60:$Z$63,I$32,FALSE)*$D$79*$A89/8760/1000*INDEX('Bulb Weighting'!$B$2:$C$17,MATCH(RIGHT('SC-New'!$D52,LEN($D89)-7),'Bulb Weighting'!$B$3:$B$17,0)+1,2)</f>
        <v>4.6607425185577769E-2</v>
      </c>
      <c r="J89" s="37">
        <f>VLOOKUP($C89,$D$60:$Z$63,J$32,FALSE)*$D$79*$A89/8760/1000*INDEX('Bulb Weighting'!$B$2:$C$17,MATCH(RIGHT('SC-New'!$D52,LEN($D89)-7),'Bulb Weighting'!$B$3:$B$17,0)+1,2)</f>
        <v>5.1103431181238494E-2</v>
      </c>
      <c r="K89" s="37">
        <f>VLOOKUP($C89,$D$60:$Z$63,K$32,FALSE)*$D$79*$A89/8760/1000*INDEX('Bulb Weighting'!$B$2:$C$17,MATCH(RIGHT('SC-New'!$D52,LEN($D89)-7),'Bulb Weighting'!$B$3:$B$17,0)+1,2)</f>
        <v>5.4920743682003323E-2</v>
      </c>
      <c r="L89" s="37">
        <f>VLOOKUP($C89,$D$60:$Z$63,L$32,FALSE)*$D$79*$A89/8760/1000*INDEX('Bulb Weighting'!$B$2:$C$17,MATCH(RIGHT('SC-New'!$D52,LEN($D89)-7),'Bulb Weighting'!$B$3:$B$17,0)+1,2)</f>
        <v>5.8130225875797491E-2</v>
      </c>
      <c r="M89" s="37">
        <f>VLOOKUP($C89,$D$60:$Z$63,M$32,FALSE)*$D$79*$A89/8760/1000*INDEX('Bulb Weighting'!$B$2:$C$17,MATCH(RIGHT('SC-New'!$D52,LEN($D89)-7),'Bulb Weighting'!$B$3:$B$17,0)+1,2)</f>
        <v>6.8136146789957955E-2</v>
      </c>
      <c r="N89" s="37">
        <f>VLOOKUP($C89,$D$60:$Z$63,N$32,FALSE)*$D$79*$A89/8760/1000*INDEX('Bulb Weighting'!$B$2:$C$17,MATCH(RIGHT('SC-New'!$D52,LEN($D89)-7),'Bulb Weighting'!$B$3:$B$17,0)+1,2)</f>
        <v>6.9117381958547566E-2</v>
      </c>
      <c r="O89" s="37">
        <f>VLOOKUP($C89,$D$60:$Z$63,O$32,FALSE)*$D$79*$A89/8760/1000*INDEX('Bulb Weighting'!$B$2:$C$17,MATCH(RIGHT('SC-New'!$D52,LEN($D89)-7),'Bulb Weighting'!$B$3:$B$17,0)+1,2)</f>
        <v>6.9991327829192054E-2</v>
      </c>
      <c r="P89" s="37">
        <f>VLOOKUP($C89,$D$60:$Z$63,P$32,FALSE)*$D$79*$A89/8760/1000*INDEX('Bulb Weighting'!$B$2:$C$17,MATCH(RIGHT('SC-New'!$D52,LEN($D89)-7),'Bulb Weighting'!$B$3:$B$17,0)+1,2)</f>
        <v>7.0696017623888524E-2</v>
      </c>
      <c r="Q89" s="37">
        <f>VLOOKUP($C89,$D$60:$Z$63,Q$32,FALSE)*$D$79*$A89/8760/1000*INDEX('Bulb Weighting'!$B$2:$C$17,MATCH(RIGHT('SC-New'!$D52,LEN($D89)-7),'Bulb Weighting'!$B$3:$B$17,0)+1,2)</f>
        <v>7.1148339945833139E-2</v>
      </c>
      <c r="R89" s="37">
        <f>VLOOKUP($C89,$D$60:$Z$63,R$32,FALSE)*$D$79*$A89/8760/1000*INDEX('Bulb Weighting'!$B$2:$C$17,MATCH(RIGHT('SC-New'!$D52,LEN($D89)-7),'Bulb Weighting'!$B$3:$B$17,0)+1,2)</f>
        <v>7.1331758484717747E-2</v>
      </c>
      <c r="S89" s="37">
        <f>VLOOKUP($C89,$D$60:$Z$63,S$32,FALSE)*$D$79*$A89/8760/1000*INDEX('Bulb Weighting'!$B$2:$C$17,MATCH(RIGHT('SC-New'!$D52,LEN($D89)-7),'Bulb Weighting'!$B$3:$B$17,0)+1,2)</f>
        <v>7.1454774956646122E-2</v>
      </c>
      <c r="T89" s="37">
        <f>VLOOKUP($C89,$D$60:$Z$63,T$32,FALSE)*$D$79*$A89/8760/1000*INDEX('Bulb Weighting'!$B$2:$C$17,MATCH(RIGHT('SC-New'!$D52,LEN($D89)-7),'Bulb Weighting'!$B$3:$B$17,0)+1,2)</f>
        <v>7.1541553549872447E-2</v>
      </c>
      <c r="U89" s="37">
        <f>VLOOKUP($C89,$D$60:$Z$63,U$32,FALSE)*$D$79*$A89/8760/1000*INDEX('Bulb Weighting'!$B$2:$C$17,MATCH(RIGHT('SC-New'!$D52,LEN($D89)-7),'Bulb Weighting'!$B$3:$B$17,0)+1,2)</f>
        <v>7.1535029352345569E-2</v>
      </c>
      <c r="V89" s="37">
        <f>VLOOKUP($C89,$D$60:$Z$63,V$32,FALSE)*$D$79*$A89/8760/1000*INDEX('Bulb Weighting'!$B$2:$C$17,MATCH(RIGHT('SC-New'!$D52,LEN($D89)-7),'Bulb Weighting'!$B$3:$B$17,0)+1,2)</f>
        <v>7.1533390007245304E-2</v>
      </c>
      <c r="W89" s="37">
        <f>VLOOKUP($C89,$D$60:$Z$63,W$32,FALSE)*$D$79*$A89/8760/1000*INDEX('Bulb Weighting'!$B$2:$C$17,MATCH(RIGHT('SC-New'!$D52,LEN($D89)-7),'Bulb Weighting'!$B$3:$B$17,0)+1,2)</f>
        <v>7.146350335869571E-2</v>
      </c>
      <c r="X89" s="37">
        <f>VLOOKUP($C89,$D$60:$Z$63,X$32,FALSE)*$D$79*$A89/8760/1000*INDEX('Bulb Weighting'!$B$2:$C$17,MATCH(RIGHT('SC-New'!$D52,LEN($D89)-7),'Bulb Weighting'!$B$3:$B$17,0)+1,2)</f>
        <v>7.1337658097505571E-2</v>
      </c>
      <c r="Y89" s="32">
        <f>(VLOOKUP($C89,$D$43:$Z$46,$X$68+3,FALSE)+VLOOKUP($C89,$D$51:$Z$54,$X$68+3,FALSE))*$A89*$D$79/8760/1000*INDEX('Bulb Weighting'!$B$2:$C$17,MATCH(RIGHT('SC-New'!$D52,LEN($D89)-7),'Bulb Weighting'!$B$3:$B$17,0)+1,2)</f>
        <v>0.61062629169098326</v>
      </c>
      <c r="Z89" s="32"/>
      <c r="AA89" s="32">
        <f>SUM(E89:X89)</f>
        <v>1.1643439174948669</v>
      </c>
      <c r="AB89" s="37"/>
      <c r="AC89" s="84"/>
    </row>
    <row r="90" spans="1:29" customFormat="1">
      <c r="A90" s="89">
        <f t="shared" si="28"/>
        <v>21.322455076849025</v>
      </c>
      <c r="B90" s="71">
        <f t="shared" si="29"/>
        <v>-49.256412709384371</v>
      </c>
      <c r="C90" s="1" t="s">
        <v>29</v>
      </c>
      <c r="D90" t="s">
        <v>755</v>
      </c>
      <c r="E90" s="37">
        <f>VLOOKUP($C90,$D$60:$Z$63,E$32,FALSE)*$D$79*$A90/8760/1000*INDEX('Bulb Weighting'!$B$2:$C$17,MATCH(RIGHT('SC-New'!$D53,LEN($D90)-7),'Bulb Weighting'!$B$3:$B$17,0)+1,2)</f>
        <v>0</v>
      </c>
      <c r="F90" s="37">
        <f>VLOOKUP($C90,$D$60:$Z$63,F$32,FALSE)*$D$79*$A90/8760/1000*INDEX('Bulb Weighting'!$B$2:$C$17,MATCH(RIGHT('SC-New'!$D53,LEN($D90)-7),'Bulb Weighting'!$B$3:$B$17,0)+1,2)</f>
        <v>0.36406938240985204</v>
      </c>
      <c r="G90" s="37">
        <f>VLOOKUP($C90,$D$60:$Z$63,G$32,FALSE)*$D$79*$A90/8760/1000*INDEX('Bulb Weighting'!$B$2:$C$17,MATCH(RIGHT('SC-New'!$D53,LEN($D90)-7),'Bulb Weighting'!$B$3:$B$17,0)+1,2)</f>
        <v>0.46686550889855566</v>
      </c>
      <c r="H90" s="37">
        <f>VLOOKUP($C90,$D$60:$Z$63,H$32,FALSE)*$D$79*$A90/8760/1000*INDEX('Bulb Weighting'!$B$2:$C$17,MATCH(RIGHT('SC-New'!$D53,LEN($D90)-7),'Bulb Weighting'!$B$3:$B$17,0)+1,2)</f>
        <v>0.54632365935236749</v>
      </c>
      <c r="I90" s="37">
        <f>VLOOKUP($C90,$D$60:$Z$63,I$32,FALSE)*$D$79*$A90/8760/1000*INDEX('Bulb Weighting'!$B$2:$C$17,MATCH(RIGHT('SC-New'!$D53,LEN($D90)-7),'Bulb Weighting'!$B$3:$B$17,0)+1,2)</f>
        <v>0.61546906226643805</v>
      </c>
      <c r="J90" s="37">
        <f>VLOOKUP($C90,$D$60:$Z$63,J$32,FALSE)*$D$79*$A90/8760/1000*INDEX('Bulb Weighting'!$B$2:$C$17,MATCH(RIGHT('SC-New'!$D53,LEN($D90)-7),'Bulb Weighting'!$B$3:$B$17,0)+1,2)</f>
        <v>0.67484055904137374</v>
      </c>
      <c r="K90" s="37">
        <f>VLOOKUP($C90,$D$60:$Z$63,K$32,FALSE)*$D$79*$A90/8760/1000*INDEX('Bulb Weighting'!$B$2:$C$17,MATCH(RIGHT('SC-New'!$D53,LEN($D90)-7),'Bulb Weighting'!$B$3:$B$17,0)+1,2)</f>
        <v>0.72524964591688512</v>
      </c>
      <c r="L90" s="37">
        <f>VLOOKUP($C90,$D$60:$Z$63,L$32,FALSE)*$D$79*$A90/8760/1000*INDEX('Bulb Weighting'!$B$2:$C$17,MATCH(RIGHT('SC-New'!$D53,LEN($D90)-7),'Bulb Weighting'!$B$3:$B$17,0)+1,2)</f>
        <v>0.76763209867650628</v>
      </c>
      <c r="M90" s="37">
        <f>VLOOKUP($C90,$D$60:$Z$63,M$32,FALSE)*$D$79*$A90/8760/1000*INDEX('Bulb Weighting'!$B$2:$C$17,MATCH(RIGHT('SC-New'!$D53,LEN($D90)-7),'Bulb Weighting'!$B$3:$B$17,0)+1,2)</f>
        <v>0.89976415140479393</v>
      </c>
      <c r="N90" s="37">
        <f>VLOOKUP($C90,$D$60:$Z$63,N$32,FALSE)*$D$79*$A90/8760/1000*INDEX('Bulb Weighting'!$B$2:$C$17,MATCH(RIGHT('SC-New'!$D53,LEN($D90)-7),'Bulb Weighting'!$B$3:$B$17,0)+1,2)</f>
        <v>0.91272174103069681</v>
      </c>
      <c r="O90" s="37">
        <f>VLOOKUP($C90,$D$60:$Z$63,O$32,FALSE)*$D$79*$A90/8760/1000*INDEX('Bulb Weighting'!$B$2:$C$17,MATCH(RIGHT('SC-New'!$D53,LEN($D90)-7),'Bulb Weighting'!$B$3:$B$17,0)+1,2)</f>
        <v>0.92426253401240477</v>
      </c>
      <c r="P90" s="37">
        <f>VLOOKUP($C90,$D$60:$Z$63,P$32,FALSE)*$D$79*$A90/8760/1000*INDEX('Bulb Weighting'!$B$2:$C$17,MATCH(RIGHT('SC-New'!$D53,LEN($D90)-7),'Bulb Weighting'!$B$3:$B$17,0)+1,2)</f>
        <v>0.93356823509766385</v>
      </c>
      <c r="Q90" s="37">
        <f>VLOOKUP($C90,$D$60:$Z$63,Q$32,FALSE)*$D$79*$A90/8760/1000*INDEX('Bulb Weighting'!$B$2:$C$17,MATCH(RIGHT('SC-New'!$D53,LEN($D90)-7),'Bulb Weighting'!$B$3:$B$17,0)+1,2)</f>
        <v>0.9395413261710488</v>
      </c>
      <c r="R90" s="37">
        <f>VLOOKUP($C90,$D$60:$Z$63,R$32,FALSE)*$D$79*$A90/8760/1000*INDEX('Bulb Weighting'!$B$2:$C$17,MATCH(RIGHT('SC-New'!$D53,LEN($D90)-7),'Bulb Weighting'!$B$3:$B$17,0)+1,2)</f>
        <v>0.94196343886403899</v>
      </c>
      <c r="S90" s="37">
        <f>VLOOKUP($C90,$D$60:$Z$63,S$32,FALSE)*$D$79*$A90/8760/1000*INDEX('Bulb Weighting'!$B$2:$C$17,MATCH(RIGHT('SC-New'!$D53,LEN($D90)-7),'Bulb Weighting'!$B$3:$B$17,0)+1,2)</f>
        <v>0.94358791891887206</v>
      </c>
      <c r="T90" s="37">
        <f>VLOOKUP($C90,$D$60:$Z$63,T$32,FALSE)*$D$79*$A90/8760/1000*INDEX('Bulb Weighting'!$B$2:$C$17,MATCH(RIGHT('SC-New'!$D53,LEN($D90)-7),'Bulb Weighting'!$B$3:$B$17,0)+1,2)</f>
        <v>0.94473386378034296</v>
      </c>
      <c r="U90" s="37">
        <f>VLOOKUP($C90,$D$60:$Z$63,U$32,FALSE)*$D$79*$A90/8760/1000*INDEX('Bulb Weighting'!$B$2:$C$17,MATCH(RIGHT('SC-New'!$D53,LEN($D90)-7),'Bulb Weighting'!$B$3:$B$17,0)+1,2)</f>
        <v>0.94464770923054941</v>
      </c>
      <c r="V90" s="37">
        <f>VLOOKUP($C90,$D$60:$Z$63,V$32,FALSE)*$D$79*$A90/8760/1000*INDEX('Bulb Weighting'!$B$2:$C$17,MATCH(RIGHT('SC-New'!$D53,LEN($D90)-7),'Bulb Weighting'!$B$3:$B$17,0)+1,2)</f>
        <v>0.9446260610449313</v>
      </c>
      <c r="W90" s="37">
        <f>VLOOKUP($C90,$D$60:$Z$63,W$32,FALSE)*$D$79*$A90/8760/1000*INDEX('Bulb Weighting'!$B$2:$C$17,MATCH(RIGHT('SC-New'!$D53,LEN($D90)-7),'Bulb Weighting'!$B$3:$B$17,0)+1,2)</f>
        <v>0.94370318084126203</v>
      </c>
      <c r="X90" s="37">
        <f>VLOOKUP($C90,$D$60:$Z$63,X$32,FALSE)*$D$79*$A90/8760/1000*INDEX('Bulb Weighting'!$B$2:$C$17,MATCH(RIGHT('SC-New'!$D53,LEN($D90)-7),'Bulb Weighting'!$B$3:$B$17,0)+1,2)</f>
        <v>0.9420413455309663</v>
      </c>
      <c r="Y90" s="32">
        <f>(VLOOKUP($C90,$D$43:$Z$46,$X$68+3,FALSE)+VLOOKUP($C90,$D$51:$Z$54,$X$68+3,FALSE))*$A90*$D$79/8760/1000*INDEX('Bulb Weighting'!$B$2:$C$17,MATCH(RIGHT('SC-New'!$D53,LEN($D90)-7),'Bulb Weighting'!$B$3:$B$17,0)+1,2)</f>
        <v>8.0635561747053224</v>
      </c>
      <c r="Z90" s="32"/>
      <c r="AA90" s="32">
        <f t="shared" ref="AA90:AA92" si="32">SUM(E90:X90)</f>
        <v>15.375611422489552</v>
      </c>
      <c r="AB90" s="37"/>
      <c r="AC90" s="84"/>
    </row>
    <row r="91" spans="1:29" customFormat="1">
      <c r="A91" s="89">
        <f t="shared" si="28"/>
        <v>16.258824982644914</v>
      </c>
      <c r="B91" s="71">
        <f t="shared" si="29"/>
        <v>-57.558538168362972</v>
      </c>
      <c r="C91" s="1" t="s">
        <v>29</v>
      </c>
      <c r="D91" t="s">
        <v>756</v>
      </c>
      <c r="E91" s="37">
        <f>VLOOKUP($C91,$D$60:$Z$63,E$32,FALSE)*$D$79*$A91/8760/1000*INDEX('Bulb Weighting'!$B$2:$C$17,MATCH(RIGHT('SC-New'!$D54,LEN($D91)-7),'Bulb Weighting'!$B$3:$B$17,0)+1,2)</f>
        <v>0</v>
      </c>
      <c r="F91" s="37">
        <f>VLOOKUP($C91,$D$60:$Z$63,F$32,FALSE)*$D$79*$A91/8760/1000*INDEX('Bulb Weighting'!$B$2:$C$17,MATCH(RIGHT('SC-New'!$D54,LEN($D91)-7),'Bulb Weighting'!$B$3:$B$17,0)+1,2)</f>
        <v>2.8051720391239363</v>
      </c>
      <c r="G91" s="37">
        <f>VLOOKUP($C91,$D$60:$Z$63,G$32,FALSE)*$D$79*$A91/8760/1000*INDEX('Bulb Weighting'!$B$2:$C$17,MATCH(RIGHT('SC-New'!$D54,LEN($D91)-7),'Bulb Weighting'!$B$3:$B$17,0)+1,2)</f>
        <v>3.5972211201195359</v>
      </c>
      <c r="H91" s="37">
        <f>VLOOKUP($C91,$D$60:$Z$63,H$32,FALSE)*$D$79*$A91/8760/1000*INDEX('Bulb Weighting'!$B$2:$C$17,MATCH(RIGHT('SC-New'!$D54,LEN($D91)-7),'Bulb Weighting'!$B$3:$B$17,0)+1,2)</f>
        <v>4.2094499773174539</v>
      </c>
      <c r="I91" s="37">
        <f>VLOOKUP($C91,$D$60:$Z$63,I$32,FALSE)*$D$79*$A91/8760/1000*INDEX('Bulb Weighting'!$B$2:$C$17,MATCH(RIGHT('SC-New'!$D54,LEN($D91)-7),'Bulb Weighting'!$B$3:$B$17,0)+1,2)</f>
        <v>4.7422186204936958</v>
      </c>
      <c r="J91" s="37">
        <f>VLOOKUP($C91,$D$60:$Z$63,J$32,FALSE)*$D$79*$A91/8760/1000*INDEX('Bulb Weighting'!$B$2:$C$17,MATCH(RIGHT('SC-New'!$D54,LEN($D91)-7),'Bulb Weighting'!$B$3:$B$17,0)+1,2)</f>
        <v>5.199678848463364</v>
      </c>
      <c r="K91" s="37">
        <f>VLOOKUP($C91,$D$60:$Z$63,K$32,FALSE)*$D$79*$A91/8760/1000*INDEX('Bulb Weighting'!$B$2:$C$17,MATCH(RIGHT('SC-New'!$D54,LEN($D91)-7),'Bulb Weighting'!$B$3:$B$17,0)+1,2)</f>
        <v>5.588083278643559</v>
      </c>
      <c r="L91" s="37">
        <f>VLOOKUP($C91,$D$60:$Z$63,L$32,FALSE)*$D$79*$A91/8760/1000*INDEX('Bulb Weighting'!$B$2:$C$17,MATCH(RIGHT('SC-New'!$D54,LEN($D91)-7),'Bulb Weighting'!$B$3:$B$17,0)+1,2)</f>
        <v>5.914642108292516</v>
      </c>
      <c r="M91" s="37">
        <f>VLOOKUP($C91,$D$60:$Z$63,M$32,FALSE)*$D$79*$A91/8760/1000*INDEX('Bulb Weighting'!$B$2:$C$17,MATCH(RIGHT('SC-New'!$D54,LEN($D91)-7),'Bulb Weighting'!$B$3:$B$17,0)+1,2)</f>
        <v>6.9327259068586331</v>
      </c>
      <c r="N91" s="37">
        <f>VLOOKUP($C91,$D$60:$Z$63,N$32,FALSE)*$D$79*$A91/8760/1000*INDEX('Bulb Weighting'!$B$2:$C$17,MATCH(RIGHT('SC-New'!$D54,LEN($D91)-7),'Bulb Weighting'!$B$3:$B$17,0)+1,2)</f>
        <v>7.032564755905562</v>
      </c>
      <c r="O91" s="37">
        <f>VLOOKUP($C91,$D$60:$Z$63,O$32,FALSE)*$D$79*$A91/8760/1000*INDEX('Bulb Weighting'!$B$2:$C$17,MATCH(RIGHT('SC-New'!$D54,LEN($D91)-7),'Bulb Weighting'!$B$3:$B$17,0)+1,2)</f>
        <v>7.1214871189104221</v>
      </c>
      <c r="P91" s="37">
        <f>VLOOKUP($C91,$D$60:$Z$63,P$32,FALSE)*$D$79*$A91/8760/1000*INDEX('Bulb Weighting'!$B$2:$C$17,MATCH(RIGHT('SC-New'!$D54,LEN($D91)-7),'Bulb Weighting'!$B$3:$B$17,0)+1,2)</f>
        <v>7.1931879917386317</v>
      </c>
      <c r="Q91" s="37">
        <f>VLOOKUP($C91,$D$60:$Z$63,Q$32,FALSE)*$D$79*$A91/8760/1000*INDEX('Bulb Weighting'!$B$2:$C$17,MATCH(RIGHT('SC-New'!$D54,LEN($D91)-7),'Bulb Weighting'!$B$3:$B$17,0)+1,2)</f>
        <v>7.2392109447133963</v>
      </c>
      <c r="R91" s="37">
        <f>VLOOKUP($C91,$D$60:$Z$63,R$32,FALSE)*$D$79*$A91/8760/1000*INDEX('Bulb Weighting'!$B$2:$C$17,MATCH(RIGHT('SC-New'!$D54,LEN($D91)-7),'Bulb Weighting'!$B$3:$B$17,0)+1,2)</f>
        <v>7.2578734390901811</v>
      </c>
      <c r="S91" s="37">
        <f>VLOOKUP($C91,$D$60:$Z$63,S$32,FALSE)*$D$79*$A91/8760/1000*INDEX('Bulb Weighting'!$B$2:$C$17,MATCH(RIGHT('SC-New'!$D54,LEN($D91)-7),'Bulb Weighting'!$B$3:$B$17,0)+1,2)</f>
        <v>7.2703901357642291</v>
      </c>
      <c r="T91" s="37">
        <f>VLOOKUP($C91,$D$60:$Z$63,T$32,FALSE)*$D$79*$A91/8760/1000*INDEX('Bulb Weighting'!$B$2:$C$17,MATCH(RIGHT('SC-New'!$D54,LEN($D91)-7),'Bulb Weighting'!$B$3:$B$17,0)+1,2)</f>
        <v>7.2792196958401103</v>
      </c>
      <c r="U91" s="37">
        <f>VLOOKUP($C91,$D$60:$Z$63,U$32,FALSE)*$D$79*$A91/8760/1000*INDEX('Bulb Weighting'!$B$2:$C$17,MATCH(RIGHT('SC-New'!$D54,LEN($D91)-7),'Bulb Weighting'!$B$3:$B$17,0)+1,2)</f>
        <v>7.2785558709050795</v>
      </c>
      <c r="V91" s="37">
        <f>VLOOKUP($C91,$D$60:$Z$63,V$32,FALSE)*$D$79*$A91/8760/1000*INDEX('Bulb Weighting'!$B$2:$C$17,MATCH(RIGHT('SC-New'!$D54,LEN($D91)-7),'Bulb Weighting'!$B$3:$B$17,0)+1,2)</f>
        <v>7.2783890705974255</v>
      </c>
      <c r="W91" s="37">
        <f>VLOOKUP($C91,$D$60:$Z$63,W$32,FALSE)*$D$79*$A91/8760/1000*INDEX('Bulb Weighting'!$B$2:$C$17,MATCH(RIGHT('SC-New'!$D54,LEN($D91)-7),'Bulb Weighting'!$B$3:$B$17,0)+1,2)</f>
        <v>7.2712782344000555</v>
      </c>
      <c r="X91" s="37">
        <f>VLOOKUP($C91,$D$60:$Z$63,X$32,FALSE)*$D$79*$A91/8760/1000*INDEX('Bulb Weighting'!$B$2:$C$17,MATCH(RIGHT('SC-New'!$D54,LEN($D91)-7),'Bulb Weighting'!$B$3:$B$17,0)+1,2)</f>
        <v>7.2584737136924531</v>
      </c>
      <c r="Y91" s="32">
        <f>(VLOOKUP($C91,$D$43:$Z$46,$X$68+3,FALSE)+VLOOKUP($C91,$D$51:$Z$54,$X$68+3,FALSE))*$A91*$D$79/8760/1000*INDEX('Bulb Weighting'!$B$2:$C$17,MATCH(RIGHT('SC-New'!$D54,LEN($D91)-7),'Bulb Weighting'!$B$3:$B$17,0)+1,2)</f>
        <v>62.130086763858642</v>
      </c>
      <c r="Z91" s="32"/>
      <c r="AA91" s="32">
        <f t="shared" si="32"/>
        <v>118.46982287087025</v>
      </c>
      <c r="AB91" s="37"/>
      <c r="AC91" s="84"/>
    </row>
    <row r="92" spans="1:29" customFormat="1">
      <c r="A92" s="89">
        <f t="shared" si="28"/>
        <v>87.041761167225999</v>
      </c>
      <c r="B92" s="71">
        <f t="shared" si="29"/>
        <v>-31.342168529326845</v>
      </c>
      <c r="C92" s="1" t="s">
        <v>29</v>
      </c>
      <c r="D92" t="s">
        <v>757</v>
      </c>
      <c r="E92" s="37">
        <f>VLOOKUP($C92,$D$60:$Z$63,E$32,FALSE)*$D$79*$A92/8760/1000*INDEX('Bulb Weighting'!$B$2:$C$17,MATCH(RIGHT('SC-New'!$D55,LEN($D92)-7),'Bulb Weighting'!$B$3:$B$17,0)+1,2)</f>
        <v>0</v>
      </c>
      <c r="F92" s="37">
        <f>VLOOKUP($C92,$D$60:$Z$63,F$32,FALSE)*$D$79*$A92/8760/1000*INDEX('Bulb Weighting'!$B$2:$C$17,MATCH(RIGHT('SC-New'!$D55,LEN($D92)-7),'Bulb Weighting'!$B$3:$B$17,0)+1,2)</f>
        <v>1.2340990119694473</v>
      </c>
      <c r="G92" s="37">
        <f>VLOOKUP($C92,$D$60:$Z$63,G$32,FALSE)*$D$79*$A92/8760/1000*INDEX('Bulb Weighting'!$B$2:$C$17,MATCH(RIGHT('SC-New'!$D55,LEN($D92)-7),'Bulb Weighting'!$B$3:$B$17,0)+1,2)</f>
        <v>1.5825507199770759</v>
      </c>
      <c r="H92" s="37">
        <f>VLOOKUP($C92,$D$60:$Z$63,H$32,FALSE)*$D$79*$A92/8760/1000*INDEX('Bulb Weighting'!$B$2:$C$17,MATCH(RIGHT('SC-New'!$D55,LEN($D92)-7),'Bulb Weighting'!$B$3:$B$17,0)+1,2)</f>
        <v>1.8518928555856626</v>
      </c>
      <c r="I92" s="37">
        <f>VLOOKUP($C92,$D$60:$Z$63,I$32,FALSE)*$D$79*$A92/8760/1000*INDEX('Bulb Weighting'!$B$2:$C$17,MATCH(RIGHT('SC-New'!$D55,LEN($D92)-7),'Bulb Weighting'!$B$3:$B$17,0)+1,2)</f>
        <v>2.0862775018683339</v>
      </c>
      <c r="J92" s="37">
        <f>VLOOKUP($C92,$D$60:$Z$63,J$32,FALSE)*$D$79*$A92/8760/1000*INDEX('Bulb Weighting'!$B$2:$C$17,MATCH(RIGHT('SC-New'!$D55,LEN($D92)-7),'Bulb Weighting'!$B$3:$B$17,0)+1,2)</f>
        <v>2.2875311888004894</v>
      </c>
      <c r="K92" s="37">
        <f>VLOOKUP($C92,$D$60:$Z$63,K$32,FALSE)*$D$79*$A92/8760/1000*INDEX('Bulb Weighting'!$B$2:$C$17,MATCH(RIGHT('SC-New'!$D55,LEN($D92)-7),'Bulb Weighting'!$B$3:$B$17,0)+1,2)</f>
        <v>2.4584046742212369</v>
      </c>
      <c r="L92" s="37">
        <f>VLOOKUP($C92,$D$60:$Z$63,L$32,FALSE)*$D$79*$A92/8760/1000*INDEX('Bulb Weighting'!$B$2:$C$17,MATCH(RIGHT('SC-New'!$D55,LEN($D92)-7),'Bulb Weighting'!$B$3:$B$17,0)+1,2)</f>
        <v>2.6020699907861129</v>
      </c>
      <c r="M92" s="37">
        <f>VLOOKUP($C92,$D$60:$Z$63,M$32,FALSE)*$D$79*$A92/8760/1000*INDEX('Bulb Weighting'!$B$2:$C$17,MATCH(RIGHT('SC-New'!$D55,LEN($D92)-7),'Bulb Weighting'!$B$3:$B$17,0)+1,2)</f>
        <v>3.0499627376084892</v>
      </c>
      <c r="N92" s="37">
        <f>VLOOKUP($C92,$D$60:$Z$63,N$32,FALSE)*$D$79*$A92/8760/1000*INDEX('Bulb Weighting'!$B$2:$C$17,MATCH(RIGHT('SC-New'!$D55,LEN($D92)-7),'Bulb Weighting'!$B$3:$B$17,0)+1,2)</f>
        <v>3.0938855427864067</v>
      </c>
      <c r="O92" s="37">
        <f>VLOOKUP($C92,$D$60:$Z$63,O$32,FALSE)*$D$79*$A92/8760/1000*INDEX('Bulb Weighting'!$B$2:$C$17,MATCH(RIGHT('SC-New'!$D55,LEN($D92)-7),'Bulb Weighting'!$B$3:$B$17,0)+1,2)</f>
        <v>3.1330057816864634</v>
      </c>
      <c r="P92" s="37">
        <f>VLOOKUP($C92,$D$60:$Z$63,P$32,FALSE)*$D$79*$A92/8760/1000*INDEX('Bulb Weighting'!$B$2:$C$17,MATCH(RIGHT('SC-New'!$D55,LEN($D92)-7),'Bulb Weighting'!$B$3:$B$17,0)+1,2)</f>
        <v>3.1645496496134644</v>
      </c>
      <c r="Q92" s="37">
        <f>VLOOKUP($C92,$D$60:$Z$63,Q$32,FALSE)*$D$79*$A92/8760/1000*INDEX('Bulb Weighting'!$B$2:$C$17,MATCH(RIGHT('SC-New'!$D55,LEN($D92)-7),'Bulb Weighting'!$B$3:$B$17,0)+1,2)</f>
        <v>3.1847968501423165</v>
      </c>
      <c r="R92" s="37">
        <f>VLOOKUP($C92,$D$60:$Z$63,R$32,FALSE)*$D$79*$A92/8760/1000*INDEX('Bulb Weighting'!$B$2:$C$17,MATCH(RIGHT('SC-New'!$D55,LEN($D92)-7),'Bulb Weighting'!$B$3:$B$17,0)+1,2)</f>
        <v>3.1930071722010189</v>
      </c>
      <c r="S92" s="37">
        <f>VLOOKUP($C92,$D$60:$Z$63,S$32,FALSE)*$D$79*$A92/8760/1000*INDEX('Bulb Weighting'!$B$2:$C$17,MATCH(RIGHT('SC-New'!$D55,LEN($D92)-7),'Bulb Weighting'!$B$3:$B$17,0)+1,2)</f>
        <v>3.1985137303668383</v>
      </c>
      <c r="T92" s="37">
        <f>VLOOKUP($C92,$D$60:$Z$63,T$32,FALSE)*$D$79*$A92/8760/1000*INDEX('Bulb Weighting'!$B$2:$C$17,MATCH(RIGHT('SC-New'!$D55,LEN($D92)-7),'Bulb Weighting'!$B$3:$B$17,0)+1,2)</f>
        <v>3.2023981806657122</v>
      </c>
      <c r="U92" s="37">
        <f>VLOOKUP($C92,$D$60:$Z$63,U$32,FALSE)*$D$79*$A92/8760/1000*INDEX('Bulb Weighting'!$B$2:$C$17,MATCH(RIGHT('SC-New'!$D55,LEN($D92)-7),'Bulb Weighting'!$B$3:$B$17,0)+1,2)</f>
        <v>3.202106139505664</v>
      </c>
      <c r="V92" s="37">
        <f>VLOOKUP($C92,$D$60:$Z$63,V$32,FALSE)*$D$79*$A92/8760/1000*INDEX('Bulb Weighting'!$B$2:$C$17,MATCH(RIGHT('SC-New'!$D55,LEN($D92)-7),'Bulb Weighting'!$B$3:$B$17,0)+1,2)</f>
        <v>3.2020327578763021</v>
      </c>
      <c r="W92" s="37">
        <f>VLOOKUP($C92,$D$60:$Z$63,W$32,FALSE)*$D$79*$A92/8760/1000*INDEX('Bulb Weighting'!$B$2:$C$17,MATCH(RIGHT('SC-New'!$D55,LEN($D92)-7),'Bulb Weighting'!$B$3:$B$17,0)+1,2)</f>
        <v>3.1989044378292393</v>
      </c>
      <c r="X92" s="37">
        <f>VLOOKUP($C92,$D$60:$Z$63,X$32,FALSE)*$D$79*$A92/8760/1000*INDEX('Bulb Weighting'!$B$2:$C$17,MATCH(RIGHT('SC-New'!$D55,LEN($D92)-7),'Bulb Weighting'!$B$3:$B$17,0)+1,2)</f>
        <v>3.1932712552174061</v>
      </c>
      <c r="Y92" s="32">
        <f>(VLOOKUP($C92,$D$43:$Z$46,$X$68+3,FALSE)+VLOOKUP($C92,$D$51:$Z$54,$X$68+3,FALSE))*$A92*$D$79/8760/1000*INDEX('Bulb Weighting'!$B$2:$C$17,MATCH(RIGHT('SC-New'!$D55,LEN($D92)-7),'Bulb Weighting'!$B$3:$B$17,0)+1,2)</f>
        <v>27.333324879710307</v>
      </c>
      <c r="Z92" s="32"/>
      <c r="AA92" s="32">
        <f t="shared" si="32"/>
        <v>52.119260178707684</v>
      </c>
      <c r="AB92" s="37"/>
      <c r="AC92" s="84"/>
    </row>
    <row r="93" spans="1:29" customFormat="1">
      <c r="A93" s="89">
        <f t="shared" si="28"/>
        <v>50.673589083344737</v>
      </c>
      <c r="B93" s="71">
        <f t="shared" si="29"/>
        <v>-6.4266835469852737</v>
      </c>
      <c r="C93" s="1" t="s">
        <v>29</v>
      </c>
      <c r="D93" t="s">
        <v>758</v>
      </c>
      <c r="E93" s="37">
        <f>VLOOKUP($C93,$D$60:$Z$63,E$32,FALSE)*$D$79*$A93/8760/1000*INDEX('Bulb Weighting'!$B$2:$C$17,MATCH(RIGHT('SC-New'!$D56,LEN($D93)-7),'Bulb Weighting'!$B$3:$B$17,0)+1,2)</f>
        <v>0</v>
      </c>
      <c r="F93" s="37">
        <f>VLOOKUP($C93,$D$60:$Z$63,F$32,FALSE)*$D$79*$A93/8760/1000*INDEX('Bulb Weighting'!$B$2:$C$17,MATCH(RIGHT('SC-New'!$D56,LEN($D93)-7),'Bulb Weighting'!$B$3:$B$17,0)+1,2)</f>
        <v>1.1273648477367454E-2</v>
      </c>
      <c r="G93" s="37">
        <f>VLOOKUP($C93,$D$60:$Z$63,G$32,FALSE)*$D$79*$A93/8760/1000*INDEX('Bulb Weighting'!$B$2:$C$17,MATCH(RIGHT('SC-New'!$D56,LEN($D93)-7),'Bulb Weighting'!$B$3:$B$17,0)+1,2)</f>
        <v>1.4456798313252377E-2</v>
      </c>
      <c r="H93" s="37">
        <f>VLOOKUP($C93,$D$60:$Z$63,H$32,FALSE)*$D$79*$A93/8760/1000*INDEX('Bulb Weighting'!$B$2:$C$17,MATCH(RIGHT('SC-New'!$D56,LEN($D93)-7),'Bulb Weighting'!$B$3:$B$17,0)+1,2)</f>
        <v>1.6917272333200638E-2</v>
      </c>
      <c r="I93" s="37">
        <f>VLOOKUP($C93,$D$60:$Z$63,I$32,FALSE)*$D$79*$A93/8760/1000*INDEX('Bulb Weighting'!$B$2:$C$17,MATCH(RIGHT('SC-New'!$D56,LEN($D93)-7),'Bulb Weighting'!$B$3:$B$17,0)+1,2)</f>
        <v>1.9058405325816926E-2</v>
      </c>
      <c r="J93" s="37">
        <f>VLOOKUP($C93,$D$60:$Z$63,J$32,FALSE)*$D$79*$A93/8760/1000*INDEX('Bulb Weighting'!$B$2:$C$17,MATCH(RIGHT('SC-New'!$D56,LEN($D93)-7),'Bulb Weighting'!$B$3:$B$17,0)+1,2)</f>
        <v>2.0896882870358909E-2</v>
      </c>
      <c r="K93" s="37">
        <f>VLOOKUP($C93,$D$60:$Z$63,K$32,FALSE)*$D$79*$A93/8760/1000*INDEX('Bulb Weighting'!$B$2:$C$17,MATCH(RIGHT('SC-New'!$D56,LEN($D93)-7),'Bulb Weighting'!$B$3:$B$17,0)+1,2)</f>
        <v>2.2457833482953497E-2</v>
      </c>
      <c r="L93" s="37">
        <f>VLOOKUP($C93,$D$60:$Z$63,L$32,FALSE)*$D$79*$A93/8760/1000*INDEX('Bulb Weighting'!$B$2:$C$17,MATCH(RIGHT('SC-New'!$D56,LEN($D93)-7),'Bulb Weighting'!$B$3:$B$17,0)+1,2)</f>
        <v>2.377023407774647E-2</v>
      </c>
      <c r="M93" s="37">
        <f>VLOOKUP($C93,$D$60:$Z$63,M$32,FALSE)*$D$79*$A93/8760/1000*INDEX('Bulb Weighting'!$B$2:$C$17,MATCH(RIGHT('SC-New'!$D56,LEN($D93)-7),'Bulb Weighting'!$B$3:$B$17,0)+1,2)</f>
        <v>2.7861790212436104E-2</v>
      </c>
      <c r="N93" s="37">
        <f>VLOOKUP($C93,$D$60:$Z$63,N$32,FALSE)*$D$79*$A93/8760/1000*INDEX('Bulb Weighting'!$B$2:$C$17,MATCH(RIGHT('SC-New'!$D56,LEN($D93)-7),'Bulb Weighting'!$B$3:$B$17,0)+1,2)</f>
        <v>2.8263030518856501E-2</v>
      </c>
      <c r="O93" s="37">
        <f>VLOOKUP($C93,$D$60:$Z$63,O$32,FALSE)*$D$79*$A93/8760/1000*INDEX('Bulb Weighting'!$B$2:$C$17,MATCH(RIGHT('SC-New'!$D56,LEN($D93)-7),'Bulb Weighting'!$B$3:$B$17,0)+1,2)</f>
        <v>2.8620398783017146E-2</v>
      </c>
      <c r="P93" s="37">
        <f>VLOOKUP($C93,$D$60:$Z$63,P$32,FALSE)*$D$79*$A93/8760/1000*INDEX('Bulb Weighting'!$B$2:$C$17,MATCH(RIGHT('SC-New'!$D56,LEN($D93)-7),'Bulb Weighting'!$B$3:$B$17,0)+1,2)</f>
        <v>2.8908555952884735E-2</v>
      </c>
      <c r="Q93" s="37">
        <f>VLOOKUP($C93,$D$60:$Z$63,Q$32,FALSE)*$D$79*$A93/8760/1000*INDEX('Bulb Weighting'!$B$2:$C$17,MATCH(RIGHT('SC-New'!$D56,LEN($D93)-7),'Bulb Weighting'!$B$3:$B$17,0)+1,2)</f>
        <v>2.9093516656360858E-2</v>
      </c>
      <c r="R93" s="37">
        <f>VLOOKUP($C93,$D$60:$Z$63,R$32,FALSE)*$D$79*$A93/8760/1000*INDEX('Bulb Weighting'!$B$2:$C$17,MATCH(RIGHT('SC-New'!$D56,LEN($D93)-7),'Bulb Weighting'!$B$3:$B$17,0)+1,2)</f>
        <v>2.9168518972931937E-2</v>
      </c>
      <c r="S93" s="37">
        <f>VLOOKUP($C93,$D$60:$Z$63,S$32,FALSE)*$D$79*$A93/8760/1000*INDEX('Bulb Weighting'!$B$2:$C$17,MATCH(RIGHT('SC-New'!$D56,LEN($D93)-7),'Bulb Weighting'!$B$3:$B$17,0)+1,2)</f>
        <v>2.9218822068939245E-2</v>
      </c>
      <c r="T93" s="37">
        <f>VLOOKUP($C93,$D$60:$Z$63,T$32,FALSE)*$D$79*$A93/8760/1000*INDEX('Bulb Weighting'!$B$2:$C$17,MATCH(RIGHT('SC-New'!$D56,LEN($D93)-7),'Bulb Weighting'!$B$3:$B$17,0)+1,2)</f>
        <v>2.9254307007159416E-2</v>
      </c>
      <c r="U93" s="37">
        <f>VLOOKUP($C93,$D$60:$Z$63,U$32,FALSE)*$D$79*$A93/8760/1000*INDEX('Bulb Weighting'!$B$2:$C$17,MATCH(RIGHT('SC-New'!$D56,LEN($D93)-7),'Bulb Weighting'!$B$3:$B$17,0)+1,2)</f>
        <v>2.9251639174718604E-2</v>
      </c>
      <c r="V93" s="37">
        <f>VLOOKUP($C93,$D$60:$Z$63,V$32,FALSE)*$D$79*$A93/8760/1000*INDEX('Bulb Weighting'!$B$2:$C$17,MATCH(RIGHT('SC-New'!$D56,LEN($D93)-7),'Bulb Weighting'!$B$3:$B$17,0)+1,2)</f>
        <v>2.92509688243771E-2</v>
      </c>
      <c r="W93" s="37">
        <f>VLOOKUP($C93,$D$60:$Z$63,W$32,FALSE)*$D$79*$A93/8760/1000*INDEX('Bulb Weighting'!$B$2:$C$17,MATCH(RIGHT('SC-New'!$D56,LEN($D93)-7),'Bulb Weighting'!$B$3:$B$17,0)+1,2)</f>
        <v>2.9222391230364599E-2</v>
      </c>
      <c r="X93" s="37">
        <f>VLOOKUP($C93,$D$60:$Z$63,X$32,FALSE)*$D$79*$A93/8760/1000*INDEX('Bulb Weighting'!$B$2:$C$17,MATCH(RIGHT('SC-New'!$D56,LEN($D93)-7),'Bulb Weighting'!$B$3:$B$17,0)+1,2)</f>
        <v>2.9170931404241502E-2</v>
      </c>
      <c r="Y93" s="32">
        <f>(VLOOKUP($C93,$D$43:$Z$46,$X$68+3,FALSE)+VLOOKUP($C93,$D$51:$Z$54,$X$68+3,FALSE))*$A93*$D$79/8760/1000*INDEX('Bulb Weighting'!$B$2:$C$17,MATCH(RIGHT('SC-New'!$D56,LEN($D93)-7),'Bulb Weighting'!$B$3:$B$17,0)+1,2)</f>
        <v>0.24969333369757601</v>
      </c>
      <c r="Z93" s="32"/>
      <c r="AA93" s="32">
        <f>SUM(E93:X93)</f>
        <v>0.47611594568698401</v>
      </c>
      <c r="AB93" s="37"/>
      <c r="AC93" s="84"/>
    </row>
    <row r="94" spans="1:29" customFormat="1">
      <c r="A94" s="89">
        <f t="shared" si="28"/>
        <v>54.583633546821666</v>
      </c>
      <c r="B94" s="71">
        <f t="shared" si="29"/>
        <v>-12.334283459818346</v>
      </c>
      <c r="C94" s="1" t="s">
        <v>29</v>
      </c>
      <c r="D94" t="s">
        <v>759</v>
      </c>
      <c r="E94" s="37">
        <f>VLOOKUP($C94,$D$60:$Z$63,E$32,FALSE)*$D$79*$A94/8760/1000*INDEX('Bulb Weighting'!$B$2:$C$17,MATCH(RIGHT('SC-New'!$D57,LEN($D94)-7),'Bulb Weighting'!$B$3:$B$17,0)+1,2)</f>
        <v>0</v>
      </c>
      <c r="F94" s="37">
        <f>VLOOKUP($C94,$D$60:$Z$63,F$32,FALSE)*$D$79*$A94/8760/1000*INDEX('Bulb Weighting'!$B$2:$C$17,MATCH(RIGHT('SC-New'!$D57,LEN($D94)-7),'Bulb Weighting'!$B$3:$B$17,0)+1,2)</f>
        <v>0.14989280961554069</v>
      </c>
      <c r="G94" s="37">
        <f>VLOOKUP($C94,$D$60:$Z$63,G$32,FALSE)*$D$79*$A94/8760/1000*INDEX('Bulb Weighting'!$B$2:$C$17,MATCH(RIGHT('SC-New'!$D57,LEN($D94)-7),'Bulb Weighting'!$B$3:$B$17,0)+1,2)</f>
        <v>0.19221551226907024</v>
      </c>
      <c r="H94" s="37">
        <f>VLOOKUP($C94,$D$60:$Z$63,H$32,FALSE)*$D$79*$A94/8760/1000*INDEX('Bulb Weighting'!$B$2:$C$17,MATCH(RIGHT('SC-New'!$D57,LEN($D94)-7),'Bulb Weighting'!$B$3:$B$17,0)+1,2)</f>
        <v>0.22492962115551388</v>
      </c>
      <c r="I94" s="37">
        <f>VLOOKUP($C94,$D$60:$Z$63,I$32,FALSE)*$D$79*$A94/8760/1000*INDEX('Bulb Weighting'!$B$2:$C$17,MATCH(RIGHT('SC-New'!$D57,LEN($D94)-7),'Bulb Weighting'!$B$3:$B$17,0)+1,2)</f>
        <v>0.25339781764648073</v>
      </c>
      <c r="J94" s="37">
        <f>VLOOKUP($C94,$D$60:$Z$63,J$32,FALSE)*$D$79*$A94/8760/1000*INDEX('Bulb Weighting'!$B$2:$C$17,MATCH(RIGHT('SC-New'!$D57,LEN($D94)-7),'Bulb Weighting'!$B$3:$B$17,0)+1,2)</f>
        <v>0.277841950805299</v>
      </c>
      <c r="K94" s="37">
        <f>VLOOKUP($C94,$D$60:$Z$63,K$32,FALSE)*$D$79*$A94/8760/1000*INDEX('Bulb Weighting'!$B$2:$C$17,MATCH(RIGHT('SC-New'!$D57,LEN($D94)-7),'Bulb Weighting'!$B$3:$B$17,0)+1,2)</f>
        <v>0.2985961257702735</v>
      </c>
      <c r="L94" s="37">
        <f>VLOOKUP($C94,$D$60:$Z$63,L$32,FALSE)*$D$79*$A94/8760/1000*INDEX('Bulb Weighting'!$B$2:$C$17,MATCH(RIGHT('SC-New'!$D57,LEN($D94)-7),'Bulb Weighting'!$B$3:$B$17,0)+1,2)</f>
        <v>0.316045615426577</v>
      </c>
      <c r="M94" s="37">
        <f>VLOOKUP($C94,$D$60:$Z$63,M$32,FALSE)*$D$79*$A94/8760/1000*INDEX('Bulb Weighting'!$B$2:$C$17,MATCH(RIGHT('SC-New'!$D57,LEN($D94)-7),'Bulb Weighting'!$B$3:$B$17,0)+1,2)</f>
        <v>0.3704463576494304</v>
      </c>
      <c r="N94" s="37">
        <f>VLOOKUP($C94,$D$60:$Z$63,N$32,FALSE)*$D$79*$A94/8760/1000*INDEX('Bulb Weighting'!$B$2:$C$17,MATCH(RIGHT('SC-New'!$D57,LEN($D94)-7),'Bulb Weighting'!$B$3:$B$17,0)+1,2)</f>
        <v>0.3757811910869901</v>
      </c>
      <c r="O94" s="37">
        <f>VLOOKUP($C94,$D$60:$Z$63,O$32,FALSE)*$D$79*$A94/8760/1000*INDEX('Bulb Weighting'!$B$2:$C$17,MATCH(RIGHT('SC-New'!$D57,LEN($D94)-7),'Bulb Weighting'!$B$3:$B$17,0)+1,2)</f>
        <v>0.38053270815708556</v>
      </c>
      <c r="P94" s="37">
        <f>VLOOKUP($C94,$D$60:$Z$63,P$32,FALSE)*$D$79*$A94/8760/1000*INDEX('Bulb Weighting'!$B$2:$C$17,MATCH(RIGHT('SC-New'!$D57,LEN($D94)-7),'Bulb Weighting'!$B$3:$B$17,0)+1,2)</f>
        <v>0.38436400446626429</v>
      </c>
      <c r="Q94" s="37">
        <f>VLOOKUP($C94,$D$60:$Z$63,Q$32,FALSE)*$D$79*$A94/8760/1000*INDEX('Bulb Weighting'!$B$2:$C$17,MATCH(RIGHT('SC-New'!$D57,LEN($D94)-7),'Bulb Weighting'!$B$3:$B$17,0)+1,2)</f>
        <v>0.38682321539235981</v>
      </c>
      <c r="R94" s="37">
        <f>VLOOKUP($C94,$D$60:$Z$63,R$32,FALSE)*$D$79*$A94/8760/1000*INDEX('Bulb Weighting'!$B$2:$C$17,MATCH(RIGHT('SC-New'!$D57,LEN($D94)-7),'Bulb Weighting'!$B$3:$B$17,0)+1,2)</f>
        <v>0.3878204354122215</v>
      </c>
      <c r="S94" s="37">
        <f>VLOOKUP($C94,$D$60:$Z$63,S$32,FALSE)*$D$79*$A94/8760/1000*INDEX('Bulb Weighting'!$B$2:$C$17,MATCH(RIGHT('SC-New'!$D57,LEN($D94)-7),'Bulb Weighting'!$B$3:$B$17,0)+1,2)</f>
        <v>0.3884892581458762</v>
      </c>
      <c r="T94" s="37">
        <f>VLOOKUP($C94,$D$60:$Z$63,T$32,FALSE)*$D$79*$A94/8760/1000*INDEX('Bulb Weighting'!$B$2:$C$17,MATCH(RIGHT('SC-New'!$D57,LEN($D94)-7),'Bulb Weighting'!$B$3:$B$17,0)+1,2)</f>
        <v>0.38896106078364107</v>
      </c>
      <c r="U94" s="37">
        <f>VLOOKUP($C94,$D$60:$Z$63,U$32,FALSE)*$D$79*$A94/8760/1000*INDEX('Bulb Weighting'!$B$2:$C$17,MATCH(RIGHT('SC-New'!$D57,LEN($D94)-7),'Bulb Weighting'!$B$3:$B$17,0)+1,2)</f>
        <v>0.38892558966699764</v>
      </c>
      <c r="V94" s="37">
        <f>VLOOKUP($C94,$D$60:$Z$63,V$32,FALSE)*$D$79*$A94/8760/1000*INDEX('Bulb Weighting'!$B$2:$C$17,MATCH(RIGHT('SC-New'!$D57,LEN($D94)-7),'Bulb Weighting'!$B$3:$B$17,0)+1,2)</f>
        <v>0.38891667678521702</v>
      </c>
      <c r="W94" s="37">
        <f>VLOOKUP($C94,$D$60:$Z$63,W$32,FALSE)*$D$79*$A94/8760/1000*INDEX('Bulb Weighting'!$B$2:$C$17,MATCH(RIGHT('SC-New'!$D57,LEN($D94)-7),'Bulb Weighting'!$B$3:$B$17,0)+1,2)</f>
        <v>0.38853671320313582</v>
      </c>
      <c r="X94" s="37">
        <f>VLOOKUP($C94,$D$60:$Z$63,X$32,FALSE)*$D$79*$A94/8760/1000*INDEX('Bulb Weighting'!$B$2:$C$17,MATCH(RIGHT('SC-New'!$D57,LEN($D94)-7),'Bulb Weighting'!$B$3:$B$17,0)+1,2)</f>
        <v>0.38785251075213661</v>
      </c>
      <c r="Y94" s="32">
        <f>(VLOOKUP($C94,$D$43:$Z$46,$X$68+3,FALSE)+VLOOKUP($C94,$D$51:$Z$54,$X$68+3,FALSE))*$A94*$D$79/8760/1000*INDEX('Bulb Weighting'!$B$2:$C$17,MATCH(RIGHT('SC-New'!$D57,LEN($D94)-7),'Bulb Weighting'!$B$3:$B$17,0)+1,2)</f>
        <v>3.319886672476787</v>
      </c>
      <c r="Z94" s="32"/>
      <c r="AA94" s="32">
        <f t="shared" ref="AA94:AA96" si="33">SUM(E94:X94)</f>
        <v>6.3303691741901114</v>
      </c>
      <c r="AB94" s="37"/>
      <c r="AC94" s="84"/>
    </row>
    <row r="95" spans="1:29" customFormat="1">
      <c r="A95" s="89">
        <f t="shared" si="28"/>
        <v>48.844129164687544</v>
      </c>
      <c r="B95" s="71">
        <f t="shared" si="29"/>
        <v>-29.993229849727555</v>
      </c>
      <c r="C95" s="1" t="s">
        <v>29</v>
      </c>
      <c r="D95" t="s">
        <v>760</v>
      </c>
      <c r="E95" s="37">
        <f>VLOOKUP($C95,$D$60:$Z$63,E$32,FALSE)*$D$79*$A95/8760/1000*INDEX('Bulb Weighting'!$B$2:$C$17,MATCH(RIGHT('SC-New'!$D58,LEN($D95)-7),'Bulb Weighting'!$B$3:$B$17,0)+1,2)</f>
        <v>0</v>
      </c>
      <c r="F95" s="37">
        <f>VLOOKUP($C95,$D$60:$Z$63,F$32,FALSE)*$D$79*$A95/8760/1000*INDEX('Bulb Weighting'!$B$2:$C$17,MATCH(RIGHT('SC-New'!$D58,LEN($D95)-7),'Bulb Weighting'!$B$3:$B$17,0)+1,2)</f>
        <v>0.51867203548669216</v>
      </c>
      <c r="G95" s="37">
        <f>VLOOKUP($C95,$D$60:$Z$63,G$32,FALSE)*$D$79*$A95/8760/1000*INDEX('Bulb Weighting'!$B$2:$C$17,MATCH(RIGHT('SC-New'!$D58,LEN($D95)-7),'Bulb Weighting'!$B$3:$B$17,0)+1,2)</f>
        <v>0.66512070363099962</v>
      </c>
      <c r="H95" s="37">
        <f>VLOOKUP($C95,$D$60:$Z$63,H$32,FALSE)*$D$79*$A95/8760/1000*INDEX('Bulb Weighting'!$B$2:$C$17,MATCH(RIGHT('SC-New'!$D58,LEN($D95)-7),'Bulb Weighting'!$B$3:$B$17,0)+1,2)</f>
        <v>0.77832088640685049</v>
      </c>
      <c r="I95" s="37">
        <f>VLOOKUP($C95,$D$60:$Z$63,I$32,FALSE)*$D$79*$A95/8760/1000*INDEX('Bulb Weighting'!$B$2:$C$17,MATCH(RIGHT('SC-New'!$D58,LEN($D95)-7),'Bulb Weighting'!$B$3:$B$17,0)+1,2)</f>
        <v>0.87682899669230874</v>
      </c>
      <c r="J95" s="37">
        <f>VLOOKUP($C95,$D$60:$Z$63,J$32,FALSE)*$D$79*$A95/8760/1000*INDEX('Bulb Weighting'!$B$2:$C$17,MATCH(RIGHT('SC-New'!$D58,LEN($D95)-7),'Bulb Weighting'!$B$3:$B$17,0)+1,2)</f>
        <v>0.96141269576173694</v>
      </c>
      <c r="K95" s="37">
        <f>VLOOKUP($C95,$D$60:$Z$63,K$32,FALSE)*$D$79*$A95/8760/1000*INDEX('Bulb Weighting'!$B$2:$C$17,MATCH(RIGHT('SC-New'!$D58,LEN($D95)-7),'Bulb Weighting'!$B$3:$B$17,0)+1,2)</f>
        <v>1.0332280830477607</v>
      </c>
      <c r="L95" s="37">
        <f>VLOOKUP($C95,$D$60:$Z$63,L$32,FALSE)*$D$79*$A95/8760/1000*INDEX('Bulb Weighting'!$B$2:$C$17,MATCH(RIGHT('SC-New'!$D58,LEN($D95)-7),'Bulb Weighting'!$B$3:$B$17,0)+1,2)</f>
        <v>1.0936083130364616</v>
      </c>
      <c r="M95" s="37">
        <f>VLOOKUP($C95,$D$60:$Z$63,M$32,FALSE)*$D$79*$A95/8760/1000*INDEX('Bulb Weighting'!$B$2:$C$17,MATCH(RIGHT('SC-New'!$D58,LEN($D95)-7),'Bulb Weighting'!$B$3:$B$17,0)+1,2)</f>
        <v>1.2818504560257464</v>
      </c>
      <c r="N95" s="37">
        <f>VLOOKUP($C95,$D$60:$Z$63,N$32,FALSE)*$D$79*$A95/8760/1000*INDEX('Bulb Weighting'!$B$2:$C$17,MATCH(RIGHT('SC-New'!$D58,LEN($D95)-7),'Bulb Weighting'!$B$3:$B$17,0)+1,2)</f>
        <v>1.3003105070791539</v>
      </c>
      <c r="O95" s="37">
        <f>VLOOKUP($C95,$D$60:$Z$63,O$32,FALSE)*$D$79*$A95/8760/1000*INDEX('Bulb Weighting'!$B$2:$C$17,MATCH(RIGHT('SC-New'!$D58,LEN($D95)-7),'Bulb Weighting'!$B$3:$B$17,0)+1,2)</f>
        <v>1.3167521164980263</v>
      </c>
      <c r="P95" s="37">
        <f>VLOOKUP($C95,$D$60:$Z$63,P$32,FALSE)*$D$79*$A95/8760/1000*INDEX('Bulb Weighting'!$B$2:$C$17,MATCH(RIGHT('SC-New'!$D58,LEN($D95)-7),'Bulb Weighting'!$B$3:$B$17,0)+1,2)</f>
        <v>1.3300094986255033</v>
      </c>
      <c r="Q95" s="37">
        <f>VLOOKUP($C95,$D$60:$Z$63,Q$32,FALSE)*$D$79*$A95/8760/1000*INDEX('Bulb Weighting'!$B$2:$C$17,MATCH(RIGHT('SC-New'!$D58,LEN($D95)-7),'Bulb Weighting'!$B$3:$B$17,0)+1,2)</f>
        <v>1.3385190725003322</v>
      </c>
      <c r="R95" s="37">
        <f>VLOOKUP($C95,$D$60:$Z$63,R$32,FALSE)*$D$79*$A95/8760/1000*INDEX('Bulb Weighting'!$B$2:$C$17,MATCH(RIGHT('SC-New'!$D58,LEN($D95)-7),'Bulb Weighting'!$B$3:$B$17,0)+1,2)</f>
        <v>1.3419697392725169</v>
      </c>
      <c r="S95" s="37">
        <f>VLOOKUP($C95,$D$60:$Z$63,S$32,FALSE)*$D$79*$A95/8760/1000*INDEX('Bulb Weighting'!$B$2:$C$17,MATCH(RIGHT('SC-New'!$D58,LEN($D95)-7),'Bulb Weighting'!$B$3:$B$17,0)+1,2)</f>
        <v>1.344284057414489</v>
      </c>
      <c r="T95" s="37">
        <f>VLOOKUP($C95,$D$60:$Z$63,T$32,FALSE)*$D$79*$A95/8760/1000*INDEX('Bulb Weighting'!$B$2:$C$17,MATCH(RIGHT('SC-New'!$D58,LEN($D95)-7),'Bulb Weighting'!$B$3:$B$17,0)+1,2)</f>
        <v>1.3459166296179534</v>
      </c>
      <c r="U95" s="37">
        <f>VLOOKUP($C95,$D$60:$Z$63,U$32,FALSE)*$D$79*$A95/8760/1000*INDEX('Bulb Weighting'!$B$2:$C$17,MATCH(RIGHT('SC-New'!$D58,LEN($D95)-7),'Bulb Weighting'!$B$3:$B$17,0)+1,2)</f>
        <v>1.3457938893990089</v>
      </c>
      <c r="V95" s="37">
        <f>VLOOKUP($C95,$D$60:$Z$63,V$32,FALSE)*$D$79*$A95/8760/1000*INDEX('Bulb Weighting'!$B$2:$C$17,MATCH(RIGHT('SC-New'!$D58,LEN($D95)-7),'Bulb Weighting'!$B$3:$B$17,0)+1,2)</f>
        <v>1.3457630482762957</v>
      </c>
      <c r="W95" s="37">
        <f>VLOOKUP($C95,$D$60:$Z$63,W$32,FALSE)*$D$79*$A95/8760/1000*INDEX('Bulb Weighting'!$B$2:$C$17,MATCH(RIGHT('SC-New'!$D58,LEN($D95)-7),'Bulb Weighting'!$B$3:$B$17,0)+1,2)</f>
        <v>1.3444482654989602</v>
      </c>
      <c r="X95" s="37">
        <f>VLOOKUP($C95,$D$60:$Z$63,X$32,FALSE)*$D$79*$A95/8760/1000*INDEX('Bulb Weighting'!$B$2:$C$17,MATCH(RIGHT('SC-New'!$D58,LEN($D95)-7),'Bulb Weighting'!$B$3:$B$17,0)+1,2)</f>
        <v>1.3420807291317727</v>
      </c>
      <c r="Y95" s="32">
        <f>(VLOOKUP($C95,$D$43:$Z$46,$X$68+3,FALSE)+VLOOKUP($C95,$D$51:$Z$54,$X$68+3,FALSE))*$A95*$D$79/8760/1000*INDEX('Bulb Weighting'!$B$2:$C$17,MATCH(RIGHT('SC-New'!$D58,LEN($D95)-7),'Bulb Weighting'!$B$3:$B$17,0)+1,2)</f>
        <v>11.487758368231615</v>
      </c>
      <c r="Z95" s="32"/>
      <c r="AA95" s="32">
        <f t="shared" si="33"/>
        <v>21.904889723402572</v>
      </c>
      <c r="AB95" s="37"/>
      <c r="AC95" s="84"/>
    </row>
    <row r="96" spans="1:29" customFormat="1">
      <c r="A96" s="89">
        <f t="shared" si="28"/>
        <v>20.131003317263307</v>
      </c>
      <c r="B96" s="71">
        <f t="shared" si="29"/>
        <v>-21.262756278752239</v>
      </c>
      <c r="C96" s="1" t="str">
        <f>C14</f>
        <v>Multifamily - Low Rise</v>
      </c>
      <c r="D96" t="s">
        <v>746</v>
      </c>
      <c r="E96" s="37">
        <f>VLOOKUP($C96,$D$60:$Z$63,E$32,FALSE)*$D$79*$A96/8760/1000*INDEX('Bulb Weighting'!$B$2:$C$17,MATCH(RIGHT('SC-New'!$D59,LEN($D96)-7),'Bulb Weighting'!$B$3:$B$17,0)+1,2)</f>
        <v>0</v>
      </c>
      <c r="F96" s="37">
        <f>VLOOKUP($C96,$D$60:$Z$63,F$32,FALSE)*$D$79*$A96/8760/1000*INDEX('Bulb Weighting'!$B$2:$C$17,MATCH(RIGHT('SC-New'!$D59,LEN($D96)-7),'Bulb Weighting'!$B$3:$B$17,0)+1,2)</f>
        <v>0.15832266379677576</v>
      </c>
      <c r="G96" s="37">
        <f>VLOOKUP($C96,$D$60:$Z$63,G$32,FALSE)*$D$79*$A96/8760/1000*INDEX('Bulb Weighting'!$B$2:$C$17,MATCH(RIGHT('SC-New'!$D59,LEN($D96)-7),'Bulb Weighting'!$B$3:$B$17,0)+1,2)</f>
        <v>0.2030255546612485</v>
      </c>
      <c r="H96" s="37">
        <f>VLOOKUP($C96,$D$60:$Z$63,H$32,FALSE)*$D$79*$A96/8760/1000*INDEX('Bulb Weighting'!$B$2:$C$17,MATCH(RIGHT('SC-New'!$D59,LEN($D96)-7),'Bulb Weighting'!$B$3:$B$17,0)+1,2)</f>
        <v>0.23757946944410044</v>
      </c>
      <c r="I96" s="37">
        <f>VLOOKUP($C96,$D$60:$Z$63,I$32,FALSE)*$D$79*$A96/8760/1000*INDEX('Bulb Weighting'!$B$2:$C$17,MATCH(RIGHT('SC-New'!$D59,LEN($D96)-7),'Bulb Weighting'!$B$3:$B$17,0)+1,2)</f>
        <v>0.26764868300827149</v>
      </c>
      <c r="J96" s="37">
        <f>VLOOKUP($C96,$D$60:$Z$63,J$32,FALSE)*$D$79*$A96/8760/1000*INDEX('Bulb Weighting'!$B$2:$C$17,MATCH(RIGHT('SC-New'!$D59,LEN($D96)-7),'Bulb Weighting'!$B$3:$B$17,0)+1,2)</f>
        <v>0.29346752149262256</v>
      </c>
      <c r="K96" s="37">
        <f>VLOOKUP($C96,$D$60:$Z$63,K$32,FALSE)*$D$79*$A96/8760/1000*INDEX('Bulb Weighting'!$B$2:$C$17,MATCH(RIGHT('SC-New'!$D59,LEN($D96)-7),'Bulb Weighting'!$B$3:$B$17,0)+1,2)</f>
        <v>0.31538888024871098</v>
      </c>
      <c r="L96" s="37">
        <f>VLOOKUP($C96,$D$60:$Z$63,L$32,FALSE)*$D$79*$A96/8760/1000*INDEX('Bulb Weighting'!$B$2:$C$17,MATCH(RIGHT('SC-New'!$D59,LEN($D96)-7),'Bulb Weighting'!$B$3:$B$17,0)+1,2)</f>
        <v>0.33381969994544008</v>
      </c>
      <c r="M96" s="37">
        <f>VLOOKUP($C96,$D$60:$Z$63,M$32,FALSE)*$D$79*$A96/8760/1000*INDEX('Bulb Weighting'!$B$2:$C$17,MATCH(RIGHT('SC-New'!$D59,LEN($D96)-7),'Bulb Weighting'!$B$3:$B$17,0)+1,2)</f>
        <v>0.40723533155586966</v>
      </c>
      <c r="N96" s="37">
        <f>VLOOKUP($C96,$D$60:$Z$63,N$32,FALSE)*$D$79*$A96/8760/1000*INDEX('Bulb Weighting'!$B$2:$C$17,MATCH(RIGHT('SC-New'!$D59,LEN($D96)-7),'Bulb Weighting'!$B$3:$B$17,0)+1,2)</f>
        <v>0.41181933549193739</v>
      </c>
      <c r="O96" s="37">
        <f>VLOOKUP($C96,$D$60:$Z$63,O$32,FALSE)*$D$79*$A96/8760/1000*INDEX('Bulb Weighting'!$B$2:$C$17,MATCH(RIGHT('SC-New'!$D59,LEN($D96)-7),'Bulb Weighting'!$B$3:$B$17,0)+1,2)</f>
        <v>0.41647350432286306</v>
      </c>
      <c r="P96" s="37">
        <f>VLOOKUP($C96,$D$60:$Z$63,P$32,FALSE)*$D$79*$A96/8760/1000*INDEX('Bulb Weighting'!$B$2:$C$17,MATCH(RIGHT('SC-New'!$D59,LEN($D96)-7),'Bulb Weighting'!$B$3:$B$17,0)+1,2)</f>
        <v>0.41866936137679206</v>
      </c>
      <c r="Q96" s="37">
        <f>VLOOKUP($C96,$D$60:$Z$63,Q$32,FALSE)*$D$79*$A96/8760/1000*INDEX('Bulb Weighting'!$B$2:$C$17,MATCH(RIGHT('SC-New'!$D59,LEN($D96)-7),'Bulb Weighting'!$B$3:$B$17,0)+1,2)</f>
        <v>0.41858260358209637</v>
      </c>
      <c r="R96" s="37">
        <f>VLOOKUP($C96,$D$60:$Z$63,R$32,FALSE)*$D$79*$A96/8760/1000*INDEX('Bulb Weighting'!$B$2:$C$17,MATCH(RIGHT('SC-New'!$D59,LEN($D96)-7),'Bulb Weighting'!$B$3:$B$17,0)+1,2)</f>
        <v>0.41847963024451551</v>
      </c>
      <c r="S96" s="37">
        <f>VLOOKUP($C96,$D$60:$Z$63,S$32,FALSE)*$D$79*$A96/8760/1000*INDEX('Bulb Weighting'!$B$2:$C$17,MATCH(RIGHT('SC-New'!$D59,LEN($D96)-7),'Bulb Weighting'!$B$3:$B$17,0)+1,2)</f>
        <v>0.41850180256207786</v>
      </c>
      <c r="T96" s="37">
        <f>VLOOKUP($C96,$D$60:$Z$63,T$32,FALSE)*$D$79*$A96/8760/1000*INDEX('Bulb Weighting'!$B$2:$C$17,MATCH(RIGHT('SC-New'!$D59,LEN($D96)-7),'Bulb Weighting'!$B$3:$B$17,0)+1,2)</f>
        <v>0.41864441254809892</v>
      </c>
      <c r="U96" s="37">
        <f>VLOOKUP($C96,$D$60:$Z$63,U$32,FALSE)*$D$79*$A96/8760/1000*INDEX('Bulb Weighting'!$B$2:$C$17,MATCH(RIGHT('SC-New'!$D59,LEN($D96)-7),'Bulb Weighting'!$B$3:$B$17,0)+1,2)</f>
        <v>0.4184698102318713</v>
      </c>
      <c r="V96" s="37">
        <f>VLOOKUP($C96,$D$60:$Z$63,V$32,FALSE)*$D$79*$A96/8760/1000*INDEX('Bulb Weighting'!$B$2:$C$17,MATCH(RIGHT('SC-New'!$D59,LEN($D96)-7),'Bulb Weighting'!$B$3:$B$17,0)+1,2)</f>
        <v>0.41804486996191792</v>
      </c>
      <c r="W96" s="37">
        <f>VLOOKUP($C96,$D$60:$Z$63,W$32,FALSE)*$D$79*$A96/8760/1000*INDEX('Bulb Weighting'!$B$2:$C$17,MATCH(RIGHT('SC-New'!$D59,LEN($D96)-7),'Bulb Weighting'!$B$3:$B$17,0)+1,2)</f>
        <v>0.4170073868206472</v>
      </c>
      <c r="X96" s="37">
        <f>VLOOKUP($C96,$D$60:$Z$63,X$32,FALSE)*$D$79*$A96/8760/1000*INDEX('Bulb Weighting'!$B$2:$C$17,MATCH(RIGHT('SC-New'!$D59,LEN($D96)-7),'Bulb Weighting'!$B$3:$B$17,0)+1,2)</f>
        <v>0.41592717320605954</v>
      </c>
      <c r="Y96" s="32">
        <f>(VLOOKUP($C96,$D$43:$Z$46,$X$68+3,FALSE)+VLOOKUP($C96,$D$51:$Z$54,$X$68+3,FALSE))*$A96*$D$79/8760/1000*INDEX('Bulb Weighting'!$B$2:$C$17,MATCH(RIGHT('SC-New'!$D59,LEN($D96)-7),'Bulb Weighting'!$B$3:$B$17,0)+1,2)</f>
        <v>3.6370782981452234</v>
      </c>
      <c r="Z96" s="32"/>
      <c r="AA96" s="32">
        <f t="shared" si="33"/>
        <v>6.8071076945019167</v>
      </c>
      <c r="AB96" s="37"/>
      <c r="AC96" s="84"/>
    </row>
    <row r="97" spans="1:29" customFormat="1">
      <c r="A97" s="89">
        <f t="shared" si="28"/>
        <v>15.166068390464758</v>
      </c>
      <c r="B97" s="71">
        <f t="shared" si="29"/>
        <v>-19.792953526125213</v>
      </c>
      <c r="C97" s="1" t="s">
        <v>32</v>
      </c>
      <c r="D97" t="s">
        <v>747</v>
      </c>
      <c r="E97" s="37">
        <f>VLOOKUP($C97,$D$60:$Z$63,E$32,FALSE)*$D$79*$A97/8760/1000*INDEX('Bulb Weighting'!$B$2:$C$17,MATCH(RIGHT('SC-New'!$D60,LEN($D97)-7),'Bulb Weighting'!$B$3:$B$17,0)+1,2)</f>
        <v>0</v>
      </c>
      <c r="F97" s="37">
        <f>VLOOKUP($C97,$D$60:$Z$63,F$32,FALSE)*$D$79*$A97/8760/1000*INDEX('Bulb Weighting'!$B$2:$C$17,MATCH(RIGHT('SC-New'!$D60,LEN($D97)-7),'Bulb Weighting'!$B$3:$B$17,0)+1,2)</f>
        <v>3.2713928299124874E-2</v>
      </c>
      <c r="G97" s="37">
        <f>VLOOKUP($C97,$D$60:$Z$63,G$32,FALSE)*$D$79*$A97/8760/1000*INDEX('Bulb Weighting'!$B$2:$C$17,MATCH(RIGHT('SC-New'!$D60,LEN($D97)-7),'Bulb Weighting'!$B$3:$B$17,0)+1,2)</f>
        <v>4.1950806528896968E-2</v>
      </c>
      <c r="H97" s="37">
        <f>VLOOKUP($C97,$D$60:$Z$63,H$32,FALSE)*$D$79*$A97/8760/1000*INDEX('Bulb Weighting'!$B$2:$C$17,MATCH(RIGHT('SC-New'!$D60,LEN($D97)-7),'Bulb Weighting'!$B$3:$B$17,0)+1,2)</f>
        <v>4.9090620018336945E-2</v>
      </c>
      <c r="I97" s="37">
        <f>VLOOKUP($C97,$D$60:$Z$63,I$32,FALSE)*$D$79*$A97/8760/1000*INDEX('Bulb Weighting'!$B$2:$C$17,MATCH(RIGHT('SC-New'!$D60,LEN($D97)-7),'Bulb Weighting'!$B$3:$B$17,0)+1,2)</f>
        <v>5.5303767731743461E-2</v>
      </c>
      <c r="J97" s="37">
        <f>VLOOKUP($C97,$D$60:$Z$63,J$32,FALSE)*$D$79*$A97/8760/1000*INDEX('Bulb Weighting'!$B$2:$C$17,MATCH(RIGHT('SC-New'!$D60,LEN($D97)-7),'Bulb Weighting'!$B$3:$B$17,0)+1,2)</f>
        <v>6.063866805926655E-2</v>
      </c>
      <c r="K97" s="37">
        <f>VLOOKUP($C97,$D$60:$Z$63,K$32,FALSE)*$D$79*$A97/8760/1000*INDEX('Bulb Weighting'!$B$2:$C$17,MATCH(RIGHT('SC-New'!$D60,LEN($D97)-7),'Bulb Weighting'!$B$3:$B$17,0)+1,2)</f>
        <v>6.5168239134994449E-2</v>
      </c>
      <c r="L97" s="37">
        <f>VLOOKUP($C97,$D$60:$Z$63,L$32,FALSE)*$D$79*$A97/8760/1000*INDEX('Bulb Weighting'!$B$2:$C$17,MATCH(RIGHT('SC-New'!$D60,LEN($D97)-7),'Bulb Weighting'!$B$3:$B$17,0)+1,2)</f>
        <v>6.8976566380087048E-2</v>
      </c>
      <c r="M97" s="37">
        <f>VLOOKUP($C97,$D$60:$Z$63,M$32,FALSE)*$D$79*$A97/8760/1000*INDEX('Bulb Weighting'!$B$2:$C$17,MATCH(RIGHT('SC-New'!$D60,LEN($D97)-7),'Bulb Weighting'!$B$3:$B$17,0)+1,2)</f>
        <v>8.4146306775697219E-2</v>
      </c>
      <c r="N97" s="37">
        <f>VLOOKUP($C97,$D$60:$Z$63,N$32,FALSE)*$D$79*$A97/8760/1000*INDEX('Bulb Weighting'!$B$2:$C$17,MATCH(RIGHT('SC-New'!$D60,LEN($D97)-7),'Bulb Weighting'!$B$3:$B$17,0)+1,2)</f>
        <v>8.5093491294269491E-2</v>
      </c>
      <c r="O97" s="37">
        <f>VLOOKUP($C97,$D$60:$Z$63,O$32,FALSE)*$D$79*$A97/8760/1000*INDEX('Bulb Weighting'!$B$2:$C$17,MATCH(RIGHT('SC-New'!$D60,LEN($D97)-7),'Bulb Weighting'!$B$3:$B$17,0)+1,2)</f>
        <v>8.6055173859327649E-2</v>
      </c>
      <c r="P97" s="37">
        <f>VLOOKUP($C97,$D$60:$Z$63,P$32,FALSE)*$D$79*$A97/8760/1000*INDEX('Bulb Weighting'!$B$2:$C$17,MATCH(RIGHT('SC-New'!$D60,LEN($D97)-7),'Bulb Weighting'!$B$3:$B$17,0)+1,2)</f>
        <v>8.6508899867308225E-2</v>
      </c>
      <c r="Q97" s="37">
        <f>VLOOKUP($C97,$D$60:$Z$63,Q$32,FALSE)*$D$79*$A97/8760/1000*INDEX('Bulb Weighting'!$B$2:$C$17,MATCH(RIGHT('SC-New'!$D60,LEN($D97)-7),'Bulb Weighting'!$B$3:$B$17,0)+1,2)</f>
        <v>8.6490973259664039E-2</v>
      </c>
      <c r="R97" s="37">
        <f>VLOOKUP($C97,$D$60:$Z$63,R$32,FALSE)*$D$79*$A97/8760/1000*INDEX('Bulb Weighting'!$B$2:$C$17,MATCH(RIGHT('SC-New'!$D60,LEN($D97)-7),'Bulb Weighting'!$B$3:$B$17,0)+1,2)</f>
        <v>8.6469696063452464E-2</v>
      </c>
      <c r="S97" s="37">
        <f>VLOOKUP($C97,$D$60:$Z$63,S$32,FALSE)*$D$79*$A97/8760/1000*INDEX('Bulb Weighting'!$B$2:$C$17,MATCH(RIGHT('SC-New'!$D60,LEN($D97)-7),'Bulb Weighting'!$B$3:$B$17,0)+1,2)</f>
        <v>8.6474277489696605E-2</v>
      </c>
      <c r="T97" s="37">
        <f>VLOOKUP($C97,$D$60:$Z$63,T$32,FALSE)*$D$79*$A97/8760/1000*INDEX('Bulb Weighting'!$B$2:$C$17,MATCH(RIGHT('SC-New'!$D60,LEN($D97)-7),'Bulb Weighting'!$B$3:$B$17,0)+1,2)</f>
        <v>8.6503744735544758E-2</v>
      </c>
      <c r="U97" s="37">
        <f>VLOOKUP($C97,$D$60:$Z$63,U$32,FALSE)*$D$79*$A97/8760/1000*INDEX('Bulb Weighting'!$B$2:$C$17,MATCH(RIGHT('SC-New'!$D60,LEN($D97)-7),'Bulb Weighting'!$B$3:$B$17,0)+1,2)</f>
        <v>8.6467666971837692E-2</v>
      </c>
      <c r="V97" s="37">
        <f>VLOOKUP($C97,$D$60:$Z$63,V$32,FALSE)*$D$79*$A97/8760/1000*INDEX('Bulb Weighting'!$B$2:$C$17,MATCH(RIGHT('SC-New'!$D60,LEN($D97)-7),'Bulb Weighting'!$B$3:$B$17,0)+1,2)</f>
        <v>8.6379862325368956E-2</v>
      </c>
      <c r="W97" s="37">
        <f>VLOOKUP($C97,$D$60:$Z$63,W$32,FALSE)*$D$79*$A97/8760/1000*INDEX('Bulb Weighting'!$B$2:$C$17,MATCH(RIGHT('SC-New'!$D60,LEN($D97)-7),'Bulb Weighting'!$B$3:$B$17,0)+1,2)</f>
        <v>8.6165489043103768E-2</v>
      </c>
      <c r="X97" s="37">
        <f>VLOOKUP($C97,$D$60:$Z$63,X$32,FALSE)*$D$79*$A97/8760/1000*INDEX('Bulb Weighting'!$B$2:$C$17,MATCH(RIGHT('SC-New'!$D60,LEN($D97)-7),'Bulb Weighting'!$B$3:$B$17,0)+1,2)</f>
        <v>8.594228643971201E-2</v>
      </c>
      <c r="Y97" s="32">
        <f>(VLOOKUP($C97,$D$43:$Z$46,$X$68+3,FALSE)+VLOOKUP($C97,$D$51:$Z$54,$X$68+3,FALSE))*$A97*$D$79/8760/1000*INDEX('Bulb Weighting'!$B$2:$C$17,MATCH(RIGHT('SC-New'!$D60,LEN($D97)-7),'Bulb Weighting'!$B$3:$B$17,0)+1,2)</f>
        <v>0.75152297094087339</v>
      </c>
      <c r="Z97" s="32"/>
      <c r="AA97" s="32">
        <f>SUM(E97:X97)</f>
        <v>1.4065404642774328</v>
      </c>
      <c r="AB97" s="37"/>
      <c r="AC97" s="84"/>
    </row>
    <row r="98" spans="1:29" customFormat="1">
      <c r="A98" s="89">
        <f t="shared" si="28"/>
        <v>7.5107020440195642</v>
      </c>
      <c r="B98" s="71">
        <f t="shared" si="29"/>
        <v>253.66864707291808</v>
      </c>
      <c r="C98" s="1" t="s">
        <v>32</v>
      </c>
      <c r="D98" t="s">
        <v>748</v>
      </c>
      <c r="E98" s="37">
        <f>VLOOKUP($C98,$D$60:$Z$63,E$32,FALSE)*$D$79*$A98/8760/1000*INDEX('Bulb Weighting'!$B$2:$C$17,MATCH(RIGHT('SC-New'!$D61,LEN($D98)-7),'Bulb Weighting'!$B$3:$B$17,0)+1,2)</f>
        <v>0</v>
      </c>
      <c r="F98" s="37">
        <f>VLOOKUP($C98,$D$60:$Z$63,F$32,FALSE)*$D$79*$A98/8760/1000*INDEX('Bulb Weighting'!$B$2:$C$17,MATCH(RIGHT('SC-New'!$D61,LEN($D98)-7),'Bulb Weighting'!$B$3:$B$17,0)+1,2)</f>
        <v>3.1829139844819057E-4</v>
      </c>
      <c r="G98" s="37">
        <f>VLOOKUP($C98,$D$60:$Z$63,G$32,FALSE)*$D$79*$A98/8760/1000*INDEX('Bulb Weighting'!$B$2:$C$17,MATCH(RIGHT('SC-New'!$D61,LEN($D98)-7),'Bulb Weighting'!$B$3:$B$17,0)+1,2)</f>
        <v>4.0816195334356391E-4</v>
      </c>
      <c r="H98" s="37">
        <f>VLOOKUP($C98,$D$60:$Z$63,H$32,FALSE)*$D$79*$A98/8760/1000*INDEX('Bulb Weighting'!$B$2:$C$17,MATCH(RIGHT('SC-New'!$D61,LEN($D98)-7),'Bulb Weighting'!$B$3:$B$17,0)+1,2)</f>
        <v>4.7762903780476868E-4</v>
      </c>
      <c r="I98" s="37">
        <f>VLOOKUP($C98,$D$60:$Z$63,I$32,FALSE)*$D$79*$A98/8760/1000*INDEX('Bulb Weighting'!$B$2:$C$17,MATCH(RIGHT('SC-New'!$D61,LEN($D98)-7),'Bulb Weighting'!$B$3:$B$17,0)+1,2)</f>
        <v>5.3808009266992959E-4</v>
      </c>
      <c r="J98" s="37">
        <f>VLOOKUP($C98,$D$60:$Z$63,J$32,FALSE)*$D$79*$A98/8760/1000*INDEX('Bulb Weighting'!$B$2:$C$17,MATCH(RIGHT('SC-New'!$D61,LEN($D98)-7),'Bulb Weighting'!$B$3:$B$17,0)+1,2)</f>
        <v>5.8998620649100986E-4</v>
      </c>
      <c r="K98" s="37">
        <f>VLOOKUP($C98,$D$60:$Z$63,K$32,FALSE)*$D$79*$A98/8760/1000*INDEX('Bulb Weighting'!$B$2:$C$17,MATCH(RIGHT('SC-New'!$D61,LEN($D98)-7),'Bulb Weighting'!$B$3:$B$17,0)+1,2)</f>
        <v>6.3405683900207021E-4</v>
      </c>
      <c r="L98" s="37">
        <f>VLOOKUP($C98,$D$60:$Z$63,L$32,FALSE)*$D$79*$A98/8760/1000*INDEX('Bulb Weighting'!$B$2:$C$17,MATCH(RIGHT('SC-New'!$D61,LEN($D98)-7),'Bulb Weighting'!$B$3:$B$17,0)+1,2)</f>
        <v>6.711101024776551E-4</v>
      </c>
      <c r="M98" s="37">
        <f>VLOOKUP($C98,$D$60:$Z$63,M$32,FALSE)*$D$79*$A98/8760/1000*INDEX('Bulb Weighting'!$B$2:$C$17,MATCH(RIGHT('SC-New'!$D61,LEN($D98)-7),'Bulb Weighting'!$B$3:$B$17,0)+1,2)</f>
        <v>8.1870466343852673E-4</v>
      </c>
      <c r="N98" s="37">
        <f>VLOOKUP($C98,$D$60:$Z$63,N$32,FALSE)*$D$79*$A98/8760/1000*INDEX('Bulb Weighting'!$B$2:$C$17,MATCH(RIGHT('SC-New'!$D61,LEN($D98)-7),'Bulb Weighting'!$B$3:$B$17,0)+1,2)</f>
        <v>8.2792033091349951E-4</v>
      </c>
      <c r="O98" s="37">
        <f>VLOOKUP($C98,$D$60:$Z$63,O$32,FALSE)*$D$79*$A98/8760/1000*INDEX('Bulb Weighting'!$B$2:$C$17,MATCH(RIGHT('SC-New'!$D61,LEN($D98)-7),'Bulb Weighting'!$B$3:$B$17,0)+1,2)</f>
        <v>8.3727705767822134E-4</v>
      </c>
      <c r="P98" s="37">
        <f>VLOOKUP($C98,$D$60:$Z$63,P$32,FALSE)*$D$79*$A98/8760/1000*INDEX('Bulb Weighting'!$B$2:$C$17,MATCH(RIGHT('SC-New'!$D61,LEN($D98)-7),'Bulb Weighting'!$B$3:$B$17,0)+1,2)</f>
        <v>8.4169160197482631E-4</v>
      </c>
      <c r="Q98" s="37">
        <f>VLOOKUP($C98,$D$60:$Z$63,Q$32,FALSE)*$D$79*$A98/8760/1000*INDEX('Bulb Weighting'!$B$2:$C$17,MATCH(RIGHT('SC-New'!$D61,LEN($D98)-7),'Bulb Weighting'!$B$3:$B$17,0)+1,2)</f>
        <v>8.4151718437005792E-4</v>
      </c>
      <c r="R98" s="37">
        <f>VLOOKUP($C98,$D$60:$Z$63,R$32,FALSE)*$D$79*$A98/8760/1000*INDEX('Bulb Weighting'!$B$2:$C$17,MATCH(RIGHT('SC-New'!$D61,LEN($D98)-7),'Bulb Weighting'!$B$3:$B$17,0)+1,2)</f>
        <v>8.4131016708753191E-4</v>
      </c>
      <c r="S98" s="37">
        <f>VLOOKUP($C98,$D$60:$Z$63,S$32,FALSE)*$D$79*$A98/8760/1000*INDEX('Bulb Weighting'!$B$2:$C$17,MATCH(RIGHT('SC-New'!$D61,LEN($D98)-7),'Bulb Weighting'!$B$3:$B$17,0)+1,2)</f>
        <v>8.4135474224685859E-4</v>
      </c>
      <c r="T98" s="37">
        <f>VLOOKUP($C98,$D$60:$Z$63,T$32,FALSE)*$D$79*$A98/8760/1000*INDEX('Bulb Weighting'!$B$2:$C$17,MATCH(RIGHT('SC-New'!$D61,LEN($D98)-7),'Bulb Weighting'!$B$3:$B$17,0)+1,2)</f>
        <v>8.4164144492602513E-4</v>
      </c>
      <c r="U98" s="37">
        <f>VLOOKUP($C98,$D$60:$Z$63,U$32,FALSE)*$D$79*$A98/8760/1000*INDEX('Bulb Weighting'!$B$2:$C$17,MATCH(RIGHT('SC-New'!$D61,LEN($D98)-7),'Bulb Weighting'!$B$3:$B$17,0)+1,2)</f>
        <v>8.4129042496418479E-4</v>
      </c>
      <c r="V98" s="37">
        <f>VLOOKUP($C98,$D$60:$Z$63,V$32,FALSE)*$D$79*$A98/8760/1000*INDEX('Bulb Weighting'!$B$2:$C$17,MATCH(RIGHT('SC-New'!$D61,LEN($D98)-7),'Bulb Weighting'!$B$3:$B$17,0)+1,2)</f>
        <v>8.4043612634681188E-4</v>
      </c>
      <c r="W98" s="37">
        <f>VLOOKUP($C98,$D$60:$Z$63,W$32,FALSE)*$D$79*$A98/8760/1000*INDEX('Bulb Weighting'!$B$2:$C$17,MATCH(RIGHT('SC-New'!$D61,LEN($D98)-7),'Bulb Weighting'!$B$3:$B$17,0)+1,2)</f>
        <v>8.3835037341679951E-4</v>
      </c>
      <c r="X98" s="37">
        <f>VLOOKUP($C98,$D$60:$Z$63,X$32,FALSE)*$D$79*$A98/8760/1000*INDEX('Bulb Weighting'!$B$2:$C$17,MATCH(RIGHT('SC-New'!$D61,LEN($D98)-7),'Bulb Weighting'!$B$3:$B$17,0)+1,2)</f>
        <v>8.3617871527408912E-4</v>
      </c>
      <c r="Y98" s="32">
        <f>(VLOOKUP($C98,$D$43:$Z$46,$X$68+3,FALSE)+VLOOKUP($C98,$D$51:$Z$54,$X$68+3,FALSE))*$A98*$D$79/8760/1000*INDEX('Bulb Weighting'!$B$2:$C$17,MATCH(RIGHT('SC-New'!$D61,LEN($D98)-7),'Bulb Weighting'!$B$3:$B$17,0)+1,2)</f>
        <v>7.3119710723676184E-3</v>
      </c>
      <c r="Z98" s="32"/>
      <c r="AA98" s="32">
        <f t="shared" ref="AA98:AA100" si="34">SUM(E98:X98)</f>
        <v>1.3684988462874623E-2</v>
      </c>
      <c r="AB98" s="37"/>
      <c r="AC98" s="84"/>
    </row>
    <row r="99" spans="1:29" customFormat="1">
      <c r="A99" s="89">
        <f t="shared" si="28"/>
        <v>1.9210010172979759</v>
      </c>
      <c r="B99" s="71">
        <f t="shared" si="29"/>
        <v>19.879331870717266</v>
      </c>
      <c r="C99" s="1" t="s">
        <v>32</v>
      </c>
      <c r="D99" t="s">
        <v>749</v>
      </c>
      <c r="E99" s="37">
        <f>VLOOKUP($C99,$D$60:$Z$63,E$32,FALSE)*$D$79*$A99/8760/1000*INDEX('Bulb Weighting'!$B$2:$C$17,MATCH(RIGHT('SC-New'!$D62,LEN($D99)-7),'Bulb Weighting'!$B$3:$B$17,0)+1,2)</f>
        <v>0</v>
      </c>
      <c r="F99" s="37">
        <f>VLOOKUP($C99,$D$60:$Z$63,F$32,FALSE)*$D$79*$A99/8760/1000*INDEX('Bulb Weighting'!$B$2:$C$17,MATCH(RIGHT('SC-New'!$D62,LEN($D99)-7),'Bulb Weighting'!$B$3:$B$17,0)+1,2)</f>
        <v>1.2615874097889498E-2</v>
      </c>
      <c r="G99" s="37">
        <f>VLOOKUP($C99,$D$60:$Z$63,G$32,FALSE)*$D$79*$A99/8760/1000*INDEX('Bulb Weighting'!$B$2:$C$17,MATCH(RIGHT('SC-New'!$D62,LEN($D99)-7),'Bulb Weighting'!$B$3:$B$17,0)+1,2)</f>
        <v>1.6178004935214169E-2</v>
      </c>
      <c r="H99" s="37">
        <f>VLOOKUP($C99,$D$60:$Z$63,H$32,FALSE)*$D$79*$A99/8760/1000*INDEX('Bulb Weighting'!$B$2:$C$17,MATCH(RIGHT('SC-New'!$D62,LEN($D99)-7),'Bulb Weighting'!$B$3:$B$17,0)+1,2)</f>
        <v>1.8931418931893911E-2</v>
      </c>
      <c r="I99" s="37">
        <f>VLOOKUP($C99,$D$60:$Z$63,I$32,FALSE)*$D$79*$A99/8760/1000*INDEX('Bulb Weighting'!$B$2:$C$17,MATCH(RIGHT('SC-New'!$D62,LEN($D99)-7),'Bulb Weighting'!$B$3:$B$17,0)+1,2)</f>
        <v>2.1327471420216557E-2</v>
      </c>
      <c r="J99" s="37">
        <f>VLOOKUP($C99,$D$60:$Z$63,J$32,FALSE)*$D$79*$A99/8760/1000*INDEX('Bulb Weighting'!$B$2:$C$17,MATCH(RIGHT('SC-New'!$D62,LEN($D99)-7),'Bulb Weighting'!$B$3:$B$17,0)+1,2)</f>
        <v>2.3384834578850766E-2</v>
      </c>
      <c r="K99" s="37">
        <f>VLOOKUP($C99,$D$60:$Z$63,K$32,FALSE)*$D$79*$A99/8760/1000*INDEX('Bulb Weighting'!$B$2:$C$17,MATCH(RIGHT('SC-New'!$D62,LEN($D99)-7),'Bulb Weighting'!$B$3:$B$17,0)+1,2)</f>
        <v>2.513162872372739E-2</v>
      </c>
      <c r="L99" s="37">
        <f>VLOOKUP($C99,$D$60:$Z$63,L$32,FALSE)*$D$79*$A99/8760/1000*INDEX('Bulb Weighting'!$B$2:$C$17,MATCH(RIGHT('SC-New'!$D62,LEN($D99)-7),'Bulb Weighting'!$B$3:$B$17,0)+1,2)</f>
        <v>2.6600280748893562E-2</v>
      </c>
      <c r="M99" s="37">
        <f>VLOOKUP($C99,$D$60:$Z$63,M$32,FALSE)*$D$79*$A99/8760/1000*INDEX('Bulb Weighting'!$B$2:$C$17,MATCH(RIGHT('SC-New'!$D62,LEN($D99)-7),'Bulb Weighting'!$B$3:$B$17,0)+1,2)</f>
        <v>3.2450374115204628E-2</v>
      </c>
      <c r="N99" s="37">
        <f>VLOOKUP($C99,$D$60:$Z$63,N$32,FALSE)*$D$79*$A99/8760/1000*INDEX('Bulb Weighting'!$B$2:$C$17,MATCH(RIGHT('SC-New'!$D62,LEN($D99)-7),'Bulb Weighting'!$B$3:$B$17,0)+1,2)</f>
        <v>3.28156485183431E-2</v>
      </c>
      <c r="O99" s="37">
        <f>VLOOKUP($C99,$D$60:$Z$63,O$32,FALSE)*$D$79*$A99/8760/1000*INDEX('Bulb Weighting'!$B$2:$C$17,MATCH(RIGHT('SC-New'!$D62,LEN($D99)-7),'Bulb Weighting'!$B$3:$B$17,0)+1,2)</f>
        <v>3.318651398127296E-2</v>
      </c>
      <c r="P99" s="37">
        <f>VLOOKUP($C99,$D$60:$Z$63,P$32,FALSE)*$D$79*$A99/8760/1000*INDEX('Bulb Weighting'!$B$2:$C$17,MATCH(RIGHT('SC-New'!$D62,LEN($D99)-7),'Bulb Weighting'!$B$3:$B$17,0)+1,2)</f>
        <v>3.3361489916271699E-2</v>
      </c>
      <c r="Q99" s="37">
        <f>VLOOKUP($C99,$D$60:$Z$63,Q$32,FALSE)*$D$79*$A99/8760/1000*INDEX('Bulb Weighting'!$B$2:$C$17,MATCH(RIGHT('SC-New'!$D62,LEN($D99)-7),'Bulb Weighting'!$B$3:$B$17,0)+1,2)</f>
        <v>3.3354576658317057E-2</v>
      </c>
      <c r="R99" s="37">
        <f>VLOOKUP($C99,$D$60:$Z$63,R$32,FALSE)*$D$79*$A99/8760/1000*INDEX('Bulb Weighting'!$B$2:$C$17,MATCH(RIGHT('SC-New'!$D62,LEN($D99)-7),'Bulb Weighting'!$B$3:$B$17,0)+1,2)</f>
        <v>3.334637127172739E-2</v>
      </c>
      <c r="S99" s="37">
        <f>VLOOKUP($C99,$D$60:$Z$63,S$32,FALSE)*$D$79*$A99/8760/1000*INDEX('Bulb Weighting'!$B$2:$C$17,MATCH(RIGHT('SC-New'!$D62,LEN($D99)-7),'Bulb Weighting'!$B$3:$B$17,0)+1,2)</f>
        <v>3.3348138063417958E-2</v>
      </c>
      <c r="T99" s="37">
        <f>VLOOKUP($C99,$D$60:$Z$63,T$32,FALSE)*$D$79*$A99/8760/1000*INDEX('Bulb Weighting'!$B$2:$C$17,MATCH(RIGHT('SC-New'!$D62,LEN($D99)-7),'Bulb Weighting'!$B$3:$B$17,0)+1,2)</f>
        <v>3.3359501879473077E-2</v>
      </c>
      <c r="U99" s="37">
        <f>VLOOKUP($C99,$D$60:$Z$63,U$32,FALSE)*$D$79*$A99/8760/1000*INDEX('Bulb Weighting'!$B$2:$C$17,MATCH(RIGHT('SC-New'!$D62,LEN($D99)-7),'Bulb Weighting'!$B$3:$B$17,0)+1,2)</f>
        <v>3.3345588768198271E-2</v>
      </c>
      <c r="V99" s="37">
        <f>VLOOKUP($C99,$D$60:$Z$63,V$32,FALSE)*$D$79*$A99/8760/1000*INDEX('Bulb Weighting'!$B$2:$C$17,MATCH(RIGHT('SC-New'!$D62,LEN($D99)-7),'Bulb Weighting'!$B$3:$B$17,0)+1,2)</f>
        <v>3.3311727583600369E-2</v>
      </c>
      <c r="W99" s="37">
        <f>VLOOKUP($C99,$D$60:$Z$63,W$32,FALSE)*$D$79*$A99/8760/1000*INDEX('Bulb Weighting'!$B$2:$C$17,MATCH(RIGHT('SC-New'!$D62,LEN($D99)-7),'Bulb Weighting'!$B$3:$B$17,0)+1,2)</f>
        <v>3.3229056180940325E-2</v>
      </c>
      <c r="X99" s="37">
        <f>VLOOKUP($C99,$D$60:$Z$63,X$32,FALSE)*$D$79*$A99/8760/1000*INDEX('Bulb Weighting'!$B$2:$C$17,MATCH(RIGHT('SC-New'!$D62,LEN($D99)-7),'Bulb Weighting'!$B$3:$B$17,0)+1,2)</f>
        <v>3.3142979818695961E-2</v>
      </c>
      <c r="Y99" s="447">
        <f>(VLOOKUP($C99,$D$43:$Z$46,$X$68+3,FALSE)+VLOOKUP($C99,$D$51:$Z$54,$X$68+3,FALSE))*$A99*$D$79/8760/1000*INDEX('Bulb Weighting'!$B$2:$C$17,MATCH(RIGHT('SC-New'!$D62,LEN($D99)-7),'Bulb Weighting'!$B$3:$B$17,0)+1,2)</f>
        <v>0.28981903660024688</v>
      </c>
      <c r="Z99" s="32"/>
      <c r="AA99" s="32">
        <f t="shared" si="34"/>
        <v>0.54242148019214864</v>
      </c>
      <c r="AB99" s="37"/>
      <c r="AC99" s="84"/>
    </row>
    <row r="100" spans="1:29" customFormat="1">
      <c r="A100" s="89">
        <f t="shared" si="28"/>
        <v>7.4978046901704554</v>
      </c>
      <c r="B100" s="71">
        <f t="shared" si="29"/>
        <v>38.047469279788793</v>
      </c>
      <c r="C100" s="1" t="s">
        <v>32</v>
      </c>
      <c r="D100" t="s">
        <v>750</v>
      </c>
      <c r="E100" s="37">
        <f>VLOOKUP($C100,$D$60:$Z$63,E$32,FALSE)*$D$79*$A100/8760/1000*INDEX('Bulb Weighting'!$B$2:$C$17,MATCH(RIGHT('SC-New'!$D63,LEN($D100)-7),'Bulb Weighting'!$B$3:$B$17,0)+1,2)</f>
        <v>0</v>
      </c>
      <c r="F100" s="37">
        <f>VLOOKUP($C100,$D$60:$Z$63,F$32,FALSE)*$D$79*$A100/8760/1000*INDEX('Bulb Weighting'!$B$2:$C$17,MATCH(RIGHT('SC-New'!$D63,LEN($D100)-7),'Bulb Weighting'!$B$3:$B$17,0)+1,2)</f>
        <v>0.37996374767584939</v>
      </c>
      <c r="G100" s="37">
        <f>VLOOKUP($C100,$D$60:$Z$63,G$32,FALSE)*$D$79*$A100/8760/1000*INDEX('Bulb Weighting'!$B$2:$C$17,MATCH(RIGHT('SC-New'!$D63,LEN($D100)-7),'Bulb Weighting'!$B$3:$B$17,0)+1,2)</f>
        <v>0.48724767997888485</v>
      </c>
      <c r="H100" s="37">
        <f>VLOOKUP($C100,$D$60:$Z$63,H$32,FALSE)*$D$79*$A100/8760/1000*INDEX('Bulb Weighting'!$B$2:$C$17,MATCH(RIGHT('SC-New'!$D63,LEN($D100)-7),'Bulb Weighting'!$B$3:$B$17,0)+1,2)</f>
        <v>0.57017475209167578</v>
      </c>
      <c r="I100" s="37">
        <f>VLOOKUP($C100,$D$60:$Z$63,I$32,FALSE)*$D$79*$A100/8760/1000*INDEX('Bulb Weighting'!$B$2:$C$17,MATCH(RIGHT('SC-New'!$D63,LEN($D100)-7),'Bulb Weighting'!$B$3:$B$17,0)+1,2)</f>
        <v>0.64233884282585774</v>
      </c>
      <c r="J100" s="37">
        <f>VLOOKUP($C100,$D$60:$Z$63,J$32,FALSE)*$D$79*$A100/8760/1000*INDEX('Bulb Weighting'!$B$2:$C$17,MATCH(RIGHT('SC-New'!$D63,LEN($D100)-7),'Bulb Weighting'!$B$3:$B$17,0)+1,2)</f>
        <v>0.7043023191588732</v>
      </c>
      <c r="K100" s="37">
        <f>VLOOKUP($C100,$D$60:$Z$63,K$32,FALSE)*$D$79*$A100/8760/1000*INDEX('Bulb Weighting'!$B$2:$C$17,MATCH(RIGHT('SC-New'!$D63,LEN($D100)-7),'Bulb Weighting'!$B$3:$B$17,0)+1,2)</f>
        <v>0.75691210620617622</v>
      </c>
      <c r="L100" s="37">
        <f>VLOOKUP($C100,$D$60:$Z$63,L$32,FALSE)*$D$79*$A100/8760/1000*INDEX('Bulb Weighting'!$B$2:$C$17,MATCH(RIGHT('SC-New'!$D63,LEN($D100)-7),'Bulb Weighting'!$B$3:$B$17,0)+1,2)</f>
        <v>0.80114483421090599</v>
      </c>
      <c r="M100" s="37">
        <f>VLOOKUP($C100,$D$60:$Z$63,M$32,FALSE)*$D$79*$A100/8760/1000*INDEX('Bulb Weighting'!$B$2:$C$17,MATCH(RIGHT('SC-New'!$D63,LEN($D100)-7),'Bulb Weighting'!$B$3:$B$17,0)+1,2)</f>
        <v>0.97733741369210392</v>
      </c>
      <c r="N100" s="37">
        <f>VLOOKUP($C100,$D$60:$Z$63,N$32,FALSE)*$D$79*$A100/8760/1000*INDEX('Bulb Weighting'!$B$2:$C$17,MATCH(RIGHT('SC-New'!$D63,LEN($D100)-7),'Bulb Weighting'!$B$3:$B$17,0)+1,2)</f>
        <v>0.9883387149154389</v>
      </c>
      <c r="O100" s="37">
        <f>VLOOKUP($C100,$D$60:$Z$63,O$32,FALSE)*$D$79*$A100/8760/1000*INDEX('Bulb Weighting'!$B$2:$C$17,MATCH(RIGHT('SC-New'!$D63,LEN($D100)-7),'Bulb Weighting'!$B$3:$B$17,0)+1,2)</f>
        <v>0.99950840716862543</v>
      </c>
      <c r="P100" s="37">
        <f>VLOOKUP($C100,$D$60:$Z$63,P$32,FALSE)*$D$79*$A100/8760/1000*INDEX('Bulb Weighting'!$B$2:$C$17,MATCH(RIGHT('SC-New'!$D63,LEN($D100)-7),'Bulb Weighting'!$B$3:$B$17,0)+1,2)</f>
        <v>1.0047783164511159</v>
      </c>
      <c r="Q100" s="37">
        <f>VLOOKUP($C100,$D$60:$Z$63,Q$32,FALSE)*$D$79*$A100/8760/1000*INDEX('Bulb Weighting'!$B$2:$C$17,MATCH(RIGHT('SC-New'!$D63,LEN($D100)-7),'Bulb Weighting'!$B$3:$B$17,0)+1,2)</f>
        <v>1.004570103577342</v>
      </c>
      <c r="R100" s="37">
        <f>VLOOKUP($C100,$D$60:$Z$63,R$32,FALSE)*$D$79*$A100/8760/1000*INDEX('Bulb Weighting'!$B$2:$C$17,MATCH(RIGHT('SC-New'!$D63,LEN($D100)-7),'Bulb Weighting'!$B$3:$B$17,0)+1,2)</f>
        <v>1.0043229744909585</v>
      </c>
      <c r="S100" s="37">
        <f>VLOOKUP($C100,$D$60:$Z$63,S$32,FALSE)*$D$79*$A100/8760/1000*INDEX('Bulb Weighting'!$B$2:$C$17,MATCH(RIGHT('SC-New'!$D63,LEN($D100)-7),'Bulb Weighting'!$B$3:$B$17,0)+1,2)</f>
        <v>1.0043761865622667</v>
      </c>
      <c r="T100" s="37">
        <f>VLOOKUP($C100,$D$60:$Z$63,T$32,FALSE)*$D$79*$A100/8760/1000*INDEX('Bulb Weighting'!$B$2:$C$17,MATCH(RIGHT('SC-New'!$D63,LEN($D100)-7),'Bulb Weighting'!$B$3:$B$17,0)+1,2)</f>
        <v>1.0047184409397834</v>
      </c>
      <c r="U100" s="37">
        <f>VLOOKUP($C100,$D$60:$Z$63,U$32,FALSE)*$D$79*$A100/8760/1000*INDEX('Bulb Weighting'!$B$2:$C$17,MATCH(RIGHT('SC-New'!$D63,LEN($D100)-7),'Bulb Weighting'!$B$3:$B$17,0)+1,2)</f>
        <v>1.0042994071208988</v>
      </c>
      <c r="V100" s="37">
        <f>VLOOKUP($C100,$D$60:$Z$63,V$32,FALSE)*$D$79*$A100/8760/1000*INDEX('Bulb Weighting'!$B$2:$C$17,MATCH(RIGHT('SC-New'!$D63,LEN($D100)-7),'Bulb Weighting'!$B$3:$B$17,0)+1,2)</f>
        <v>1.0032795790455127</v>
      </c>
      <c r="W100" s="37">
        <f>VLOOKUP($C100,$D$60:$Z$63,W$32,FALSE)*$D$79*$A100/8760/1000*INDEX('Bulb Weighting'!$B$2:$C$17,MATCH(RIGHT('SC-New'!$D63,LEN($D100)-7),'Bulb Weighting'!$B$3:$B$17,0)+1,2)</f>
        <v>1.0007896892656531</v>
      </c>
      <c r="X100" s="37">
        <f>VLOOKUP($C100,$D$60:$Z$63,X$32,FALSE)*$D$79*$A100/8760/1000*INDEX('Bulb Weighting'!$B$2:$C$17,MATCH(RIGHT('SC-New'!$D63,LEN($D100)-7),'Bulb Weighting'!$B$3:$B$17,0)+1,2)</f>
        <v>0.9981972492229817</v>
      </c>
      <c r="Y100" s="447">
        <f>(VLOOKUP($C100,$D$43:$Z$46,$X$68+3,FALSE)+VLOOKUP($C100,$D$51:$Z$54,$X$68+3,FALSE))*$A100*$D$79/8760/1000*INDEX('Bulb Weighting'!$B$2:$C$17,MATCH(RIGHT('SC-New'!$D63,LEN($D100)-7),'Bulb Weighting'!$B$3:$B$17,0)+1,2)</f>
        <v>8.7287433625273749</v>
      </c>
      <c r="Z100" s="32"/>
      <c r="AA100" s="32">
        <f t="shared" si="34"/>
        <v>16.336600764600906</v>
      </c>
      <c r="AB100" s="37"/>
      <c r="AC100" s="84"/>
    </row>
    <row r="101" spans="1:29" customFormat="1">
      <c r="A101" s="89">
        <f t="shared" si="28"/>
        <v>14.009308234872018</v>
      </c>
      <c r="B101" s="71">
        <f t="shared" si="29"/>
        <v>64.372768585347757</v>
      </c>
      <c r="C101" s="1" t="s">
        <v>32</v>
      </c>
      <c r="D101" t="s">
        <v>751</v>
      </c>
      <c r="E101" s="37">
        <f>VLOOKUP($C101,$D$60:$Z$63,E$32,FALSE)*$D$79*$A101/8760/1000*INDEX('Bulb Weighting'!$B$2:$C$17,MATCH(RIGHT('SC-New'!$D64,LEN($D101)-7),'Bulb Weighting'!$B$3:$B$17,0)+1,2)</f>
        <v>0</v>
      </c>
      <c r="F101" s="37">
        <f>VLOOKUP($C101,$D$60:$Z$63,F$32,FALSE)*$D$79*$A101/8760/1000*INDEX('Bulb Weighting'!$B$2:$C$17,MATCH(RIGHT('SC-New'!$D64,LEN($D101)-7),'Bulb Weighting'!$B$3:$B$17,0)+1,2)</f>
        <v>7.0782430842068395E-2</v>
      </c>
      <c r="G101" s="37">
        <f>VLOOKUP($C101,$D$60:$Z$63,G$32,FALSE)*$D$79*$A101/8760/1000*INDEX('Bulb Weighting'!$B$2:$C$17,MATCH(RIGHT('SC-New'!$D64,LEN($D101)-7),'Bulb Weighting'!$B$3:$B$17,0)+1,2)</f>
        <v>9.0768067801263549E-2</v>
      </c>
      <c r="H101" s="37">
        <f>VLOOKUP($C101,$D$60:$Z$63,H$32,FALSE)*$D$79*$A101/8760/1000*INDEX('Bulb Weighting'!$B$2:$C$17,MATCH(RIGHT('SC-New'!$D64,LEN($D101)-7),'Bulb Weighting'!$B$3:$B$17,0)+1,2)</f>
        <v>0.10621633038595202</v>
      </c>
      <c r="I101" s="37">
        <f>VLOOKUP($C101,$D$60:$Z$63,I$32,FALSE)*$D$79*$A101/8760/1000*INDEX('Bulb Weighting'!$B$2:$C$17,MATCH(RIGHT('SC-New'!$D64,LEN($D101)-7),'Bulb Weighting'!$B$3:$B$17,0)+1,2)</f>
        <v>0.11965958594103365</v>
      </c>
      <c r="J101" s="37">
        <f>VLOOKUP($C101,$D$60:$Z$63,J$32,FALSE)*$D$79*$A101/8760/1000*INDEX('Bulb Weighting'!$B$2:$C$17,MATCH(RIGHT('SC-New'!$D64,LEN($D101)-7),'Bulb Weighting'!$B$3:$B$17,0)+1,2)</f>
        <v>0.13120259630742651</v>
      </c>
      <c r="K101" s="37">
        <f>VLOOKUP($C101,$D$60:$Z$63,K$32,FALSE)*$D$79*$A101/8760/1000*INDEX('Bulb Weighting'!$B$2:$C$17,MATCH(RIGHT('SC-New'!$D64,LEN($D101)-7),'Bulb Weighting'!$B$3:$B$17,0)+1,2)</f>
        <v>0.14100313290090311</v>
      </c>
      <c r="L101" s="37">
        <f>VLOOKUP($C101,$D$60:$Z$63,L$32,FALSE)*$D$79*$A101/8760/1000*INDEX('Bulb Weighting'!$B$2:$C$17,MATCH(RIGHT('SC-New'!$D64,LEN($D101)-7),'Bulb Weighting'!$B$3:$B$17,0)+1,2)</f>
        <v>0.14924312955874691</v>
      </c>
      <c r="M101" s="37">
        <f>VLOOKUP($C101,$D$60:$Z$63,M$32,FALSE)*$D$79*$A101/8760/1000*INDEX('Bulb Weighting'!$B$2:$C$17,MATCH(RIGHT('SC-New'!$D64,LEN($D101)-7),'Bulb Weighting'!$B$3:$B$17,0)+1,2)</f>
        <v>0.18206557419536776</v>
      </c>
      <c r="N101" s="37">
        <f>VLOOKUP($C101,$D$60:$Z$63,N$32,FALSE)*$D$79*$A101/8760/1000*INDEX('Bulb Weighting'!$B$2:$C$17,MATCH(RIGHT('SC-New'!$D64,LEN($D101)-7),'Bulb Weighting'!$B$3:$B$17,0)+1,2)</f>
        <v>0.18411497719177619</v>
      </c>
      <c r="O101" s="37">
        <f>VLOOKUP($C101,$D$60:$Z$63,O$32,FALSE)*$D$79*$A101/8760/1000*INDEX('Bulb Weighting'!$B$2:$C$17,MATCH(RIGHT('SC-New'!$D64,LEN($D101)-7),'Bulb Weighting'!$B$3:$B$17,0)+1,2)</f>
        <v>0.18619574930299568</v>
      </c>
      <c r="P101" s="37">
        <f>VLOOKUP($C101,$D$60:$Z$63,P$32,FALSE)*$D$79*$A101/8760/1000*INDEX('Bulb Weighting'!$B$2:$C$17,MATCH(RIGHT('SC-New'!$D64,LEN($D101)-7),'Bulb Weighting'!$B$3:$B$17,0)+1,2)</f>
        <v>0.18717746661580129</v>
      </c>
      <c r="Q101" s="37">
        <f>VLOOKUP($C101,$D$60:$Z$63,Q$32,FALSE)*$D$79*$A101/8760/1000*INDEX('Bulb Weighting'!$B$2:$C$17,MATCH(RIGHT('SC-New'!$D64,LEN($D101)-7),'Bulb Weighting'!$B$3:$B$17,0)+1,2)</f>
        <v>0.18713867919613697</v>
      </c>
      <c r="R101" s="37">
        <f>VLOOKUP($C101,$D$60:$Z$63,R$32,FALSE)*$D$79*$A101/8760/1000*INDEX('Bulb Weighting'!$B$2:$C$17,MATCH(RIGHT('SC-New'!$D64,LEN($D101)-7),'Bulb Weighting'!$B$3:$B$17,0)+1,2)</f>
        <v>0.18709264217925572</v>
      </c>
      <c r="S101" s="37">
        <f>VLOOKUP($C101,$D$60:$Z$63,S$32,FALSE)*$D$79*$A101/8760/1000*INDEX('Bulb Weighting'!$B$2:$C$17,MATCH(RIGHT('SC-New'!$D64,LEN($D101)-7),'Bulb Weighting'!$B$3:$B$17,0)+1,2)</f>
        <v>0.18710255491377414</v>
      </c>
      <c r="T101" s="37">
        <f>VLOOKUP($C101,$D$60:$Z$63,T$32,FALSE)*$D$79*$A101/8760/1000*INDEX('Bulb Weighting'!$B$2:$C$17,MATCH(RIGHT('SC-New'!$D64,LEN($D101)-7),'Bulb Weighting'!$B$3:$B$17,0)+1,2)</f>
        <v>0.18716631256685332</v>
      </c>
      <c r="U101" s="37">
        <f>VLOOKUP($C101,$D$60:$Z$63,U$32,FALSE)*$D$79*$A101/8760/1000*INDEX('Bulb Weighting'!$B$2:$C$17,MATCH(RIGHT('SC-New'!$D64,LEN($D101)-7),'Bulb Weighting'!$B$3:$B$17,0)+1,2)</f>
        <v>0.18708825187688718</v>
      </c>
      <c r="V101" s="37">
        <f>VLOOKUP($C101,$D$60:$Z$63,V$32,FALSE)*$D$79*$A101/8760/1000*INDEX('Bulb Weighting'!$B$2:$C$17,MATCH(RIGHT('SC-New'!$D64,LEN($D101)-7),'Bulb Weighting'!$B$3:$B$17,0)+1,2)</f>
        <v>0.18689827083091018</v>
      </c>
      <c r="W101" s="37">
        <f>VLOOKUP($C101,$D$60:$Z$63,W$32,FALSE)*$D$79*$A101/8760/1000*INDEX('Bulb Weighting'!$B$2:$C$17,MATCH(RIGHT('SC-New'!$D64,LEN($D101)-7),'Bulb Weighting'!$B$3:$B$17,0)+1,2)</f>
        <v>0.18643443591975004</v>
      </c>
      <c r="X101" s="37">
        <f>VLOOKUP($C101,$D$60:$Z$63,X$32,FALSE)*$D$79*$A101/8760/1000*INDEX('Bulb Weighting'!$B$2:$C$17,MATCH(RIGHT('SC-New'!$D64,LEN($D101)-7),'Bulb Weighting'!$B$3:$B$17,0)+1,2)</f>
        <v>0.18595149719426632</v>
      </c>
      <c r="Y101" s="447">
        <f>(VLOOKUP($C101,$D$43:$Z$46,$X$68+3,FALSE)+VLOOKUP($C101,$D$51:$Z$54,$X$68+3,FALSE))*$A101*$D$79/8760/1000*INDEX('Bulb Weighting'!$B$2:$C$17,MATCH(RIGHT('SC-New'!$D64,LEN($D101)-7),'Bulb Weighting'!$B$3:$B$17,0)+1,2)</f>
        <v>1.6260542674806542</v>
      </c>
      <c r="Z101" s="32"/>
      <c r="AA101" s="32">
        <f>SUM(E101:X101)</f>
        <v>3.0433016857211688</v>
      </c>
      <c r="AB101" s="37"/>
      <c r="AC101" s="84"/>
    </row>
    <row r="102" spans="1:29" customFormat="1">
      <c r="A102" s="89">
        <f t="shared" si="28"/>
        <v>15.001215681785107</v>
      </c>
      <c r="B102" s="71">
        <f t="shared" si="29"/>
        <v>-40.723166254238713</v>
      </c>
      <c r="C102" s="1" t="s">
        <v>32</v>
      </c>
      <c r="D102" t="s">
        <v>752</v>
      </c>
      <c r="E102" s="37">
        <f>VLOOKUP($C102,$D$60:$Z$63,E$32,FALSE)*$D$79*$A102/8760/1000*INDEX('Bulb Weighting'!$B$2:$C$17,MATCH(RIGHT('SC-New'!$D65,LEN($D102)-7),'Bulb Weighting'!$B$3:$B$17,0)+1,2)</f>
        <v>0</v>
      </c>
      <c r="F102" s="37">
        <f>VLOOKUP($C102,$D$60:$Z$63,F$32,FALSE)*$D$79*$A102/8760/1000*INDEX('Bulb Weighting'!$B$2:$C$17,MATCH(RIGHT('SC-New'!$D65,LEN($D102)-7),'Bulb Weighting'!$B$3:$B$17,0)+1,2)</f>
        <v>6.4779371768179259E-2</v>
      </c>
      <c r="G102" s="37">
        <f>VLOOKUP($C102,$D$60:$Z$63,G$32,FALSE)*$D$79*$A102/8760/1000*INDEX('Bulb Weighting'!$B$2:$C$17,MATCH(RIGHT('SC-New'!$D65,LEN($D102)-7),'Bulb Weighting'!$B$3:$B$17,0)+1,2)</f>
        <v>8.3070026542274827E-2</v>
      </c>
      <c r="H102" s="37">
        <f>VLOOKUP($C102,$D$60:$Z$63,H$32,FALSE)*$D$79*$A102/8760/1000*INDEX('Bulb Weighting'!$B$2:$C$17,MATCH(RIGHT('SC-New'!$D65,LEN($D102)-7),'Bulb Weighting'!$B$3:$B$17,0)+1,2)</f>
        <v>9.7208121733987587E-2</v>
      </c>
      <c r="I102" s="37">
        <f>VLOOKUP($C102,$D$60:$Z$63,I$32,FALSE)*$D$79*$A102/8760/1000*INDEX('Bulb Weighting'!$B$2:$C$17,MATCH(RIGHT('SC-New'!$D65,LEN($D102)-7),'Bulb Weighting'!$B$3:$B$17,0)+1,2)</f>
        <v>0.10951125457383491</v>
      </c>
      <c r="J102" s="37">
        <f>VLOOKUP($C102,$D$60:$Z$63,J$32,FALSE)*$D$79*$A102/8760/1000*INDEX('Bulb Weighting'!$B$2:$C$17,MATCH(RIGHT('SC-New'!$D65,LEN($D102)-7),'Bulb Weighting'!$B$3:$B$17,0)+1,2)</f>
        <v>0.12007530204935755</v>
      </c>
      <c r="K102" s="37">
        <f>VLOOKUP($C102,$D$60:$Z$63,K$32,FALSE)*$D$79*$A102/8760/1000*INDEX('Bulb Weighting'!$B$2:$C$17,MATCH(RIGHT('SC-New'!$D65,LEN($D102)-7),'Bulb Weighting'!$B$3:$B$17,0)+1,2)</f>
        <v>0.12904465498007298</v>
      </c>
      <c r="L102" s="37">
        <f>VLOOKUP($C102,$D$60:$Z$63,L$32,FALSE)*$D$79*$A102/8760/1000*INDEX('Bulb Weighting'!$B$2:$C$17,MATCH(RIGHT('SC-New'!$D65,LEN($D102)-7),'Bulb Weighting'!$B$3:$B$17,0)+1,2)</f>
        <v>0.13658581739166076</v>
      </c>
      <c r="M102" s="37">
        <f>VLOOKUP($C102,$D$60:$Z$63,M$32,FALSE)*$D$79*$A102/8760/1000*INDEX('Bulb Weighting'!$B$2:$C$17,MATCH(RIGHT('SC-New'!$D65,LEN($D102)-7),'Bulb Weighting'!$B$3:$B$17,0)+1,2)</f>
        <v>0.16662458998199764</v>
      </c>
      <c r="N102" s="37">
        <f>VLOOKUP($C102,$D$60:$Z$63,N$32,FALSE)*$D$79*$A102/8760/1000*INDEX('Bulb Weighting'!$B$2:$C$17,MATCH(RIGHT('SC-New'!$D65,LEN($D102)-7),'Bulb Weighting'!$B$3:$B$17,0)+1,2)</f>
        <v>0.16850018307802145</v>
      </c>
      <c r="O102" s="37">
        <f>VLOOKUP($C102,$D$60:$Z$63,O$32,FALSE)*$D$79*$A102/8760/1000*INDEX('Bulb Weighting'!$B$2:$C$17,MATCH(RIGHT('SC-New'!$D65,LEN($D102)-7),'Bulb Weighting'!$B$3:$B$17,0)+1,2)</f>
        <v>0.17040448487373536</v>
      </c>
      <c r="P102" s="37">
        <f>VLOOKUP($C102,$D$60:$Z$63,P$32,FALSE)*$D$79*$A102/8760/1000*INDEX('Bulb Weighting'!$B$2:$C$17,MATCH(RIGHT('SC-New'!$D65,LEN($D102)-7),'Bulb Weighting'!$B$3:$B$17,0)+1,2)</f>
        <v>0.17130294272578889</v>
      </c>
      <c r="Q102" s="37">
        <f>VLOOKUP($C102,$D$60:$Z$63,Q$32,FALSE)*$D$79*$A102/8760/1000*INDEX('Bulb Weighting'!$B$2:$C$17,MATCH(RIGHT('SC-New'!$D65,LEN($D102)-7),'Bulb Weighting'!$B$3:$B$17,0)+1,2)</f>
        <v>0.1712674448677968</v>
      </c>
      <c r="R102" s="37">
        <f>VLOOKUP($C102,$D$60:$Z$63,R$32,FALSE)*$D$79*$A102/8760/1000*INDEX('Bulb Weighting'!$B$2:$C$17,MATCH(RIGHT('SC-New'!$D65,LEN($D102)-7),'Bulb Weighting'!$B$3:$B$17,0)+1,2)</f>
        <v>0.17122531225104193</v>
      </c>
      <c r="S102" s="37">
        <f>VLOOKUP($C102,$D$60:$Z$63,S$32,FALSE)*$D$79*$A102/8760/1000*INDEX('Bulb Weighting'!$B$2:$C$17,MATCH(RIGHT('SC-New'!$D65,LEN($D102)-7),'Bulb Weighting'!$B$3:$B$17,0)+1,2)</f>
        <v>0.17123438428638982</v>
      </c>
      <c r="T102" s="37">
        <f>VLOOKUP($C102,$D$60:$Z$63,T$32,FALSE)*$D$79*$A102/8760/1000*INDEX('Bulb Weighting'!$B$2:$C$17,MATCH(RIGHT('SC-New'!$D65,LEN($D102)-7),'Bulb Weighting'!$B$3:$B$17,0)+1,2)</f>
        <v>0.17129273465190775</v>
      </c>
      <c r="U102" s="37">
        <f>VLOOKUP($C102,$D$60:$Z$63,U$32,FALSE)*$D$79*$A102/8760/1000*INDEX('Bulb Weighting'!$B$2:$C$17,MATCH(RIGHT('SC-New'!$D65,LEN($D102)-7),'Bulb Weighting'!$B$3:$B$17,0)+1,2)</f>
        <v>0.1712212942902864</v>
      </c>
      <c r="V102" s="37">
        <f>VLOOKUP($C102,$D$60:$Z$63,V$32,FALSE)*$D$79*$A102/8760/1000*INDEX('Bulb Weighting'!$B$2:$C$17,MATCH(RIGHT('SC-New'!$D65,LEN($D102)-7),'Bulb Weighting'!$B$3:$B$17,0)+1,2)</f>
        <v>0.17104742553980917</v>
      </c>
      <c r="W102" s="37">
        <f>VLOOKUP($C102,$D$60:$Z$63,W$32,FALSE)*$D$79*$A102/8760/1000*INDEX('Bulb Weighting'!$B$2:$C$17,MATCH(RIGHT('SC-New'!$D65,LEN($D102)-7),'Bulb Weighting'!$B$3:$B$17,0)+1,2)</f>
        <v>0.17062292847476568</v>
      </c>
      <c r="X102" s="37">
        <f>VLOOKUP($C102,$D$60:$Z$63,X$32,FALSE)*$D$79*$A102/8760/1000*INDEX('Bulb Weighting'!$B$2:$C$17,MATCH(RIGHT('SC-New'!$D65,LEN($D102)-7),'Bulb Weighting'!$B$3:$B$17,0)+1,2)</f>
        <v>0.17018094779019202</v>
      </c>
      <c r="Y102" s="32">
        <f>(VLOOKUP($C102,$D$43:$Z$46,$X$68+3,FALSE)+VLOOKUP($C102,$D$51:$Z$54,$X$68+3,FALSE))*$A102*$D$79/8760/1000*INDEX('Bulb Weighting'!$B$2:$C$17,MATCH(RIGHT('SC-New'!$D65,LEN($D102)-7),'Bulb Weighting'!$B$3:$B$17,0)+1,2)</f>
        <v>1.4881485794601967</v>
      </c>
      <c r="Z102" s="32"/>
      <c r="AA102" s="32">
        <f t="shared" ref="AA102:AA104" si="35">SUM(E102:X102)</f>
        <v>2.7851992218511006</v>
      </c>
      <c r="AB102" s="37"/>
      <c r="AC102" s="84"/>
    </row>
    <row r="103" spans="1:29" customFormat="1">
      <c r="A103" s="89">
        <f t="shared" si="28"/>
        <v>10.331554133000125</v>
      </c>
      <c r="B103" s="71">
        <f t="shared" si="29"/>
        <v>-97.483290128606981</v>
      </c>
      <c r="C103" s="1" t="s">
        <v>32</v>
      </c>
      <c r="D103" t="s">
        <v>753</v>
      </c>
      <c r="E103" s="37">
        <f>VLOOKUP($C103,$D$60:$Z$63,E$32,FALSE)*$D$79*$A103/8760/1000*INDEX('Bulb Weighting'!$B$2:$C$17,MATCH(RIGHT('SC-New'!$D66,LEN($D103)-7),'Bulb Weighting'!$B$3:$B$17,0)+1,2)</f>
        <v>0</v>
      </c>
      <c r="F103" s="37">
        <f>VLOOKUP($C103,$D$60:$Z$63,F$32,FALSE)*$D$79*$A103/8760/1000*INDEX('Bulb Weighting'!$B$2:$C$17,MATCH(RIGHT('SC-New'!$D66,LEN($D103)-7),'Bulb Weighting'!$B$3:$B$17,0)+1,2)</f>
        <v>2.7204775753751145E-2</v>
      </c>
      <c r="G103" s="37">
        <f>VLOOKUP($C103,$D$60:$Z$63,G$32,FALSE)*$D$79*$A103/8760/1000*INDEX('Bulb Weighting'!$B$2:$C$17,MATCH(RIGHT('SC-New'!$D66,LEN($D103)-7),'Bulb Weighting'!$B$3:$B$17,0)+1,2)</f>
        <v>3.4886127825198274E-2</v>
      </c>
      <c r="H103" s="37">
        <f>VLOOKUP($C103,$D$60:$Z$63,H$32,FALSE)*$D$79*$A103/8760/1000*INDEX('Bulb Weighting'!$B$2:$C$17,MATCH(RIGHT('SC-New'!$D66,LEN($D103)-7),'Bulb Weighting'!$B$3:$B$17,0)+1,2)</f>
        <v>4.0823569000950258E-2</v>
      </c>
      <c r="I103" s="37">
        <f>VLOOKUP($C103,$D$60:$Z$63,I$32,FALSE)*$D$79*$A103/8760/1000*INDEX('Bulb Weighting'!$B$2:$C$17,MATCH(RIGHT('SC-New'!$D66,LEN($D103)-7),'Bulb Weighting'!$B$3:$B$17,0)+1,2)</f>
        <v>4.5990398515358584E-2</v>
      </c>
      <c r="J103" s="37">
        <f>VLOOKUP($C103,$D$60:$Z$63,J$32,FALSE)*$D$79*$A103/8760/1000*INDEX('Bulb Weighting'!$B$2:$C$17,MATCH(RIGHT('SC-New'!$D66,LEN($D103)-7),'Bulb Weighting'!$B$3:$B$17,0)+1,2)</f>
        <v>5.0426880913675802E-2</v>
      </c>
      <c r="K103" s="37">
        <f>VLOOKUP($C103,$D$60:$Z$63,K$32,FALSE)*$D$79*$A103/8760/1000*INDEX('Bulb Weighting'!$B$2:$C$17,MATCH(RIGHT('SC-New'!$D66,LEN($D103)-7),'Bulb Weighting'!$B$3:$B$17,0)+1,2)</f>
        <v>5.4193654633087271E-2</v>
      </c>
      <c r="L103" s="37">
        <f>VLOOKUP($C103,$D$60:$Z$63,L$32,FALSE)*$D$79*$A103/8760/1000*INDEX('Bulb Weighting'!$B$2:$C$17,MATCH(RIGHT('SC-New'!$D66,LEN($D103)-7),'Bulb Weighting'!$B$3:$B$17,0)+1,2)</f>
        <v>5.736064478334741E-2</v>
      </c>
      <c r="M103" s="37">
        <f>VLOOKUP($C103,$D$60:$Z$63,M$32,FALSE)*$D$79*$A103/8760/1000*INDEX('Bulb Weighting'!$B$2:$C$17,MATCH(RIGHT('SC-New'!$D66,LEN($D103)-7),'Bulb Weighting'!$B$3:$B$17,0)+1,2)</f>
        <v>6.9975741996121915E-2</v>
      </c>
      <c r="N103" s="37">
        <f>VLOOKUP($C103,$D$60:$Z$63,N$32,FALSE)*$D$79*$A103/8760/1000*INDEX('Bulb Weighting'!$B$2:$C$17,MATCH(RIGHT('SC-New'!$D66,LEN($D103)-7),'Bulb Weighting'!$B$3:$B$17,0)+1,2)</f>
        <v>7.0763416964091816E-2</v>
      </c>
      <c r="O103" s="37">
        <f>VLOOKUP($C103,$D$60:$Z$63,O$32,FALSE)*$D$79*$A103/8760/1000*INDEX('Bulb Weighting'!$B$2:$C$17,MATCH(RIGHT('SC-New'!$D66,LEN($D103)-7),'Bulb Weighting'!$B$3:$B$17,0)+1,2)</f>
        <v>7.1563148451227215E-2</v>
      </c>
      <c r="P103" s="37">
        <f>VLOOKUP($C103,$D$60:$Z$63,P$32,FALSE)*$D$79*$A103/8760/1000*INDEX('Bulb Weighting'!$B$2:$C$17,MATCH(RIGHT('SC-New'!$D66,LEN($D103)-7),'Bulb Weighting'!$B$3:$B$17,0)+1,2)</f>
        <v>7.1940465237762027E-2</v>
      </c>
      <c r="Q103" s="37">
        <f>VLOOKUP($C103,$D$60:$Z$63,Q$32,FALSE)*$D$79*$A103/8760/1000*INDEX('Bulb Weighting'!$B$2:$C$17,MATCH(RIGHT('SC-New'!$D66,LEN($D103)-7),'Bulb Weighting'!$B$3:$B$17,0)+1,2)</f>
        <v>7.1925557540449547E-2</v>
      </c>
      <c r="R103" s="37">
        <f>VLOOKUP($C103,$D$60:$Z$63,R$32,FALSE)*$D$79*$A103/8760/1000*INDEX('Bulb Weighting'!$B$2:$C$17,MATCH(RIGHT('SC-New'!$D66,LEN($D103)-7),'Bulb Weighting'!$B$3:$B$17,0)+1,2)</f>
        <v>7.1907863506693911E-2</v>
      </c>
      <c r="S103" s="37">
        <f>VLOOKUP($C103,$D$60:$Z$63,S$32,FALSE)*$D$79*$A103/8760/1000*INDEX('Bulb Weighting'!$B$2:$C$17,MATCH(RIGHT('SC-New'!$D66,LEN($D103)-7),'Bulb Weighting'!$B$3:$B$17,0)+1,2)</f>
        <v>7.1911673402970028E-2</v>
      </c>
      <c r="T103" s="37">
        <f>VLOOKUP($C103,$D$60:$Z$63,T$32,FALSE)*$D$79*$A103/8760/1000*INDEX('Bulb Weighting'!$B$2:$C$17,MATCH(RIGHT('SC-New'!$D66,LEN($D103)-7),'Bulb Weighting'!$B$3:$B$17,0)+1,2)</f>
        <v>7.193617825020357E-2</v>
      </c>
      <c r="U103" s="37">
        <f>VLOOKUP($C103,$D$60:$Z$63,U$32,FALSE)*$D$79*$A103/8760/1000*INDEX('Bulb Weighting'!$B$2:$C$17,MATCH(RIGHT('SC-New'!$D66,LEN($D103)-7),'Bulb Weighting'!$B$3:$B$17,0)+1,2)</f>
        <v>7.1906176121985479E-2</v>
      </c>
      <c r="V103" s="37">
        <f>VLOOKUP($C103,$D$60:$Z$63,V$32,FALSE)*$D$79*$A103/8760/1000*INDEX('Bulb Weighting'!$B$2:$C$17,MATCH(RIGHT('SC-New'!$D66,LEN($D103)-7),'Bulb Weighting'!$B$3:$B$17,0)+1,2)</f>
        <v>7.1833158118905061E-2</v>
      </c>
      <c r="W103" s="37">
        <f>VLOOKUP($C103,$D$60:$Z$63,W$32,FALSE)*$D$79*$A103/8760/1000*INDEX('Bulb Weighting'!$B$2:$C$17,MATCH(RIGHT('SC-New'!$D66,LEN($D103)-7),'Bulb Weighting'!$B$3:$B$17,0)+1,2)</f>
        <v>7.1654886129729839E-2</v>
      </c>
      <c r="X103" s="37">
        <f>VLOOKUP($C103,$D$60:$Z$63,X$32,FALSE)*$D$79*$A103/8760/1000*INDEX('Bulb Weighting'!$B$2:$C$17,MATCH(RIGHT('SC-New'!$D66,LEN($D103)-7),'Bulb Weighting'!$B$3:$B$17,0)+1,2)</f>
        <v>7.1469271711387769E-2</v>
      </c>
      <c r="Y103" s="32">
        <f>(VLOOKUP($C103,$D$43:$Z$46,$X$68+3,FALSE)+VLOOKUP($C103,$D$51:$Z$54,$X$68+3,FALSE))*$A103*$D$79/8760/1000*INDEX('Bulb Weighting'!$B$2:$C$17,MATCH(RIGHT('SC-New'!$D66,LEN($D103)-7),'Bulb Weighting'!$B$3:$B$17,0)+1,2)</f>
        <v>0.62496358466330126</v>
      </c>
      <c r="Z103" s="32"/>
      <c r="AA103" s="32">
        <f t="shared" si="35"/>
        <v>1.169673588856897</v>
      </c>
      <c r="AB103" s="37"/>
      <c r="AC103" s="84"/>
    </row>
    <row r="104" spans="1:29" customFormat="1">
      <c r="A104" s="89">
        <f t="shared" si="28"/>
        <v>11.177995908414712</v>
      </c>
      <c r="B104" s="71">
        <f t="shared" si="29"/>
        <v>-118.66739310804593</v>
      </c>
      <c r="C104" s="1" t="s">
        <v>32</v>
      </c>
      <c r="D104" t="s">
        <v>754</v>
      </c>
      <c r="E104" s="37">
        <f>VLOOKUP($C104,$D$60:$Z$63,E$32,FALSE)*$D$79*$A104/8760/1000*INDEX('Bulb Weighting'!$B$2:$C$17,MATCH(RIGHT('SC-New'!$D67,LEN($D104)-7),'Bulb Weighting'!$B$3:$B$17,0)+1,2)</f>
        <v>0</v>
      </c>
      <c r="F104" s="37">
        <f>VLOOKUP($C104,$D$60:$Z$63,F$32,FALSE)*$D$79*$A104/8760/1000*INDEX('Bulb Weighting'!$B$2:$C$17,MATCH(RIGHT('SC-New'!$D67,LEN($D104)-7),'Bulb Weighting'!$B$3:$B$17,0)+1,2)</f>
        <v>2.2178460563091642E-3</v>
      </c>
      <c r="G104" s="37">
        <f>VLOOKUP($C104,$D$60:$Z$63,G$32,FALSE)*$D$79*$A104/8760/1000*INDEX('Bulb Weighting'!$B$2:$C$17,MATCH(RIGHT('SC-New'!$D67,LEN($D104)-7),'Bulb Weighting'!$B$3:$B$17,0)+1,2)</f>
        <v>2.8440617087735006E-3</v>
      </c>
      <c r="H104" s="37">
        <f>VLOOKUP($C104,$D$60:$Z$63,H$32,FALSE)*$D$79*$A104/8760/1000*INDEX('Bulb Weighting'!$B$2:$C$17,MATCH(RIGHT('SC-New'!$D67,LEN($D104)-7),'Bulb Weighting'!$B$3:$B$17,0)+1,2)</f>
        <v>3.32810651823654E-3</v>
      </c>
      <c r="I104" s="37">
        <f>VLOOKUP($C104,$D$60:$Z$63,I$32,FALSE)*$D$79*$A104/8760/1000*INDEX('Bulb Weighting'!$B$2:$C$17,MATCH(RIGHT('SC-New'!$D67,LEN($D104)-7),'Bulb Weighting'!$B$3:$B$17,0)+1,2)</f>
        <v>3.7493278716443962E-3</v>
      </c>
      <c r="J104" s="37">
        <f>VLOOKUP($C104,$D$60:$Z$63,J$32,FALSE)*$D$79*$A104/8760/1000*INDEX('Bulb Weighting'!$B$2:$C$17,MATCH(RIGHT('SC-New'!$D67,LEN($D104)-7),'Bulb Weighting'!$B$3:$B$17,0)+1,2)</f>
        <v>4.1110083015827373E-3</v>
      </c>
      <c r="K104" s="37">
        <f>VLOOKUP($C104,$D$60:$Z$63,K$32,FALSE)*$D$79*$A104/8760/1000*INDEX('Bulb Weighting'!$B$2:$C$17,MATCH(RIGHT('SC-New'!$D67,LEN($D104)-7),'Bulb Weighting'!$B$3:$B$17,0)+1,2)</f>
        <v>4.4180913047372049E-3</v>
      </c>
      <c r="L104" s="37">
        <f>VLOOKUP($C104,$D$60:$Z$63,L$32,FALSE)*$D$79*$A104/8760/1000*INDEX('Bulb Weighting'!$B$2:$C$17,MATCH(RIGHT('SC-New'!$D67,LEN($D104)-7),'Bulb Weighting'!$B$3:$B$17,0)+1,2)</f>
        <v>4.6762774658253336E-3</v>
      </c>
      <c r="M104" s="37">
        <f>VLOOKUP($C104,$D$60:$Z$63,M$32,FALSE)*$D$79*$A104/8760/1000*INDEX('Bulb Weighting'!$B$2:$C$17,MATCH(RIGHT('SC-New'!$D67,LEN($D104)-7),'Bulb Weighting'!$B$3:$B$17,0)+1,2)</f>
        <v>5.7047124676999888E-3</v>
      </c>
      <c r="N104" s="37">
        <f>VLOOKUP($C104,$D$60:$Z$63,N$32,FALSE)*$D$79*$A104/8760/1000*INDEX('Bulb Weighting'!$B$2:$C$17,MATCH(RIGHT('SC-New'!$D67,LEN($D104)-7),'Bulb Weighting'!$B$3:$B$17,0)+1,2)</f>
        <v>5.7689269952218569E-3</v>
      </c>
      <c r="O104" s="37">
        <f>VLOOKUP($C104,$D$60:$Z$63,O$32,FALSE)*$D$79*$A104/8760/1000*INDEX('Bulb Weighting'!$B$2:$C$17,MATCH(RIGHT('SC-New'!$D67,LEN($D104)-7),'Bulb Weighting'!$B$3:$B$17,0)+1,2)</f>
        <v>5.834124420148433E-3</v>
      </c>
      <c r="P104" s="37">
        <f>VLOOKUP($C104,$D$60:$Z$63,P$32,FALSE)*$D$79*$A104/8760/1000*INDEX('Bulb Weighting'!$B$2:$C$17,MATCH(RIGHT('SC-New'!$D67,LEN($D104)-7),'Bulb Weighting'!$B$3:$B$17,0)+1,2)</f>
        <v>5.8648848481912949E-3</v>
      </c>
      <c r="Q104" s="37">
        <f>VLOOKUP($C104,$D$60:$Z$63,Q$32,FALSE)*$D$79*$A104/8760/1000*INDEX('Bulb Weighting'!$B$2:$C$17,MATCH(RIGHT('SC-New'!$D67,LEN($D104)-7),'Bulb Weighting'!$B$3:$B$17,0)+1,2)</f>
        <v>5.8636695109287344E-3</v>
      </c>
      <c r="R104" s="37">
        <f>VLOOKUP($C104,$D$60:$Z$63,R$32,FALSE)*$D$79*$A104/8760/1000*INDEX('Bulb Weighting'!$B$2:$C$17,MATCH(RIGHT('SC-New'!$D67,LEN($D104)-7),'Bulb Weighting'!$B$3:$B$17,0)+1,2)</f>
        <v>5.8622270199727208E-3</v>
      </c>
      <c r="S104" s="37">
        <f>VLOOKUP($C104,$D$60:$Z$63,S$32,FALSE)*$D$79*$A104/8760/1000*INDEX('Bulb Weighting'!$B$2:$C$17,MATCH(RIGHT('SC-New'!$D67,LEN($D104)-7),'Bulb Weighting'!$B$3:$B$17,0)+1,2)</f>
        <v>5.8625376185053989E-3</v>
      </c>
      <c r="T104" s="37">
        <f>VLOOKUP($C104,$D$60:$Z$63,T$32,FALSE)*$D$79*$A104/8760/1000*INDEX('Bulb Weighting'!$B$2:$C$17,MATCH(RIGHT('SC-New'!$D67,LEN($D104)-7),'Bulb Weighting'!$B$3:$B$17,0)+1,2)</f>
        <v>5.864535355200211E-3</v>
      </c>
      <c r="U104" s="37">
        <f>VLOOKUP($C104,$D$60:$Z$63,U$32,FALSE)*$D$79*$A104/8760/1000*INDEX('Bulb Weighting'!$B$2:$C$17,MATCH(RIGHT('SC-New'!$D67,LEN($D104)-7),'Bulb Weighting'!$B$3:$B$17,0)+1,2)</f>
        <v>5.8620894573787521E-3</v>
      </c>
      <c r="V104" s="37">
        <f>VLOOKUP($C104,$D$60:$Z$63,V$32,FALSE)*$D$79*$A104/8760/1000*INDEX('Bulb Weighting'!$B$2:$C$17,MATCH(RIGHT('SC-New'!$D67,LEN($D104)-7),'Bulb Weighting'!$B$3:$B$17,0)+1,2)</f>
        <v>5.8561367271802991E-3</v>
      </c>
      <c r="W104" s="37">
        <f>VLOOKUP($C104,$D$60:$Z$63,W$32,FALSE)*$D$79*$A104/8760/1000*INDEX('Bulb Weighting'!$B$2:$C$17,MATCH(RIGHT('SC-New'!$D67,LEN($D104)-7),'Bulb Weighting'!$B$3:$B$17,0)+1,2)</f>
        <v>5.8416032558618247E-3</v>
      </c>
      <c r="X104" s="37">
        <f>VLOOKUP($C104,$D$60:$Z$63,X$32,FALSE)*$D$79*$A104/8760/1000*INDEX('Bulb Weighting'!$B$2:$C$17,MATCH(RIGHT('SC-New'!$D67,LEN($D104)-7),'Bulb Weighting'!$B$3:$B$17,0)+1,2)</f>
        <v>5.8264711992905708E-3</v>
      </c>
      <c r="Y104" s="32">
        <f>(VLOOKUP($C104,$D$43:$Z$46,$X$68+3,FALSE)+VLOOKUP($C104,$D$51:$Z$54,$X$68+3,FALSE))*$A104*$D$79/8760/1000*INDEX('Bulb Weighting'!$B$2:$C$17,MATCH(RIGHT('SC-New'!$D67,LEN($D104)-7),'Bulb Weighting'!$B$3:$B$17,0)+1,2)</f>
        <v>5.0949621277110571E-2</v>
      </c>
      <c r="Z104" s="32"/>
      <c r="AA104" s="32">
        <f t="shared" si="35"/>
        <v>9.5356638102688948E-2</v>
      </c>
      <c r="AB104" s="37"/>
      <c r="AC104" s="84"/>
    </row>
    <row r="105" spans="1:29" customFormat="1">
      <c r="A105" s="89">
        <f t="shared" si="28"/>
        <v>21.322455076849025</v>
      </c>
      <c r="B105" s="71">
        <f t="shared" si="29"/>
        <v>-49.256412709384371</v>
      </c>
      <c r="C105" s="1" t="s">
        <v>32</v>
      </c>
      <c r="D105" t="s">
        <v>755</v>
      </c>
      <c r="E105" s="37">
        <f>VLOOKUP($C105,$D$60:$Z$63,E$32,FALSE)*$D$79*$A105/8760/1000*INDEX('Bulb Weighting'!$B$2:$C$17,MATCH(RIGHT('SC-New'!$D68,LEN($D105)-7),'Bulb Weighting'!$B$3:$B$17,0)+1,2)</f>
        <v>0</v>
      </c>
      <c r="F105" s="37">
        <f>VLOOKUP($C105,$D$60:$Z$63,F$32,FALSE)*$D$79*$A105/8760/1000*INDEX('Bulb Weighting'!$B$2:$C$17,MATCH(RIGHT('SC-New'!$D68,LEN($D105)-7),'Bulb Weighting'!$B$3:$B$17,0)+1,2)</f>
        <v>2.9287514319720674E-2</v>
      </c>
      <c r="G105" s="37">
        <f>VLOOKUP($C105,$D$60:$Z$63,G$32,FALSE)*$D$79*$A105/8760/1000*INDEX('Bulb Weighting'!$B$2:$C$17,MATCH(RIGHT('SC-New'!$D68,LEN($D105)-7),'Bulb Weighting'!$B$3:$B$17,0)+1,2)</f>
        <v>3.7556934028365178E-2</v>
      </c>
      <c r="H105" s="37">
        <f>VLOOKUP($C105,$D$60:$Z$63,H$32,FALSE)*$D$79*$A105/8760/1000*INDEX('Bulb Weighting'!$B$2:$C$17,MATCH(RIGHT('SC-New'!$D68,LEN($D105)-7),'Bulb Weighting'!$B$3:$B$17,0)+1,2)</f>
        <v>4.394893280943795E-2</v>
      </c>
      <c r="I105" s="37">
        <f>VLOOKUP($C105,$D$60:$Z$63,I$32,FALSE)*$D$79*$A105/8760/1000*INDEX('Bulb Weighting'!$B$2:$C$17,MATCH(RIGHT('SC-New'!$D68,LEN($D105)-7),'Bulb Weighting'!$B$3:$B$17,0)+1,2)</f>
        <v>4.9511323573490605E-2</v>
      </c>
      <c r="J105" s="37">
        <f>VLOOKUP($C105,$D$60:$Z$63,J$32,FALSE)*$D$79*$A105/8760/1000*INDEX('Bulb Weighting'!$B$2:$C$17,MATCH(RIGHT('SC-New'!$D68,LEN($D105)-7),'Bulb Weighting'!$B$3:$B$17,0)+1,2)</f>
        <v>5.4287453431939761E-2</v>
      </c>
      <c r="K105" s="37">
        <f>VLOOKUP($C105,$D$60:$Z$63,K$32,FALSE)*$D$79*$A105/8760/1000*INDEX('Bulb Weighting'!$B$2:$C$17,MATCH(RIGHT('SC-New'!$D68,LEN($D105)-7),'Bulb Weighting'!$B$3:$B$17,0)+1,2)</f>
        <v>5.8342603169066323E-2</v>
      </c>
      <c r="L105" s="37">
        <f>VLOOKUP($C105,$D$60:$Z$63,L$32,FALSE)*$D$79*$A105/8760/1000*INDEX('Bulb Weighting'!$B$2:$C$17,MATCH(RIGHT('SC-New'!$D68,LEN($D105)-7),'Bulb Weighting'!$B$3:$B$17,0)+1,2)</f>
        <v>6.1752051209209381E-2</v>
      </c>
      <c r="M105" s="37">
        <f>VLOOKUP($C105,$D$60:$Z$63,M$32,FALSE)*$D$79*$A105/8760/1000*INDEX('Bulb Weighting'!$B$2:$C$17,MATCH(RIGHT('SC-New'!$D68,LEN($D105)-7),'Bulb Weighting'!$B$3:$B$17,0)+1,2)</f>
        <v>7.533293287528442E-2</v>
      </c>
      <c r="N105" s="37">
        <f>VLOOKUP($C105,$D$60:$Z$63,N$32,FALSE)*$D$79*$A105/8760/1000*INDEX('Bulb Weighting'!$B$2:$C$17,MATCH(RIGHT('SC-New'!$D68,LEN($D105)-7),'Bulb Weighting'!$B$3:$B$17,0)+1,2)</f>
        <v>7.6180910528638998E-2</v>
      </c>
      <c r="O105" s="37">
        <f>VLOOKUP($C105,$D$60:$Z$63,O$32,FALSE)*$D$79*$A105/8760/1000*INDEX('Bulb Weighting'!$B$2:$C$17,MATCH(RIGHT('SC-New'!$D68,LEN($D105)-7),'Bulb Weighting'!$B$3:$B$17,0)+1,2)</f>
        <v>7.7041867722089874E-2</v>
      </c>
      <c r="P105" s="37">
        <f>VLOOKUP($C105,$D$60:$Z$63,P$32,FALSE)*$D$79*$A105/8760/1000*INDEX('Bulb Weighting'!$B$2:$C$17,MATCH(RIGHT('SC-New'!$D68,LEN($D105)-7),'Bulb Weighting'!$B$3:$B$17,0)+1,2)</f>
        <v>7.7448071062589205E-2</v>
      </c>
      <c r="Q105" s="37">
        <f>VLOOKUP($C105,$D$60:$Z$63,Q$32,FALSE)*$D$79*$A105/8760/1000*INDEX('Bulb Weighting'!$B$2:$C$17,MATCH(RIGHT('SC-New'!$D68,LEN($D105)-7),'Bulb Weighting'!$B$3:$B$17,0)+1,2)</f>
        <v>7.7432022064337386E-2</v>
      </c>
      <c r="R105" s="37">
        <f>VLOOKUP($C105,$D$60:$Z$63,R$32,FALSE)*$D$79*$A105/8760/1000*INDEX('Bulb Weighting'!$B$2:$C$17,MATCH(RIGHT('SC-New'!$D68,LEN($D105)-7),'Bulb Weighting'!$B$3:$B$17,0)+1,2)</f>
        <v>7.7412973413773872E-2</v>
      </c>
      <c r="S105" s="37">
        <f>VLOOKUP($C105,$D$60:$Z$63,S$32,FALSE)*$D$79*$A105/8760/1000*INDEX('Bulb Weighting'!$B$2:$C$17,MATCH(RIGHT('SC-New'!$D68,LEN($D105)-7),'Bulb Weighting'!$B$3:$B$17,0)+1,2)</f>
        <v>7.7417074987437037E-2</v>
      </c>
      <c r="T105" s="37">
        <f>VLOOKUP($C105,$D$60:$Z$63,T$32,FALSE)*$D$79*$A105/8760/1000*INDEX('Bulb Weighting'!$B$2:$C$17,MATCH(RIGHT('SC-New'!$D68,LEN($D105)-7),'Bulb Weighting'!$B$3:$B$17,0)+1,2)</f>
        <v>7.744345587257101E-2</v>
      </c>
      <c r="U105" s="37">
        <f>VLOOKUP($C105,$D$60:$Z$63,U$32,FALSE)*$D$79*$A105/8760/1000*INDEX('Bulb Weighting'!$B$2:$C$17,MATCH(RIGHT('SC-New'!$D68,LEN($D105)-7),'Bulb Weighting'!$B$3:$B$17,0)+1,2)</f>
        <v>7.7411156846555751E-2</v>
      </c>
      <c r="V105" s="37">
        <f>VLOOKUP($C105,$D$60:$Z$63,V$32,FALSE)*$D$79*$A105/8760/1000*INDEX('Bulb Weighting'!$B$2:$C$17,MATCH(RIGHT('SC-New'!$D68,LEN($D105)-7),'Bulb Weighting'!$B$3:$B$17,0)+1,2)</f>
        <v>7.7332548743692733E-2</v>
      </c>
      <c r="W105" s="37">
        <f>VLOOKUP($C105,$D$60:$Z$63,W$32,FALSE)*$D$79*$A105/8760/1000*INDEX('Bulb Weighting'!$B$2:$C$17,MATCH(RIGHT('SC-New'!$D68,LEN($D105)-7),'Bulb Weighting'!$B$3:$B$17,0)+1,2)</f>
        <v>7.714062863808209E-2</v>
      </c>
      <c r="X105" s="37">
        <f>VLOOKUP($C105,$D$60:$Z$63,X$32,FALSE)*$D$79*$A105/8760/1000*INDEX('Bulb Weighting'!$B$2:$C$17,MATCH(RIGHT('SC-New'!$D68,LEN($D105)-7),'Bulb Weighting'!$B$3:$B$17,0)+1,2)</f>
        <v>7.6940803982869108E-2</v>
      </c>
      <c r="Y105" s="32">
        <f>(VLOOKUP($C105,$D$43:$Z$46,$X$68+3,FALSE)+VLOOKUP($C105,$D$51:$Z$54,$X$68+3,FALSE))*$A105*$D$79/8760/1000*INDEX('Bulb Weighting'!$B$2:$C$17,MATCH(RIGHT('SC-New'!$D68,LEN($D105)-7),'Bulb Weighting'!$B$3:$B$17,0)+1,2)</f>
        <v>0.67280943981339736</v>
      </c>
      <c r="Z105" s="32"/>
      <c r="AA105" s="32">
        <f>SUM(E105:X105)</f>
        <v>1.2592212592791514</v>
      </c>
      <c r="AB105" s="37"/>
      <c r="AC105" s="84"/>
    </row>
    <row r="106" spans="1:29" customFormat="1">
      <c r="A106" s="89">
        <f t="shared" si="28"/>
        <v>16.258824982644914</v>
      </c>
      <c r="B106" s="71">
        <f t="shared" si="29"/>
        <v>-57.558538168362972</v>
      </c>
      <c r="C106" s="1" t="s">
        <v>32</v>
      </c>
      <c r="D106" t="s">
        <v>756</v>
      </c>
      <c r="E106" s="37">
        <f>VLOOKUP($C106,$D$60:$Z$63,E$32,FALSE)*$D$79*$A106/8760/1000*INDEX('Bulb Weighting'!$B$2:$C$17,MATCH(RIGHT('SC-New'!$D69,LEN($D106)-7),'Bulb Weighting'!$B$3:$B$17,0)+1,2)</f>
        <v>0</v>
      </c>
      <c r="F106" s="37">
        <f>VLOOKUP($C106,$D$60:$Z$63,F$32,FALSE)*$D$79*$A106/8760/1000*INDEX('Bulb Weighting'!$B$2:$C$17,MATCH(RIGHT('SC-New'!$D69,LEN($D106)-7),'Bulb Weighting'!$B$3:$B$17,0)+1,2)</f>
        <v>0.22566170140787728</v>
      </c>
      <c r="G106" s="37">
        <f>VLOOKUP($C106,$D$60:$Z$63,G$32,FALSE)*$D$79*$A106/8760/1000*INDEX('Bulb Weighting'!$B$2:$C$17,MATCH(RIGHT('SC-New'!$D69,LEN($D106)-7),'Bulb Weighting'!$B$3:$B$17,0)+1,2)</f>
        <v>0.28937797656653846</v>
      </c>
      <c r="H106" s="37">
        <f>VLOOKUP($C106,$D$60:$Z$63,H$32,FALSE)*$D$79*$A106/8760/1000*INDEX('Bulb Weighting'!$B$2:$C$17,MATCH(RIGHT('SC-New'!$D69,LEN($D106)-7),'Bulb Weighting'!$B$3:$B$17,0)+1,2)</f>
        <v>0.33862863350476491</v>
      </c>
      <c r="I106" s="37">
        <f>VLOOKUP($C106,$D$60:$Z$63,I$32,FALSE)*$D$79*$A106/8760/1000*INDEX('Bulb Weighting'!$B$2:$C$17,MATCH(RIGHT('SC-New'!$D69,LEN($D106)-7),'Bulb Weighting'!$B$3:$B$17,0)+1,2)</f>
        <v>0.38148712091372844</v>
      </c>
      <c r="J106" s="37">
        <f>VLOOKUP($C106,$D$60:$Z$63,J$32,FALSE)*$D$79*$A106/8760/1000*INDEX('Bulb Weighting'!$B$2:$C$17,MATCH(RIGHT('SC-New'!$D69,LEN($D106)-7),'Bulb Weighting'!$B$3:$B$17,0)+1,2)</f>
        <v>0.41828743036426008</v>
      </c>
      <c r="K106" s="37">
        <f>VLOOKUP($C106,$D$60:$Z$63,K$32,FALSE)*$D$79*$A106/8760/1000*INDEX('Bulb Weighting'!$B$2:$C$17,MATCH(RIGHT('SC-New'!$D69,LEN($D106)-7),'Bulb Weighting'!$B$3:$B$17,0)+1,2)</f>
        <v>0.44953255342775994</v>
      </c>
      <c r="L106" s="37">
        <f>VLOOKUP($C106,$D$60:$Z$63,L$32,FALSE)*$D$79*$A106/8760/1000*INDEX('Bulb Weighting'!$B$2:$C$17,MATCH(RIGHT('SC-New'!$D69,LEN($D106)-7),'Bulb Weighting'!$B$3:$B$17,0)+1,2)</f>
        <v>0.47580251397140277</v>
      </c>
      <c r="M106" s="37">
        <f>VLOOKUP($C106,$D$60:$Z$63,M$32,FALSE)*$D$79*$A106/8760/1000*INDEX('Bulb Weighting'!$B$2:$C$17,MATCH(RIGHT('SC-New'!$D69,LEN($D106)-7),'Bulb Weighting'!$B$3:$B$17,0)+1,2)</f>
        <v>0.5804438580584953</v>
      </c>
      <c r="N106" s="37">
        <f>VLOOKUP($C106,$D$60:$Z$63,N$32,FALSE)*$D$79*$A106/8760/1000*INDEX('Bulb Weighting'!$B$2:$C$17,MATCH(RIGHT('SC-New'!$D69,LEN($D106)-7),'Bulb Weighting'!$B$3:$B$17,0)+1,2)</f>
        <v>0.5869775665160617</v>
      </c>
      <c r="O106" s="37">
        <f>VLOOKUP($C106,$D$60:$Z$63,O$32,FALSE)*$D$79*$A106/8760/1000*INDEX('Bulb Weighting'!$B$2:$C$17,MATCH(RIGHT('SC-New'!$D69,LEN($D106)-7),'Bulb Weighting'!$B$3:$B$17,0)+1,2)</f>
        <v>0.59361128295210097</v>
      </c>
      <c r="P106" s="37">
        <f>VLOOKUP($C106,$D$60:$Z$63,P$32,FALSE)*$D$79*$A106/8760/1000*INDEX('Bulb Weighting'!$B$2:$C$17,MATCH(RIGHT('SC-New'!$D69,LEN($D106)-7),'Bulb Weighting'!$B$3:$B$17,0)+1,2)</f>
        <v>0.59674109915753171</v>
      </c>
      <c r="Q106" s="37">
        <f>VLOOKUP($C106,$D$60:$Z$63,Q$32,FALSE)*$D$79*$A106/8760/1000*INDEX('Bulb Weighting'!$B$2:$C$17,MATCH(RIGHT('SC-New'!$D69,LEN($D106)-7),'Bulb Weighting'!$B$3:$B$17,0)+1,2)</f>
        <v>0.59661744085686952</v>
      </c>
      <c r="R106" s="37">
        <f>VLOOKUP($C106,$D$60:$Z$63,R$32,FALSE)*$D$79*$A106/8760/1000*INDEX('Bulb Weighting'!$B$2:$C$17,MATCH(RIGHT('SC-New'!$D69,LEN($D106)-7),'Bulb Weighting'!$B$3:$B$17,0)+1,2)</f>
        <v>0.59647067009139043</v>
      </c>
      <c r="S106" s="37">
        <f>VLOOKUP($C106,$D$60:$Z$63,S$32,FALSE)*$D$79*$A106/8760/1000*INDEX('Bulb Weighting'!$B$2:$C$17,MATCH(RIGHT('SC-New'!$D69,LEN($D106)-7),'Bulb Weighting'!$B$3:$B$17,0)+1,2)</f>
        <v>0.59650227291302871</v>
      </c>
      <c r="T106" s="37">
        <f>VLOOKUP($C106,$D$60:$Z$63,T$32,FALSE)*$D$79*$A106/8760/1000*INDEX('Bulb Weighting'!$B$2:$C$17,MATCH(RIGHT('SC-New'!$D69,LEN($D106)-7),'Bulb Weighting'!$B$3:$B$17,0)+1,2)</f>
        <v>0.59670553889726308</v>
      </c>
      <c r="U106" s="37">
        <f>VLOOKUP($C106,$D$60:$Z$63,U$32,FALSE)*$D$79*$A106/8760/1000*INDEX('Bulb Weighting'!$B$2:$C$17,MATCH(RIGHT('SC-New'!$D69,LEN($D106)-7),'Bulb Weighting'!$B$3:$B$17,0)+1,2)</f>
        <v>0.59645667335391761</v>
      </c>
      <c r="V106" s="37">
        <f>VLOOKUP($C106,$D$60:$Z$63,V$32,FALSE)*$D$79*$A106/8760/1000*INDEX('Bulb Weighting'!$B$2:$C$17,MATCH(RIGHT('SC-New'!$D69,LEN($D106)-7),'Bulb Weighting'!$B$3:$B$17,0)+1,2)</f>
        <v>0.59585099415414455</v>
      </c>
      <c r="W106" s="37">
        <f>VLOOKUP($C106,$D$60:$Z$63,W$32,FALSE)*$D$79*$A106/8760/1000*INDEX('Bulb Weighting'!$B$2:$C$17,MATCH(RIGHT('SC-New'!$D69,LEN($D106)-7),'Bulb Weighting'!$B$3:$B$17,0)+1,2)</f>
        <v>0.59437224054283788</v>
      </c>
      <c r="X106" s="37">
        <f>VLOOKUP($C106,$D$60:$Z$63,X$32,FALSE)*$D$79*$A106/8760/1000*INDEX('Bulb Weighting'!$B$2:$C$17,MATCH(RIGHT('SC-New'!$D69,LEN($D106)-7),'Bulb Weighting'!$B$3:$B$17,0)+1,2)</f>
        <v>0.59283258199802791</v>
      </c>
      <c r="Y106" s="32">
        <f>(VLOOKUP($C106,$D$43:$Z$46,$X$68+3,FALSE)+VLOOKUP($C106,$D$51:$Z$54,$X$68+3,FALSE))*$A106*$D$79/8760/1000*INDEX('Bulb Weighting'!$B$2:$C$17,MATCH(RIGHT('SC-New'!$D69,LEN($D106)-7),'Bulb Weighting'!$B$3:$B$17,0)+1,2)</f>
        <v>5.184028977472475</v>
      </c>
      <c r="Z106" s="32"/>
      <c r="AA106" s="32">
        <f t="shared" ref="AA106:AA108" si="36">SUM(E106:X106)</f>
        <v>9.7023601496479994</v>
      </c>
      <c r="AB106" s="37"/>
      <c r="AC106" s="84"/>
    </row>
    <row r="107" spans="1:29" customFormat="1">
      <c r="A107" s="89">
        <f t="shared" si="28"/>
        <v>87.041761167225999</v>
      </c>
      <c r="B107" s="71">
        <f t="shared" si="29"/>
        <v>-31.342168529326845</v>
      </c>
      <c r="C107" s="1" t="s">
        <v>32</v>
      </c>
      <c r="D107" t="s">
        <v>757</v>
      </c>
      <c r="E107" s="37">
        <f>VLOOKUP($C107,$D$60:$Z$63,E$32,FALSE)*$D$79*$A107/8760/1000*INDEX('Bulb Weighting'!$B$2:$C$17,MATCH(RIGHT('SC-New'!$D70,LEN($D107)-7),'Bulb Weighting'!$B$3:$B$17,0)+1,2)</f>
        <v>0</v>
      </c>
      <c r="F107" s="37">
        <f>VLOOKUP($C107,$D$60:$Z$63,F$32,FALSE)*$D$79*$A107/8760/1000*INDEX('Bulb Weighting'!$B$2:$C$17,MATCH(RIGHT('SC-New'!$D70,LEN($D107)-7),'Bulb Weighting'!$B$3:$B$17,0)+1,2)</f>
        <v>9.9276935197806518E-2</v>
      </c>
      <c r="G107" s="37">
        <f>VLOOKUP($C107,$D$60:$Z$63,G$32,FALSE)*$D$79*$A107/8760/1000*INDEX('Bulb Weighting'!$B$2:$C$17,MATCH(RIGHT('SC-New'!$D70,LEN($D107)-7),'Bulb Weighting'!$B$3:$B$17,0)+1,2)</f>
        <v>0.12730808306431463</v>
      </c>
      <c r="H107" s="37">
        <f>VLOOKUP($C107,$D$60:$Z$63,H$32,FALSE)*$D$79*$A107/8760/1000*INDEX('Bulb Weighting'!$B$2:$C$17,MATCH(RIGHT('SC-New'!$D70,LEN($D107)-7),'Bulb Weighting'!$B$3:$B$17,0)+1,2)</f>
        <v>0.14897527003844879</v>
      </c>
      <c r="I107" s="37">
        <f>VLOOKUP($C107,$D$60:$Z$63,I$32,FALSE)*$D$79*$A107/8760/1000*INDEX('Bulb Weighting'!$B$2:$C$17,MATCH(RIGHT('SC-New'!$D70,LEN($D107)-7),'Bulb Weighting'!$B$3:$B$17,0)+1,2)</f>
        <v>0.1678303050338871</v>
      </c>
      <c r="J107" s="37">
        <f>VLOOKUP($C107,$D$60:$Z$63,J$32,FALSE)*$D$79*$A107/8760/1000*INDEX('Bulb Weighting'!$B$2:$C$17,MATCH(RIGHT('SC-New'!$D70,LEN($D107)-7),'Bulb Weighting'!$B$3:$B$17,0)+1,2)</f>
        <v>0.18402012330515949</v>
      </c>
      <c r="K107" s="37">
        <f>VLOOKUP($C107,$D$60:$Z$63,K$32,FALSE)*$D$79*$A107/8760/1000*INDEX('Bulb Weighting'!$B$2:$C$17,MATCH(RIGHT('SC-New'!$D70,LEN($D107)-7),'Bulb Weighting'!$B$3:$B$17,0)+1,2)</f>
        <v>0.19776600946249165</v>
      </c>
      <c r="L107" s="37">
        <f>VLOOKUP($C107,$D$60:$Z$63,L$32,FALSE)*$D$79*$A107/8760/1000*INDEX('Bulb Weighting'!$B$2:$C$17,MATCH(RIGHT('SC-New'!$D70,LEN($D107)-7),'Bulb Weighting'!$B$3:$B$17,0)+1,2)</f>
        <v>0.20932313747433035</v>
      </c>
      <c r="M107" s="37">
        <f>VLOOKUP($C107,$D$60:$Z$63,M$32,FALSE)*$D$79*$A107/8760/1000*INDEX('Bulb Weighting'!$B$2:$C$17,MATCH(RIGHT('SC-New'!$D70,LEN($D107)-7),'Bulb Weighting'!$B$3:$B$17,0)+1,2)</f>
        <v>0.25535873798222858</v>
      </c>
      <c r="N107" s="37">
        <f>VLOOKUP($C107,$D$60:$Z$63,N$32,FALSE)*$D$79*$A107/8760/1000*INDEX('Bulb Weighting'!$B$2:$C$17,MATCH(RIGHT('SC-New'!$D70,LEN($D107)-7),'Bulb Weighting'!$B$3:$B$17,0)+1,2)</f>
        <v>0.25823315817447368</v>
      </c>
      <c r="O107" s="37">
        <f>VLOOKUP($C107,$D$60:$Z$63,O$32,FALSE)*$D$79*$A107/8760/1000*INDEX('Bulb Weighting'!$B$2:$C$17,MATCH(RIGHT('SC-New'!$D70,LEN($D107)-7),'Bulb Weighting'!$B$3:$B$17,0)+1,2)</f>
        <v>0.26115157557819146</v>
      </c>
      <c r="P107" s="37">
        <f>VLOOKUP($C107,$D$60:$Z$63,P$32,FALSE)*$D$79*$A107/8760/1000*INDEX('Bulb Weighting'!$B$2:$C$17,MATCH(RIGHT('SC-New'!$D70,LEN($D107)-7),'Bulb Weighting'!$B$3:$B$17,0)+1,2)</f>
        <v>0.26252849757545127</v>
      </c>
      <c r="Q107" s="37">
        <f>VLOOKUP($C107,$D$60:$Z$63,Q$32,FALSE)*$D$79*$A107/8760/1000*INDEX('Bulb Weighting'!$B$2:$C$17,MATCH(RIGHT('SC-New'!$D70,LEN($D107)-7),'Bulb Weighting'!$B$3:$B$17,0)+1,2)</f>
        <v>0.26247409571184332</v>
      </c>
      <c r="R107" s="37">
        <f>VLOOKUP($C107,$D$60:$Z$63,R$32,FALSE)*$D$79*$A107/8760/1000*INDEX('Bulb Weighting'!$B$2:$C$17,MATCH(RIGHT('SC-New'!$D70,LEN($D107)-7),'Bulb Weighting'!$B$3:$B$17,0)+1,2)</f>
        <v>0.26240952581946686</v>
      </c>
      <c r="S107" s="37">
        <f>VLOOKUP($C107,$D$60:$Z$63,S$32,FALSE)*$D$79*$A107/8760/1000*INDEX('Bulb Weighting'!$B$2:$C$17,MATCH(RIGHT('SC-New'!$D70,LEN($D107)-7),'Bulb Weighting'!$B$3:$B$17,0)+1,2)</f>
        <v>0.26242342907046728</v>
      </c>
      <c r="T107" s="37">
        <f>VLOOKUP($C107,$D$60:$Z$63,T$32,FALSE)*$D$79*$A107/8760/1000*INDEX('Bulb Weighting'!$B$2:$C$17,MATCH(RIGHT('SC-New'!$D70,LEN($D107)-7),'Bulb Weighting'!$B$3:$B$17,0)+1,2)</f>
        <v>0.26251285330071489</v>
      </c>
      <c r="U107" s="37">
        <f>VLOOKUP($C107,$D$60:$Z$63,U$32,FALSE)*$D$79*$A107/8760/1000*INDEX('Bulb Weighting'!$B$2:$C$17,MATCH(RIGHT('SC-New'!$D70,LEN($D107)-7),'Bulb Weighting'!$B$3:$B$17,0)+1,2)</f>
        <v>0.26240336813657072</v>
      </c>
      <c r="V107" s="37">
        <f>VLOOKUP($C107,$D$60:$Z$63,V$32,FALSE)*$D$79*$A107/8760/1000*INDEX('Bulb Weighting'!$B$2:$C$17,MATCH(RIGHT('SC-New'!$D70,LEN($D107)-7),'Bulb Weighting'!$B$3:$B$17,0)+1,2)</f>
        <v>0.26213690743769541</v>
      </c>
      <c r="W107" s="37">
        <f>VLOOKUP($C107,$D$60:$Z$63,W$32,FALSE)*$D$79*$A107/8760/1000*INDEX('Bulb Weighting'!$B$2:$C$17,MATCH(RIGHT('SC-New'!$D70,LEN($D107)-7),'Bulb Weighting'!$B$3:$B$17,0)+1,2)</f>
        <v>0.26148634898879919</v>
      </c>
      <c r="X107" s="37">
        <f>VLOOKUP($C107,$D$60:$Z$63,X$32,FALSE)*$D$79*$A107/8760/1000*INDEX('Bulb Weighting'!$B$2:$C$17,MATCH(RIGHT('SC-New'!$D70,LEN($D107)-7),'Bulb Weighting'!$B$3:$B$17,0)+1,2)</f>
        <v>0.26080899620529086</v>
      </c>
      <c r="Y107" s="32">
        <f>(VLOOKUP($C107,$D$43:$Z$46,$X$68+3,FALSE)+VLOOKUP($C107,$D$51:$Z$54,$X$68+3,FALSE))*$A107*$D$79/8760/1000*INDEX('Bulb Weighting'!$B$2:$C$17,MATCH(RIGHT('SC-New'!$D70,LEN($D107)-7),'Bulb Weighting'!$B$3:$B$17,0)+1,2)</f>
        <v>2.2806462312799036</v>
      </c>
      <c r="Z107" s="32"/>
      <c r="AA107" s="32">
        <f t="shared" si="36"/>
        <v>4.2684273575576324</v>
      </c>
      <c r="AB107" s="37"/>
      <c r="AC107" s="84"/>
    </row>
    <row r="108" spans="1:29" customFormat="1">
      <c r="A108" s="89">
        <f t="shared" si="28"/>
        <v>50.673589083344737</v>
      </c>
      <c r="B108" s="71">
        <f t="shared" si="29"/>
        <v>-6.4266835469852737</v>
      </c>
      <c r="C108" s="1" t="s">
        <v>32</v>
      </c>
      <c r="D108" t="s">
        <v>758</v>
      </c>
      <c r="E108" s="37">
        <f>VLOOKUP($C108,$D$60:$Z$63,E$32,FALSE)*$D$79*$A108/8760/1000*INDEX('Bulb Weighting'!$B$2:$C$17,MATCH(RIGHT('SC-New'!$D71,LEN($D108)-7),'Bulb Weighting'!$B$3:$B$17,0)+1,2)</f>
        <v>0</v>
      </c>
      <c r="F108" s="37">
        <f>VLOOKUP($C108,$D$60:$Z$63,F$32,FALSE)*$D$79*$A108/8760/1000*INDEX('Bulb Weighting'!$B$2:$C$17,MATCH(RIGHT('SC-New'!$D71,LEN($D108)-7),'Bulb Weighting'!$B$3:$B$17,0)+1,2)</f>
        <v>9.069071917854896E-4</v>
      </c>
      <c r="G108" s="37">
        <f>VLOOKUP($C108,$D$60:$Z$63,G$32,FALSE)*$D$79*$A108/8760/1000*INDEX('Bulb Weighting'!$B$2:$C$17,MATCH(RIGHT('SC-New'!$D71,LEN($D108)-7),'Bulb Weighting'!$B$3:$B$17,0)+1,2)</f>
        <v>1.1629752255486873E-3</v>
      </c>
      <c r="H108" s="37">
        <f>VLOOKUP($C108,$D$60:$Z$63,H$32,FALSE)*$D$79*$A108/8760/1000*INDEX('Bulb Weighting'!$B$2:$C$17,MATCH(RIGHT('SC-New'!$D71,LEN($D108)-7),'Bulb Weighting'!$B$3:$B$17,0)+1,2)</f>
        <v>1.3609076824023442E-3</v>
      </c>
      <c r="I108" s="37">
        <f>VLOOKUP($C108,$D$60:$Z$63,I$32,FALSE)*$D$79*$A108/8760/1000*INDEX('Bulb Weighting'!$B$2:$C$17,MATCH(RIGHT('SC-New'!$D71,LEN($D108)-7),'Bulb Weighting'!$B$3:$B$17,0)+1,2)</f>
        <v>1.5331507800026005E-3</v>
      </c>
      <c r="J108" s="37">
        <f>VLOOKUP($C108,$D$60:$Z$63,J$32,FALSE)*$D$79*$A108/8760/1000*INDEX('Bulb Weighting'!$B$2:$C$17,MATCH(RIGHT('SC-New'!$D71,LEN($D108)-7),'Bulb Weighting'!$B$3:$B$17,0)+1,2)</f>
        <v>1.6810467902356142E-3</v>
      </c>
      <c r="K108" s="37">
        <f>VLOOKUP($C108,$D$60:$Z$63,K$32,FALSE)*$D$79*$A108/8760/1000*INDEX('Bulb Weighting'!$B$2:$C$17,MATCH(RIGHT('SC-New'!$D71,LEN($D108)-7),'Bulb Weighting'!$B$3:$B$17,0)+1,2)</f>
        <v>1.80661717562987E-3</v>
      </c>
      <c r="L108" s="37">
        <f>VLOOKUP($C108,$D$60:$Z$63,L$32,FALSE)*$D$79*$A108/8760/1000*INDEX('Bulb Weighting'!$B$2:$C$17,MATCH(RIGHT('SC-New'!$D71,LEN($D108)-7),'Bulb Weighting'!$B$3:$B$17,0)+1,2)</f>
        <v>1.9121929822302499E-3</v>
      </c>
      <c r="M108" s="37">
        <f>VLOOKUP($C108,$D$60:$Z$63,M$32,FALSE)*$D$79*$A108/8760/1000*INDEX('Bulb Weighting'!$B$2:$C$17,MATCH(RIGHT('SC-New'!$D71,LEN($D108)-7),'Bulb Weighting'!$B$3:$B$17,0)+1,2)</f>
        <v>2.3327339376454318E-3</v>
      </c>
      <c r="N108" s="37">
        <f>VLOOKUP($C108,$D$60:$Z$63,N$32,FALSE)*$D$79*$A108/8760/1000*INDEX('Bulb Weighting'!$B$2:$C$17,MATCH(RIGHT('SC-New'!$D71,LEN($D108)-7),'Bulb Weighting'!$B$3:$B$17,0)+1,2)</f>
        <v>2.358992124800046E-3</v>
      </c>
      <c r="O108" s="37">
        <f>VLOOKUP($C108,$D$60:$Z$63,O$32,FALSE)*$D$79*$A108/8760/1000*INDEX('Bulb Weighting'!$B$2:$C$17,MATCH(RIGHT('SC-New'!$D71,LEN($D108)-7),'Bulb Weighting'!$B$3:$B$17,0)+1,2)</f>
        <v>2.3856522319718678E-3</v>
      </c>
      <c r="P108" s="37">
        <f>VLOOKUP($C108,$D$60:$Z$63,P$32,FALSE)*$D$79*$A108/8760/1000*INDEX('Bulb Weighting'!$B$2:$C$17,MATCH(RIGHT('SC-New'!$D71,LEN($D108)-7),'Bulb Weighting'!$B$3:$B$17,0)+1,2)</f>
        <v>2.3982305862427218E-3</v>
      </c>
      <c r="Q108" s="37">
        <f>VLOOKUP($C108,$D$60:$Z$63,Q$32,FALSE)*$D$79*$A108/8760/1000*INDEX('Bulb Weighting'!$B$2:$C$17,MATCH(RIGHT('SC-New'!$D71,LEN($D108)-7),'Bulb Weighting'!$B$3:$B$17,0)+1,2)</f>
        <v>2.3977336184298633E-3</v>
      </c>
      <c r="R108" s="37">
        <f>VLOOKUP($C108,$D$60:$Z$63,R$32,FALSE)*$D$79*$A108/8760/1000*INDEX('Bulb Weighting'!$B$2:$C$17,MATCH(RIGHT('SC-New'!$D71,LEN($D108)-7),'Bulb Weighting'!$B$3:$B$17,0)+1,2)</f>
        <v>2.3971437644053372E-3</v>
      </c>
      <c r="S108" s="37">
        <f>VLOOKUP($C108,$D$60:$Z$63,S$32,FALSE)*$D$79*$A108/8760/1000*INDEX('Bulb Weighting'!$B$2:$C$17,MATCH(RIGHT('SC-New'!$D71,LEN($D108)-7),'Bulb Weighting'!$B$3:$B$17,0)+1,2)</f>
        <v>2.3972707723382107E-3</v>
      </c>
      <c r="T108" s="37">
        <f>VLOOKUP($C108,$D$60:$Z$63,T$32,FALSE)*$D$79*$A108/8760/1000*INDEX('Bulb Weighting'!$B$2:$C$17,MATCH(RIGHT('SC-New'!$D71,LEN($D108)-7),'Bulb Weighting'!$B$3:$B$17,0)+1,2)</f>
        <v>2.3980876738407581E-3</v>
      </c>
      <c r="U108" s="37">
        <f>VLOOKUP($C108,$D$60:$Z$63,U$32,FALSE)*$D$79*$A108/8760/1000*INDEX('Bulb Weighting'!$B$2:$C$17,MATCH(RIGHT('SC-New'!$D71,LEN($D108)-7),'Bulb Weighting'!$B$3:$B$17,0)+1,2)</f>
        <v>2.3970875132036649E-3</v>
      </c>
      <c r="V108" s="37">
        <f>VLOOKUP($C108,$D$60:$Z$63,V$32,FALSE)*$D$79*$A108/8760/1000*INDEX('Bulb Weighting'!$B$2:$C$17,MATCH(RIGHT('SC-New'!$D71,LEN($D108)-7),'Bulb Weighting'!$B$3:$B$17,0)+1,2)</f>
        <v>2.3946533614678492E-3</v>
      </c>
      <c r="W108" s="37">
        <f>VLOOKUP($C108,$D$60:$Z$63,W$32,FALSE)*$D$79*$A108/8760/1000*INDEX('Bulb Weighting'!$B$2:$C$17,MATCH(RIGHT('SC-New'!$D71,LEN($D108)-7),'Bulb Weighting'!$B$3:$B$17,0)+1,2)</f>
        <v>2.3887104288540925E-3</v>
      </c>
      <c r="X108" s="37">
        <f>VLOOKUP($C108,$D$60:$Z$63,X$32,FALSE)*$D$79*$A108/8760/1000*INDEX('Bulb Weighting'!$B$2:$C$17,MATCH(RIGHT('SC-New'!$D71,LEN($D108)-7),'Bulb Weighting'!$B$3:$B$17,0)+1,2)</f>
        <v>2.3825227266499938E-3</v>
      </c>
      <c r="Y108" s="32">
        <f>(VLOOKUP($C108,$D$43:$Z$46,$X$68+3,FALSE)+VLOOKUP($C108,$D$51:$Z$54,$X$68+3,FALSE))*$A108*$D$79/8760/1000*INDEX('Bulb Weighting'!$B$2:$C$17,MATCH(RIGHT('SC-New'!$D71,LEN($D108)-7),'Bulb Weighting'!$B$3:$B$17,0)+1,2)</f>
        <v>2.0833987924235561E-2</v>
      </c>
      <c r="Z108" s="32"/>
      <c r="AA108" s="32">
        <f t="shared" si="36"/>
        <v>3.8992616567684699E-2</v>
      </c>
      <c r="AB108" s="37"/>
      <c r="AC108" s="84"/>
    </row>
    <row r="109" spans="1:29" customFormat="1">
      <c r="A109" s="89">
        <f t="shared" si="28"/>
        <v>54.583633546821666</v>
      </c>
      <c r="B109" s="71">
        <f t="shared" si="29"/>
        <v>-12.334283459818346</v>
      </c>
      <c r="C109" s="1" t="s">
        <v>32</v>
      </c>
      <c r="D109" t="s">
        <v>759</v>
      </c>
      <c r="E109" s="37">
        <f>VLOOKUP($C109,$D$60:$Z$63,E$32,FALSE)*$D$79*$A109/8760/1000*INDEX('Bulb Weighting'!$B$2:$C$17,MATCH(RIGHT('SC-New'!$D72,LEN($D109)-7),'Bulb Weighting'!$B$3:$B$17,0)+1,2)</f>
        <v>0</v>
      </c>
      <c r="F109" s="37">
        <f>VLOOKUP($C109,$D$60:$Z$63,F$32,FALSE)*$D$79*$A109/8760/1000*INDEX('Bulb Weighting'!$B$2:$C$17,MATCH(RIGHT('SC-New'!$D72,LEN($D109)-7),'Bulb Weighting'!$B$3:$B$17,0)+1,2)</f>
        <v>1.2058107657886685E-2</v>
      </c>
      <c r="G109" s="37">
        <f>VLOOKUP($C109,$D$60:$Z$63,G$32,FALSE)*$D$79*$A109/8760/1000*INDEX('Bulb Weighting'!$B$2:$C$17,MATCH(RIGHT('SC-New'!$D72,LEN($D109)-7),'Bulb Weighting'!$B$3:$B$17,0)+1,2)</f>
        <v>1.5462751426099666E-2</v>
      </c>
      <c r="H109" s="37">
        <f>VLOOKUP($C109,$D$60:$Z$63,H$32,FALSE)*$D$79*$A109/8760/1000*INDEX('Bulb Weighting'!$B$2:$C$17,MATCH(RIGHT('SC-New'!$D72,LEN($D109)-7),'Bulb Weighting'!$B$3:$B$17,0)+1,2)</f>
        <v>1.8094432920467977E-2</v>
      </c>
      <c r="I109" s="37">
        <f>VLOOKUP($C109,$D$60:$Z$63,I$32,FALSE)*$D$79*$A109/8760/1000*INDEX('Bulb Weighting'!$B$2:$C$17,MATCH(RIGHT('SC-New'!$D72,LEN($D109)-7),'Bulb Weighting'!$B$3:$B$17,0)+1,2)</f>
        <v>2.0384552386940383E-2</v>
      </c>
      <c r="J109" s="37">
        <f>VLOOKUP($C109,$D$60:$Z$63,J$32,FALSE)*$D$79*$A109/8760/1000*INDEX('Bulb Weighting'!$B$2:$C$17,MATCH(RIGHT('SC-New'!$D72,LEN($D109)-7),'Bulb Weighting'!$B$3:$B$17,0)+1,2)</f>
        <v>2.235095647956931E-2</v>
      </c>
      <c r="K109" s="37">
        <f>VLOOKUP($C109,$D$60:$Z$63,K$32,FALSE)*$D$79*$A109/8760/1000*INDEX('Bulb Weighting'!$B$2:$C$17,MATCH(RIGHT('SC-New'!$D72,LEN($D109)-7),'Bulb Weighting'!$B$3:$B$17,0)+1,2)</f>
        <v>2.4020522273556749E-2</v>
      </c>
      <c r="L109" s="37">
        <f>VLOOKUP($C109,$D$60:$Z$63,L$32,FALSE)*$D$79*$A109/8760/1000*INDEX('Bulb Weighting'!$B$2:$C$17,MATCH(RIGHT('SC-New'!$D72,LEN($D109)-7),'Bulb Weighting'!$B$3:$B$17,0)+1,2)</f>
        <v>2.5424243022037381E-2</v>
      </c>
      <c r="M109" s="37">
        <f>VLOOKUP($C109,$D$60:$Z$63,M$32,FALSE)*$D$79*$A109/8760/1000*INDEX('Bulb Weighting'!$B$2:$C$17,MATCH(RIGHT('SC-New'!$D72,LEN($D109)-7),'Bulb Weighting'!$B$3:$B$17,0)+1,2)</f>
        <v>3.1015695114244644E-2</v>
      </c>
      <c r="N109" s="37">
        <f>VLOOKUP($C109,$D$60:$Z$63,N$32,FALSE)*$D$79*$A109/8760/1000*INDEX('Bulb Weighting'!$B$2:$C$17,MATCH(RIGHT('SC-New'!$D72,LEN($D109)-7),'Bulb Weighting'!$B$3:$B$17,0)+1,2)</f>
        <v>3.136482019614846E-2</v>
      </c>
      <c r="O109" s="37">
        <f>VLOOKUP($C109,$D$60:$Z$63,O$32,FALSE)*$D$79*$A109/8760/1000*INDEX('Bulb Weighting'!$B$2:$C$17,MATCH(RIGHT('SC-New'!$D72,LEN($D109)-7),'Bulb Weighting'!$B$3:$B$17,0)+1,2)</f>
        <v>3.1719289148826775E-2</v>
      </c>
      <c r="P109" s="37">
        <f>VLOOKUP($C109,$D$60:$Z$63,P$32,FALSE)*$D$79*$A109/8760/1000*INDEX('Bulb Weighting'!$B$2:$C$17,MATCH(RIGHT('SC-New'!$D72,LEN($D109)-7),'Bulb Weighting'!$B$3:$B$17,0)+1,2)</f>
        <v>3.188652913912654E-2</v>
      </c>
      <c r="Q109" s="37">
        <f>VLOOKUP($C109,$D$60:$Z$63,Q$32,FALSE)*$D$79*$A109/8760/1000*INDEX('Bulb Weighting'!$B$2:$C$17,MATCH(RIGHT('SC-New'!$D72,LEN($D109)-7),'Bulb Weighting'!$B$3:$B$17,0)+1,2)</f>
        <v>3.1879921526523809E-2</v>
      </c>
      <c r="R109" s="37">
        <f>VLOOKUP($C109,$D$60:$Z$63,R$32,FALSE)*$D$79*$A109/8760/1000*INDEX('Bulb Weighting'!$B$2:$C$17,MATCH(RIGHT('SC-New'!$D72,LEN($D109)-7),'Bulb Weighting'!$B$3:$B$17,0)+1,2)</f>
        <v>3.1872078912202742E-2</v>
      </c>
      <c r="S109" s="37">
        <f>VLOOKUP($C109,$D$60:$Z$63,S$32,FALSE)*$D$79*$A109/8760/1000*INDEX('Bulb Weighting'!$B$2:$C$17,MATCH(RIGHT('SC-New'!$D72,LEN($D109)-7),'Bulb Weighting'!$B$3:$B$17,0)+1,2)</f>
        <v>3.1873767591421368E-2</v>
      </c>
      <c r="T109" s="37">
        <f>VLOOKUP($C109,$D$60:$Z$63,T$32,FALSE)*$D$79*$A109/8760/1000*INDEX('Bulb Weighting'!$B$2:$C$17,MATCH(RIGHT('SC-New'!$D72,LEN($D109)-7),'Bulb Weighting'!$B$3:$B$17,0)+1,2)</f>
        <v>3.1884628996373093E-2</v>
      </c>
      <c r="U109" s="37">
        <f>VLOOKUP($C109,$D$60:$Z$63,U$32,FALSE)*$D$79*$A109/8760/1000*INDEX('Bulb Weighting'!$B$2:$C$17,MATCH(RIGHT('SC-New'!$D72,LEN($D109)-7),'Bulb Weighting'!$B$3:$B$17,0)+1,2)</f>
        <v>3.1871331004311179E-2</v>
      </c>
      <c r="V109" s="37">
        <f>VLOOKUP($C109,$D$60:$Z$63,V$32,FALSE)*$D$79*$A109/8760/1000*INDEX('Bulb Weighting'!$B$2:$C$17,MATCH(RIGHT('SC-New'!$D72,LEN($D109)-7),'Bulb Weighting'!$B$3:$B$17,0)+1,2)</f>
        <v>3.1838966872730842E-2</v>
      </c>
      <c r="W109" s="37">
        <f>VLOOKUP($C109,$D$60:$Z$63,W$32,FALSE)*$D$79*$A109/8760/1000*INDEX('Bulb Weighting'!$B$2:$C$17,MATCH(RIGHT('SC-New'!$D72,LEN($D109)-7),'Bulb Weighting'!$B$3:$B$17,0)+1,2)</f>
        <v>3.17599504949699E-2</v>
      </c>
      <c r="X109" s="37">
        <f>VLOOKUP($C109,$D$60:$Z$63,X$32,FALSE)*$D$79*$A109/8760/1000*INDEX('Bulb Weighting'!$B$2:$C$17,MATCH(RIGHT('SC-New'!$D72,LEN($D109)-7),'Bulb Weighting'!$B$3:$B$17,0)+1,2)</f>
        <v>3.1677679695920356E-2</v>
      </c>
      <c r="Y109" s="32">
        <f>(VLOOKUP($C109,$D$43:$Z$46,$X$68+3,FALSE)+VLOOKUP($C109,$D$51:$Z$54,$X$68+3,FALSE))*$A109*$D$79/8760/1000*INDEX('Bulb Weighting'!$B$2:$C$17,MATCH(RIGHT('SC-New'!$D72,LEN($D109)-7),'Bulb Weighting'!$B$3:$B$17,0)+1,2)</f>
        <v>0.27700570864252683</v>
      </c>
      <c r="Z109" s="32"/>
      <c r="AA109" s="32">
        <f>SUM(E109:X109)</f>
        <v>0.51844022485935781</v>
      </c>
      <c r="AB109" s="37"/>
      <c r="AC109" s="84"/>
    </row>
    <row r="110" spans="1:29" customFormat="1">
      <c r="A110" s="89">
        <f t="shared" si="28"/>
        <v>48.844129164687544</v>
      </c>
      <c r="B110" s="71">
        <f t="shared" si="29"/>
        <v>-29.993229849727555</v>
      </c>
      <c r="C110" s="1" t="s">
        <v>32</v>
      </c>
      <c r="D110" t="s">
        <v>760</v>
      </c>
      <c r="E110" s="37">
        <f>VLOOKUP($C110,$D$60:$Z$63,E$32,FALSE)*$D$79*$A110/8760/1000*INDEX('Bulb Weighting'!$B$2:$C$17,MATCH(RIGHT('SC-New'!$D73,LEN($D110)-7),'Bulb Weighting'!$B$3:$B$17,0)+1,2)</f>
        <v>0</v>
      </c>
      <c r="F110" s="37">
        <f>VLOOKUP($C110,$D$60:$Z$63,F$32,FALSE)*$D$79*$A110/8760/1000*INDEX('Bulb Weighting'!$B$2:$C$17,MATCH(RIGHT('SC-New'!$D73,LEN($D110)-7),'Bulb Weighting'!$B$3:$B$17,0)+1,2)</f>
        <v>4.172450472491062E-2</v>
      </c>
      <c r="G110" s="37">
        <f>VLOOKUP($C110,$D$60:$Z$63,G$32,FALSE)*$D$79*$A110/8760/1000*INDEX('Bulb Weighting'!$B$2:$C$17,MATCH(RIGHT('SC-New'!$D73,LEN($D110)-7),'Bulb Weighting'!$B$3:$B$17,0)+1,2)</f>
        <v>5.3505546910292544E-2</v>
      </c>
      <c r="H110" s="37">
        <f>VLOOKUP($C110,$D$60:$Z$63,H$32,FALSE)*$D$79*$A110/8760/1000*INDEX('Bulb Weighting'!$B$2:$C$17,MATCH(RIGHT('SC-New'!$D73,LEN($D110)-7),'Bulb Weighting'!$B$3:$B$17,0)+1,2)</f>
        <v>6.2611918329560118E-2</v>
      </c>
      <c r="I110" s="37">
        <f>VLOOKUP($C110,$D$60:$Z$63,I$32,FALSE)*$D$79*$A110/8760/1000*INDEX('Bulb Weighting'!$B$2:$C$17,MATCH(RIGHT('SC-New'!$D73,LEN($D110)-7),'Bulb Weighting'!$B$3:$B$17,0)+1,2)</f>
        <v>7.0536387343314508E-2</v>
      </c>
      <c r="J110" s="37">
        <f>VLOOKUP($C110,$D$60:$Z$63,J$32,FALSE)*$D$79*$A110/8760/1000*INDEX('Bulb Weighting'!$B$2:$C$17,MATCH(RIGHT('SC-New'!$D73,LEN($D110)-7),'Bulb Weighting'!$B$3:$B$17,0)+1,2)</f>
        <v>7.7340708484062951E-2</v>
      </c>
      <c r="K110" s="37">
        <f>VLOOKUP($C110,$D$60:$Z$63,K$32,FALSE)*$D$79*$A110/8760/1000*INDEX('Bulb Weighting'!$B$2:$C$17,MATCH(RIGHT('SC-New'!$D73,LEN($D110)-7),'Bulb Weighting'!$B$3:$B$17,0)+1,2)</f>
        <v>8.3117884126894054E-2</v>
      </c>
      <c r="L110" s="37">
        <f>VLOOKUP($C110,$D$60:$Z$63,L$32,FALSE)*$D$79*$A110/8760/1000*INDEX('Bulb Weighting'!$B$2:$C$17,MATCH(RIGHT('SC-New'!$D73,LEN($D110)-7),'Bulb Weighting'!$B$3:$B$17,0)+1,2)</f>
        <v>8.7975159801002636E-2</v>
      </c>
      <c r="M110" s="37">
        <f>VLOOKUP($C110,$D$60:$Z$63,M$32,FALSE)*$D$79*$A110/8760/1000*INDEX('Bulb Weighting'!$B$2:$C$17,MATCH(RIGHT('SC-New'!$D73,LEN($D110)-7),'Bulb Weighting'!$B$3:$B$17,0)+1,2)</f>
        <v>0.10732318486924969</v>
      </c>
      <c r="N110" s="37">
        <f>VLOOKUP($C110,$D$60:$Z$63,N$32,FALSE)*$D$79*$A110/8760/1000*INDEX('Bulb Weighting'!$B$2:$C$17,MATCH(RIGHT('SC-New'!$D73,LEN($D110)-7),'Bulb Weighting'!$B$3:$B$17,0)+1,2)</f>
        <v>0.10853125760692782</v>
      </c>
      <c r="O110" s="37">
        <f>VLOOKUP($C110,$D$60:$Z$63,O$32,FALSE)*$D$79*$A110/8760/1000*INDEX('Bulb Weighting'!$B$2:$C$17,MATCH(RIGHT('SC-New'!$D73,LEN($D110)-7),'Bulb Weighting'!$B$3:$B$17,0)+1,2)</f>
        <v>0.1097578216674325</v>
      </c>
      <c r="P110" s="37">
        <f>VLOOKUP($C110,$D$60:$Z$63,P$32,FALSE)*$D$79*$A110/8760/1000*INDEX('Bulb Weighting'!$B$2:$C$17,MATCH(RIGHT('SC-New'!$D73,LEN($D110)-7),'Bulb Weighting'!$B$3:$B$17,0)+1,2)</f>
        <v>0.11033651991457352</v>
      </c>
      <c r="Q110" s="37">
        <f>VLOOKUP($C110,$D$60:$Z$63,Q$32,FALSE)*$D$79*$A110/8760/1000*INDEX('Bulb Weighting'!$B$2:$C$17,MATCH(RIGHT('SC-New'!$D73,LEN($D110)-7),'Bulb Weighting'!$B$3:$B$17,0)+1,2)</f>
        <v>0.11031365568321273</v>
      </c>
      <c r="R110" s="37">
        <f>VLOOKUP($C110,$D$60:$Z$63,R$32,FALSE)*$D$79*$A110/8760/1000*INDEX('Bulb Weighting'!$B$2:$C$17,MATCH(RIGHT('SC-New'!$D73,LEN($D110)-7),'Bulb Weighting'!$B$3:$B$17,0)+1,2)</f>
        <v>0.11028651799232631</v>
      </c>
      <c r="S110" s="37">
        <f>VLOOKUP($C110,$D$60:$Z$63,S$32,FALSE)*$D$79*$A110/8760/1000*INDEX('Bulb Weighting'!$B$2:$C$17,MATCH(RIGHT('SC-New'!$D73,LEN($D110)-7),'Bulb Weighting'!$B$3:$B$17,0)+1,2)</f>
        <v>0.11029236130589055</v>
      </c>
      <c r="T110" s="37">
        <f>VLOOKUP($C110,$D$60:$Z$63,T$32,FALSE)*$D$79*$A110/8760/1000*INDEX('Bulb Weighting'!$B$2:$C$17,MATCH(RIGHT('SC-New'!$D73,LEN($D110)-7),'Bulb Weighting'!$B$3:$B$17,0)+1,2)</f>
        <v>0.1103299448766369</v>
      </c>
      <c r="U110" s="37">
        <f>VLOOKUP($C110,$D$60:$Z$63,U$32,FALSE)*$D$79*$A110/8760/1000*INDEX('Bulb Weighting'!$B$2:$C$17,MATCH(RIGHT('SC-New'!$D73,LEN($D110)-7),'Bulb Weighting'!$B$3:$B$17,0)+1,2)</f>
        <v>0.11028393001689595</v>
      </c>
      <c r="V110" s="37">
        <f>VLOOKUP($C110,$D$60:$Z$63,V$32,FALSE)*$D$79*$A110/8760/1000*INDEX('Bulb Weighting'!$B$2:$C$17,MATCH(RIGHT('SC-New'!$D73,LEN($D110)-7),'Bulb Weighting'!$B$3:$B$17,0)+1,2)</f>
        <v>0.1101719408557975</v>
      </c>
      <c r="W110" s="37">
        <f>VLOOKUP($C110,$D$60:$Z$63,W$32,FALSE)*$D$79*$A110/8760/1000*INDEX('Bulb Weighting'!$B$2:$C$17,MATCH(RIGHT('SC-New'!$D73,LEN($D110)-7),'Bulb Weighting'!$B$3:$B$17,0)+1,2)</f>
        <v>0.10989852156640549</v>
      </c>
      <c r="X110" s="37">
        <f>VLOOKUP($C110,$D$60:$Z$63,X$32,FALSE)*$D$79*$A110/8760/1000*INDEX('Bulb Weighting'!$B$2:$C$17,MATCH(RIGHT('SC-New'!$D73,LEN($D110)-7),'Bulb Weighting'!$B$3:$B$17,0)+1,2)</f>
        <v>0.10961384104761616</v>
      </c>
      <c r="Y110" s="32">
        <f>(VLOOKUP($C110,$D$43:$Z$46,$X$68+3,FALSE)+VLOOKUP($C110,$D$51:$Z$54,$X$68+3,FALSE))*$A110*$D$79/8760/1000*INDEX('Bulb Weighting'!$B$2:$C$17,MATCH(RIGHT('SC-New'!$D73,LEN($D110)-7),'Bulb Weighting'!$B$3:$B$17,0)+1,2)</f>
        <v>0.95851905846294116</v>
      </c>
      <c r="Z110" s="32"/>
      <c r="AA110" s="32">
        <f t="shared" ref="AA110:AA112" si="37">SUM(E110:X110)</f>
        <v>1.7939516071230024</v>
      </c>
      <c r="AB110" s="37"/>
      <c r="AC110" s="84"/>
    </row>
    <row r="111" spans="1:29" customFormat="1">
      <c r="A111" s="89">
        <f t="shared" si="28"/>
        <v>20.131003317263307</v>
      </c>
      <c r="B111" s="71">
        <f t="shared" si="29"/>
        <v>-21.262756278752239</v>
      </c>
      <c r="C111" s="1" t="str">
        <f>C15</f>
        <v>Multifamily - High Rise</v>
      </c>
      <c r="D111" t="s">
        <v>746</v>
      </c>
      <c r="E111" s="37">
        <f>VLOOKUP($C111,$D$60:$Z$63,E$32,FALSE)*$D$79*$A111/8760/1000*INDEX('Bulb Weighting'!$B$2:$C$17,MATCH(RIGHT('SC-New'!$D74,LEN($D111)-7),'Bulb Weighting'!$B$3:$B$17,0)+1,2)</f>
        <v>0</v>
      </c>
      <c r="F111" s="37">
        <f>VLOOKUP($C111,$D$60:$Z$63,F$32,FALSE)*$D$79*$A111/8760/1000*INDEX('Bulb Weighting'!$B$2:$C$17,MATCH(RIGHT('SC-New'!$D74,LEN($D111)-7),'Bulb Weighting'!$B$3:$B$17,0)+1,2)</f>
        <v>3.6096989169673126E-2</v>
      </c>
      <c r="G111" s="37">
        <f>VLOOKUP($C111,$D$60:$Z$63,G$32,FALSE)*$D$79*$A111/8760/1000*INDEX('Bulb Weighting'!$B$2:$C$17,MATCH(RIGHT('SC-New'!$D74,LEN($D111)-7),'Bulb Weighting'!$B$3:$B$17,0)+1,2)</f>
        <v>4.6289085037004102E-2</v>
      </c>
      <c r="H111" s="37">
        <f>VLOOKUP($C111,$D$60:$Z$63,H$32,FALSE)*$D$79*$A111/8760/1000*INDEX('Bulb Weighting'!$B$2:$C$17,MATCH(RIGHT('SC-New'!$D74,LEN($D111)-7),'Bulb Weighting'!$B$3:$B$17,0)+1,2)</f>
        <v>5.4167251420608215E-2</v>
      </c>
      <c r="I111" s="37">
        <f>VLOOKUP($C111,$D$60:$Z$63,I$32,FALSE)*$D$79*$A111/8760/1000*INDEX('Bulb Weighting'!$B$2:$C$17,MATCH(RIGHT('SC-New'!$D74,LEN($D111)-7),'Bulb Weighting'!$B$3:$B$17,0)+1,2)</f>
        <v>6.1022922303961412E-2</v>
      </c>
      <c r="J111" s="37">
        <f>VLOOKUP($C111,$D$60:$Z$63,J$32,FALSE)*$D$79*$A111/8760/1000*INDEX('Bulb Weighting'!$B$2:$C$17,MATCH(RIGHT('SC-New'!$D74,LEN($D111)-7),'Bulb Weighting'!$B$3:$B$17,0)+1,2)</f>
        <v>6.690952319099211E-2</v>
      </c>
      <c r="K111" s="37">
        <f>VLOOKUP($C111,$D$60:$Z$63,K$32,FALSE)*$D$79*$A111/8760/1000*INDEX('Bulb Weighting'!$B$2:$C$17,MATCH(RIGHT('SC-New'!$D74,LEN($D111)-7),'Bulb Weighting'!$B$3:$B$17,0)+1,2)</f>
        <v>7.1907512933122461E-2</v>
      </c>
      <c r="L111" s="37">
        <f>VLOOKUP($C111,$D$60:$Z$63,L$32,FALSE)*$D$79*$A111/8760/1000*INDEX('Bulb Weighting'!$B$2:$C$17,MATCH(RIGHT('SC-New'!$D74,LEN($D111)-7),'Bulb Weighting'!$B$3:$B$17,0)+1,2)</f>
        <v>7.6109672516762428E-2</v>
      </c>
      <c r="M111" s="37">
        <f>VLOOKUP($C111,$D$60:$Z$63,M$32,FALSE)*$D$79*$A111/8760/1000*INDEX('Bulb Weighting'!$B$2:$C$17,MATCH(RIGHT('SC-New'!$D74,LEN($D111)-7),'Bulb Weighting'!$B$3:$B$17,0)+1,2)</f>
        <v>9.2644687679236004E-2</v>
      </c>
      <c r="N111" s="37">
        <f>VLOOKUP($C111,$D$60:$Z$63,N$32,FALSE)*$D$79*$A111/8760/1000*INDEX('Bulb Weighting'!$B$2:$C$17,MATCH(RIGHT('SC-New'!$D74,LEN($D111)-7),'Bulb Weighting'!$B$3:$B$17,0)+1,2)</f>
        <v>9.3876088237984656E-2</v>
      </c>
      <c r="O111" s="37">
        <f>VLOOKUP($C111,$D$60:$Z$63,O$32,FALSE)*$D$79*$A111/8760/1000*INDEX('Bulb Weighting'!$B$2:$C$17,MATCH(RIGHT('SC-New'!$D74,LEN($D111)-7),'Bulb Weighting'!$B$3:$B$17,0)+1,2)</f>
        <v>9.5090625867268117E-2</v>
      </c>
      <c r="P111" s="37">
        <f>VLOOKUP($C111,$D$60:$Z$63,P$32,FALSE)*$D$79*$A111/8760/1000*INDEX('Bulb Weighting'!$B$2:$C$17,MATCH(RIGHT('SC-New'!$D74,LEN($D111)-7),'Bulb Weighting'!$B$3:$B$17,0)+1,2)</f>
        <v>9.536855965073901E-2</v>
      </c>
      <c r="Q111" s="37">
        <f>VLOOKUP($C111,$D$60:$Z$63,Q$32,FALSE)*$D$79*$A111/8760/1000*INDEX('Bulb Weighting'!$B$2:$C$17,MATCH(RIGHT('SC-New'!$D74,LEN($D111)-7),'Bulb Weighting'!$B$3:$B$17,0)+1,2)</f>
        <v>9.5220132376836034E-2</v>
      </c>
      <c r="R111" s="37">
        <f>VLOOKUP($C111,$D$60:$Z$63,R$32,FALSE)*$D$79*$A111/8760/1000*INDEX('Bulb Weighting'!$B$2:$C$17,MATCH(RIGHT('SC-New'!$D74,LEN($D111)-7),'Bulb Weighting'!$B$3:$B$17,0)+1,2)</f>
        <v>9.5319276002762882E-2</v>
      </c>
      <c r="S111" s="37">
        <f>VLOOKUP($C111,$D$60:$Z$63,S$32,FALSE)*$D$79*$A111/8760/1000*INDEX('Bulb Weighting'!$B$2:$C$17,MATCH(RIGHT('SC-New'!$D74,LEN($D111)-7),'Bulb Weighting'!$B$3:$B$17,0)+1,2)</f>
        <v>9.5351228304587671E-2</v>
      </c>
      <c r="T111" s="37">
        <f>VLOOKUP($C111,$D$60:$Z$63,T$32,FALSE)*$D$79*$A111/8760/1000*INDEX('Bulb Weighting'!$B$2:$C$17,MATCH(RIGHT('SC-New'!$D74,LEN($D111)-7),'Bulb Weighting'!$B$3:$B$17,0)+1,2)</f>
        <v>9.5452953801491047E-2</v>
      </c>
      <c r="U111" s="37">
        <f>VLOOKUP($C111,$D$60:$Z$63,U$32,FALSE)*$D$79*$A111/8760/1000*INDEX('Bulb Weighting'!$B$2:$C$17,MATCH(RIGHT('SC-New'!$D74,LEN($D111)-7),'Bulb Weighting'!$B$3:$B$17,0)+1,2)</f>
        <v>9.5379289967220143E-2</v>
      </c>
      <c r="V111" s="37">
        <f>VLOOKUP($C111,$D$60:$Z$63,V$32,FALSE)*$D$79*$A111/8760/1000*INDEX('Bulb Weighting'!$B$2:$C$17,MATCH(RIGHT('SC-New'!$D74,LEN($D111)-7),'Bulb Weighting'!$B$3:$B$17,0)+1,2)</f>
        <v>9.528403089811209E-2</v>
      </c>
      <c r="W111" s="37">
        <f>VLOOKUP($C111,$D$60:$Z$63,W$32,FALSE)*$D$79*$A111/8760/1000*INDEX('Bulb Weighting'!$B$2:$C$17,MATCH(RIGHT('SC-New'!$D74,LEN($D111)-7),'Bulb Weighting'!$B$3:$B$17,0)+1,2)</f>
        <v>9.5001152523605845E-2</v>
      </c>
      <c r="X111" s="37">
        <f>VLOOKUP($C111,$D$60:$Z$63,X$32,FALSE)*$D$79*$A111/8760/1000*INDEX('Bulb Weighting'!$B$2:$C$17,MATCH(RIGHT('SC-New'!$D74,LEN($D111)-7),'Bulb Weighting'!$B$3:$B$17,0)+1,2)</f>
        <v>9.4753305698763904E-2</v>
      </c>
      <c r="Y111" s="32">
        <f>(VLOOKUP($C111,$D$43:$Z$46,$X$68+3,FALSE)+VLOOKUP($C111,$D$51:$Z$54,$X$68+3,FALSE))*$A111*$D$79/8760/1000*INDEX('Bulb Weighting'!$B$2:$C$17,MATCH(RIGHT('SC-New'!$D74,LEN($D111)-7),'Bulb Weighting'!$B$3:$B$17,0)+1,2)</f>
        <v>0.82843278907854467</v>
      </c>
      <c r="Z111" s="32"/>
      <c r="AA111" s="32">
        <f t="shared" si="37"/>
        <v>1.5512442875807311</v>
      </c>
      <c r="AB111" s="37"/>
      <c r="AC111" s="84"/>
    </row>
    <row r="112" spans="1:29" customFormat="1">
      <c r="A112" s="89">
        <f t="shared" si="28"/>
        <v>15.166068390464758</v>
      </c>
      <c r="B112" s="71">
        <f t="shared" si="29"/>
        <v>-19.792953526125213</v>
      </c>
      <c r="C112" s="1" t="s">
        <v>33</v>
      </c>
      <c r="D112" t="s">
        <v>747</v>
      </c>
      <c r="E112" s="37">
        <f>VLOOKUP($C112,$D$60:$Z$63,E$32,FALSE)*$D$79*$A112/8760/1000*INDEX('Bulb Weighting'!$B$2:$C$17,MATCH(RIGHT('SC-New'!$D75,LEN($D112)-7),'Bulb Weighting'!$B$3:$B$17,0)+1,2)</f>
        <v>0</v>
      </c>
      <c r="F112" s="37">
        <f>VLOOKUP($C112,$D$60:$Z$63,F$32,FALSE)*$D$79*$A112/8760/1000*INDEX('Bulb Weighting'!$B$2:$C$17,MATCH(RIGHT('SC-New'!$D75,LEN($D112)-7),'Bulb Weighting'!$B$3:$B$17,0)+1,2)</f>
        <v>7.4586561847314143E-3</v>
      </c>
      <c r="G112" s="37">
        <f>VLOOKUP($C112,$D$60:$Z$63,G$32,FALSE)*$D$79*$A112/8760/1000*INDEX('Bulb Weighting'!$B$2:$C$17,MATCH(RIGHT('SC-New'!$D75,LEN($D112)-7),'Bulb Weighting'!$B$3:$B$17,0)+1,2)</f>
        <v>9.5646306891122752E-3</v>
      </c>
      <c r="H112" s="37">
        <f>VLOOKUP($C112,$D$60:$Z$63,H$32,FALSE)*$D$79*$A112/8760/1000*INDEX('Bulb Weighting'!$B$2:$C$17,MATCH(RIGHT('SC-New'!$D75,LEN($D112)-7),'Bulb Weighting'!$B$3:$B$17,0)+1,2)</f>
        <v>1.1192482090934441E-2</v>
      </c>
      <c r="I112" s="37">
        <f>VLOOKUP($C112,$D$60:$Z$63,I$32,FALSE)*$D$79*$A112/8760/1000*INDEX('Bulb Weighting'!$B$2:$C$17,MATCH(RIGHT('SC-New'!$D75,LEN($D112)-7),'Bulb Weighting'!$B$3:$B$17,0)+1,2)</f>
        <v>1.2609057079896837E-2</v>
      </c>
      <c r="J112" s="37">
        <f>VLOOKUP($C112,$D$60:$Z$63,J$32,FALSE)*$D$79*$A112/8760/1000*INDEX('Bulb Weighting'!$B$2:$C$17,MATCH(RIGHT('SC-New'!$D75,LEN($D112)-7),'Bulb Weighting'!$B$3:$B$17,0)+1,2)</f>
        <v>1.3825394872135325E-2</v>
      </c>
      <c r="K112" s="37">
        <f>VLOOKUP($C112,$D$60:$Z$63,K$32,FALSE)*$D$79*$A112/8760/1000*INDEX('Bulb Weighting'!$B$2:$C$17,MATCH(RIGHT('SC-New'!$D75,LEN($D112)-7),'Bulb Weighting'!$B$3:$B$17,0)+1,2)</f>
        <v>1.4858120535933458E-2</v>
      </c>
      <c r="L112" s="37">
        <f>VLOOKUP($C112,$D$60:$Z$63,L$32,FALSE)*$D$79*$A112/8760/1000*INDEX('Bulb Weighting'!$B$2:$C$17,MATCH(RIGHT('SC-New'!$D75,LEN($D112)-7),'Bulb Weighting'!$B$3:$B$17,0)+1,2)</f>
        <v>1.5726405240245503E-2</v>
      </c>
      <c r="M112" s="37">
        <f>VLOOKUP($C112,$D$60:$Z$63,M$32,FALSE)*$D$79*$A112/8760/1000*INDEX('Bulb Weighting'!$B$2:$C$17,MATCH(RIGHT('SC-New'!$D75,LEN($D112)-7),'Bulb Weighting'!$B$3:$B$17,0)+1,2)</f>
        <v>1.9143005791790284E-2</v>
      </c>
      <c r="N112" s="37">
        <f>VLOOKUP($C112,$D$60:$Z$63,N$32,FALSE)*$D$79*$A112/8760/1000*INDEX('Bulb Weighting'!$B$2:$C$17,MATCH(RIGHT('SC-New'!$D75,LEN($D112)-7),'Bulb Weighting'!$B$3:$B$17,0)+1,2)</f>
        <v>1.9397447882520357E-2</v>
      </c>
      <c r="O112" s="37">
        <f>VLOOKUP($C112,$D$60:$Z$63,O$32,FALSE)*$D$79*$A112/8760/1000*INDEX('Bulb Weighting'!$B$2:$C$17,MATCH(RIGHT('SC-New'!$D75,LEN($D112)-7),'Bulb Weighting'!$B$3:$B$17,0)+1,2)</f>
        <v>1.9648405616354152E-2</v>
      </c>
      <c r="P112" s="37">
        <f>VLOOKUP($C112,$D$60:$Z$63,P$32,FALSE)*$D$79*$A112/8760/1000*INDEX('Bulb Weighting'!$B$2:$C$17,MATCH(RIGHT('SC-New'!$D75,LEN($D112)-7),'Bulb Weighting'!$B$3:$B$17,0)+1,2)</f>
        <v>1.9705834575963133E-2</v>
      </c>
      <c r="Q112" s="37">
        <f>VLOOKUP($C112,$D$60:$Z$63,Q$32,FALSE)*$D$79*$A112/8760/1000*INDEX('Bulb Weighting'!$B$2:$C$17,MATCH(RIGHT('SC-New'!$D75,LEN($D112)-7),'Bulb Weighting'!$B$3:$B$17,0)+1,2)</f>
        <v>1.9675165314344788E-2</v>
      </c>
      <c r="R112" s="37">
        <f>VLOOKUP($C112,$D$60:$Z$63,R$32,FALSE)*$D$79*$A112/8760/1000*INDEX('Bulb Weighting'!$B$2:$C$17,MATCH(RIGHT('SC-New'!$D75,LEN($D112)-7),'Bulb Weighting'!$B$3:$B$17,0)+1,2)</f>
        <v>1.9695651184100296E-2</v>
      </c>
      <c r="S112" s="37">
        <f>VLOOKUP($C112,$D$60:$Z$63,S$32,FALSE)*$D$79*$A112/8760/1000*INDEX('Bulb Weighting'!$B$2:$C$17,MATCH(RIGHT('SC-New'!$D75,LEN($D112)-7),'Bulb Weighting'!$B$3:$B$17,0)+1,2)</f>
        <v>1.9702253430966418E-2</v>
      </c>
      <c r="T112" s="37">
        <f>VLOOKUP($C112,$D$60:$Z$63,T$32,FALSE)*$D$79*$A112/8760/1000*INDEX('Bulb Weighting'!$B$2:$C$17,MATCH(RIGHT('SC-New'!$D75,LEN($D112)-7),'Bulb Weighting'!$B$3:$B$17,0)+1,2)</f>
        <v>1.9723272788094978E-2</v>
      </c>
      <c r="U112" s="37">
        <f>VLOOKUP($C112,$D$60:$Z$63,U$32,FALSE)*$D$79*$A112/8760/1000*INDEX('Bulb Weighting'!$B$2:$C$17,MATCH(RIGHT('SC-New'!$D75,LEN($D112)-7),'Bulb Weighting'!$B$3:$B$17,0)+1,2)</f>
        <v>1.9708051762028424E-2</v>
      </c>
      <c r="V112" s="37">
        <f>VLOOKUP($C112,$D$60:$Z$63,V$32,FALSE)*$D$79*$A112/8760/1000*INDEX('Bulb Weighting'!$B$2:$C$17,MATCH(RIGHT('SC-New'!$D75,LEN($D112)-7),'Bulb Weighting'!$B$3:$B$17,0)+1,2)</f>
        <v>1.9688368551287087E-2</v>
      </c>
      <c r="W112" s="37">
        <f>VLOOKUP($C112,$D$60:$Z$63,W$32,FALSE)*$D$79*$A112/8760/1000*INDEX('Bulb Weighting'!$B$2:$C$17,MATCH(RIGHT('SC-New'!$D75,LEN($D112)-7),'Bulb Weighting'!$B$3:$B$17,0)+1,2)</f>
        <v>1.96299178996934E-2</v>
      </c>
      <c r="X112" s="37">
        <f>VLOOKUP($C112,$D$60:$Z$63,X$32,FALSE)*$D$79*$A112/8760/1000*INDEX('Bulb Weighting'!$B$2:$C$17,MATCH(RIGHT('SC-New'!$D75,LEN($D112)-7),'Bulb Weighting'!$B$3:$B$17,0)+1,2)</f>
        <v>1.9578705754428757E-2</v>
      </c>
      <c r="Y112" s="32">
        <f>(VLOOKUP($C112,$D$43:$Z$46,$X$68+3,FALSE)+VLOOKUP($C112,$D$51:$Z$54,$X$68+3,FALSE))*$A112*$D$79/8760/1000*INDEX('Bulb Weighting'!$B$2:$C$17,MATCH(RIGHT('SC-New'!$D75,LEN($D112)-7),'Bulb Weighting'!$B$3:$B$17,0)+1,2)</f>
        <v>0.17117758261916932</v>
      </c>
      <c r="Z112" s="32"/>
      <c r="AA112" s="32">
        <f t="shared" si="37"/>
        <v>0.32053082724456139</v>
      </c>
      <c r="AB112" s="37"/>
      <c r="AC112" s="84"/>
    </row>
    <row r="113" spans="1:29" customFormat="1">
      <c r="A113" s="89">
        <f t="shared" si="28"/>
        <v>7.5107020440195642</v>
      </c>
      <c r="B113" s="71">
        <f t="shared" si="29"/>
        <v>253.66864707291808</v>
      </c>
      <c r="C113" s="1" t="s">
        <v>33</v>
      </c>
      <c r="D113" t="s">
        <v>748</v>
      </c>
      <c r="E113" s="37">
        <f>VLOOKUP($C113,$D$60:$Z$63,E$32,FALSE)*$D$79*$A113/8760/1000*INDEX('Bulb Weighting'!$B$2:$C$17,MATCH(RIGHT('SC-New'!$D76,LEN($D113)-7),'Bulb Weighting'!$B$3:$B$17,0)+1,2)</f>
        <v>0</v>
      </c>
      <c r="F113" s="37">
        <f>VLOOKUP($C113,$D$60:$Z$63,F$32,FALSE)*$D$79*$A113/8760/1000*INDEX('Bulb Weighting'!$B$2:$C$17,MATCH(RIGHT('SC-New'!$D76,LEN($D113)-7),'Bulb Weighting'!$B$3:$B$17,0)+1,2)</f>
        <v>7.2569276482944249E-5</v>
      </c>
      <c r="G113" s="37">
        <f>VLOOKUP($C113,$D$60:$Z$63,G$32,FALSE)*$D$79*$A113/8760/1000*INDEX('Bulb Weighting'!$B$2:$C$17,MATCH(RIGHT('SC-New'!$D76,LEN($D113)-7),'Bulb Weighting'!$B$3:$B$17,0)+1,2)</f>
        <v>9.3059434802254115E-5</v>
      </c>
      <c r="H113" s="37">
        <f>VLOOKUP($C113,$D$60:$Z$63,H$32,FALSE)*$D$79*$A113/8760/1000*INDEX('Bulb Weighting'!$B$2:$C$17,MATCH(RIGHT('SC-New'!$D76,LEN($D113)-7),'Bulb Weighting'!$B$3:$B$17,0)+1,2)</f>
        <v>1.0889767637367937E-4</v>
      </c>
      <c r="I113" s="37">
        <f>VLOOKUP($C113,$D$60:$Z$63,I$32,FALSE)*$D$79*$A113/8760/1000*INDEX('Bulb Weighting'!$B$2:$C$17,MATCH(RIGHT('SC-New'!$D76,LEN($D113)-7),'Bulb Weighting'!$B$3:$B$17,0)+1,2)</f>
        <v>1.2268029612270024E-4</v>
      </c>
      <c r="J113" s="37">
        <f>VLOOKUP($C113,$D$60:$Z$63,J$32,FALSE)*$D$79*$A113/8760/1000*INDEX('Bulb Weighting'!$B$2:$C$17,MATCH(RIGHT('SC-New'!$D76,LEN($D113)-7),'Bulb Weighting'!$B$3:$B$17,0)+1,2)</f>
        <v>1.345147005188036E-4</v>
      </c>
      <c r="K113" s="37">
        <f>VLOOKUP($C113,$D$60:$Z$63,K$32,FALSE)*$D$79*$A113/8760/1000*INDEX('Bulb Weighting'!$B$2:$C$17,MATCH(RIGHT('SC-New'!$D76,LEN($D113)-7),'Bulb Weighting'!$B$3:$B$17,0)+1,2)</f>
        <v>1.4456264379049061E-4</v>
      </c>
      <c r="L113" s="37">
        <f>VLOOKUP($C113,$D$60:$Z$63,L$32,FALSE)*$D$79*$A113/8760/1000*INDEX('Bulb Weighting'!$B$2:$C$17,MATCH(RIGHT('SC-New'!$D76,LEN($D113)-7),'Bulb Weighting'!$B$3:$B$17,0)+1,2)</f>
        <v>1.5301065254870653E-4</v>
      </c>
      <c r="M113" s="37">
        <f>VLOOKUP($C113,$D$60:$Z$63,M$32,FALSE)*$D$79*$A113/8760/1000*INDEX('Bulb Weighting'!$B$2:$C$17,MATCH(RIGHT('SC-New'!$D76,LEN($D113)-7),'Bulb Weighting'!$B$3:$B$17,0)+1,2)</f>
        <v>1.8625259639435405E-4</v>
      </c>
      <c r="N113" s="37">
        <f>VLOOKUP($C113,$D$60:$Z$63,N$32,FALSE)*$D$79*$A113/8760/1000*INDEX('Bulb Weighting'!$B$2:$C$17,MATCH(RIGHT('SC-New'!$D76,LEN($D113)-7),'Bulb Weighting'!$B$3:$B$17,0)+1,2)</f>
        <v>1.8872820030660942E-4</v>
      </c>
      <c r="O113" s="37">
        <f>VLOOKUP($C113,$D$60:$Z$63,O$32,FALSE)*$D$79*$A113/8760/1000*INDEX('Bulb Weighting'!$B$2:$C$17,MATCH(RIGHT('SC-New'!$D76,LEN($D113)-7),'Bulb Weighting'!$B$3:$B$17,0)+1,2)</f>
        <v>1.9116990303710919E-4</v>
      </c>
      <c r="P113" s="37">
        <f>VLOOKUP($C113,$D$60:$Z$63,P$32,FALSE)*$D$79*$A113/8760/1000*INDEX('Bulb Weighting'!$B$2:$C$17,MATCH(RIGHT('SC-New'!$D76,LEN($D113)-7),'Bulb Weighting'!$B$3:$B$17,0)+1,2)</f>
        <v>1.91728660264252E-4</v>
      </c>
      <c r="Q113" s="37">
        <f>VLOOKUP($C113,$D$60:$Z$63,Q$32,FALSE)*$D$79*$A113/8760/1000*INDEX('Bulb Weighting'!$B$2:$C$17,MATCH(RIGHT('SC-New'!$D76,LEN($D113)-7),'Bulb Weighting'!$B$3:$B$17,0)+1,2)</f>
        <v>1.9143026252734253E-4</v>
      </c>
      <c r="R113" s="37">
        <f>VLOOKUP($C113,$D$60:$Z$63,R$32,FALSE)*$D$79*$A113/8760/1000*INDEX('Bulb Weighting'!$B$2:$C$17,MATCH(RIGHT('SC-New'!$D76,LEN($D113)-7),'Bulb Weighting'!$B$3:$B$17,0)+1,2)</f>
        <v>1.9162958056928749E-4</v>
      </c>
      <c r="S113" s="37">
        <f>VLOOKUP($C113,$D$60:$Z$63,S$32,FALSE)*$D$79*$A113/8760/1000*INDEX('Bulb Weighting'!$B$2:$C$17,MATCH(RIGHT('SC-New'!$D76,LEN($D113)-7),'Bulb Weighting'!$B$3:$B$17,0)+1,2)</f>
        <v>1.91693817379025E-4</v>
      </c>
      <c r="T113" s="37">
        <f>VLOOKUP($C113,$D$60:$Z$63,T$32,FALSE)*$D$79*$A113/8760/1000*INDEX('Bulb Weighting'!$B$2:$C$17,MATCH(RIGHT('SC-New'!$D76,LEN($D113)-7),'Bulb Weighting'!$B$3:$B$17,0)+1,2)</f>
        <v>1.9189832600647439E-4</v>
      </c>
      <c r="U113" s="37">
        <f>VLOOKUP($C113,$D$60:$Z$63,U$32,FALSE)*$D$79*$A113/8760/1000*INDEX('Bulb Weighting'!$B$2:$C$17,MATCH(RIGHT('SC-New'!$D76,LEN($D113)-7),'Bulb Weighting'!$B$3:$B$17,0)+1,2)</f>
        <v>1.9175023245964501E-4</v>
      </c>
      <c r="V113" s="37">
        <f>VLOOKUP($C113,$D$60:$Z$63,V$32,FALSE)*$D$79*$A113/8760/1000*INDEX('Bulb Weighting'!$B$2:$C$17,MATCH(RIGHT('SC-New'!$D76,LEN($D113)-7),'Bulb Weighting'!$B$3:$B$17,0)+1,2)</f>
        <v>1.9155872391883247E-4</v>
      </c>
      <c r="W113" s="37">
        <f>VLOOKUP($C113,$D$60:$Z$63,W$32,FALSE)*$D$79*$A113/8760/1000*INDEX('Bulb Weighting'!$B$2:$C$17,MATCH(RIGHT('SC-New'!$D76,LEN($D113)-7),'Bulb Weighting'!$B$3:$B$17,0)+1,2)</f>
        <v>1.9099002610101456E-4</v>
      </c>
      <c r="X113" s="37">
        <f>VLOOKUP($C113,$D$60:$Z$63,X$32,FALSE)*$D$79*$A113/8760/1000*INDEX('Bulb Weighting'!$B$2:$C$17,MATCH(RIGHT('SC-New'!$D76,LEN($D113)-7),'Bulb Weighting'!$B$3:$B$17,0)+1,2)</f>
        <v>1.9049175560336085E-4</v>
      </c>
      <c r="Y113" s="32">
        <f>(VLOOKUP($C113,$D$43:$Z$46,$X$68+3,FALSE)+VLOOKUP($C113,$D$51:$Z$54,$X$68+3,FALSE))*$A113*$D$79/8760/1000*INDEX('Bulb Weighting'!$B$2:$C$17,MATCH(RIGHT('SC-New'!$D76,LEN($D113)-7),'Bulb Weighting'!$B$3:$B$17,0)+1,2)</f>
        <v>1.6654787421629706E-3</v>
      </c>
      <c r="Z113" s="32"/>
      <c r="AA113" s="32">
        <f>SUM(E113:X113)</f>
        <v>3.1186167652068851E-3</v>
      </c>
      <c r="AB113" s="37"/>
      <c r="AC113" s="84"/>
    </row>
    <row r="114" spans="1:29" customFormat="1">
      <c r="A114" s="89">
        <f t="shared" si="28"/>
        <v>1.9210010172979759</v>
      </c>
      <c r="B114" s="71">
        <f t="shared" si="29"/>
        <v>19.879331870717266</v>
      </c>
      <c r="C114" s="1" t="s">
        <v>33</v>
      </c>
      <c r="D114" t="s">
        <v>749</v>
      </c>
      <c r="E114" s="37">
        <f>VLOOKUP($C114,$D$60:$Z$63,E$32,FALSE)*$D$79*$A114/8760/1000*INDEX('Bulb Weighting'!$B$2:$C$17,MATCH(RIGHT('SC-New'!$D77,LEN($D114)-7),'Bulb Weighting'!$B$3:$B$17,0)+1,2)</f>
        <v>0</v>
      </c>
      <c r="F114" s="37">
        <f>VLOOKUP($C114,$D$60:$Z$63,F$32,FALSE)*$D$79*$A114/8760/1000*INDEX('Bulb Weighting'!$B$2:$C$17,MATCH(RIGHT('SC-New'!$D77,LEN($D114)-7),'Bulb Weighting'!$B$3:$B$17,0)+1,2)</f>
        <v>2.8763732226109182E-3</v>
      </c>
      <c r="G114" s="37">
        <f>VLOOKUP($C114,$D$60:$Z$63,G$32,FALSE)*$D$79*$A114/8760/1000*INDEX('Bulb Weighting'!$B$2:$C$17,MATCH(RIGHT('SC-New'!$D77,LEN($D114)-7),'Bulb Weighting'!$B$3:$B$17,0)+1,2)</f>
        <v>3.6885260450325815E-3</v>
      </c>
      <c r="H114" s="37">
        <f>VLOOKUP($C114,$D$60:$Z$63,H$32,FALSE)*$D$79*$A114/8760/1000*INDEX('Bulb Weighting'!$B$2:$C$17,MATCH(RIGHT('SC-New'!$D77,LEN($D114)-7),'Bulb Weighting'!$B$3:$B$17,0)+1,2)</f>
        <v>4.3162943811272331E-3</v>
      </c>
      <c r="I114" s="37">
        <f>VLOOKUP($C114,$D$60:$Z$63,I$32,FALSE)*$D$79*$A114/8760/1000*INDEX('Bulb Weighting'!$B$2:$C$17,MATCH(RIGHT('SC-New'!$D77,LEN($D114)-7),'Bulb Weighting'!$B$3:$B$17,0)+1,2)</f>
        <v>4.8625855983592172E-3</v>
      </c>
      <c r="J114" s="37">
        <f>VLOOKUP($C114,$D$60:$Z$63,J$32,FALSE)*$D$79*$A114/8760/1000*INDEX('Bulb Weighting'!$B$2:$C$17,MATCH(RIGHT('SC-New'!$D77,LEN($D114)-7),'Bulb Weighting'!$B$3:$B$17,0)+1,2)</f>
        <v>5.3316568852763606E-3</v>
      </c>
      <c r="K114" s="37">
        <f>VLOOKUP($C114,$D$60:$Z$63,K$32,FALSE)*$D$79*$A114/8760/1000*INDEX('Bulb Weighting'!$B$2:$C$17,MATCH(RIGHT('SC-New'!$D77,LEN($D114)-7),'Bulb Weighting'!$B$3:$B$17,0)+1,2)</f>
        <v>5.7299195712187624E-3</v>
      </c>
      <c r="L114" s="37">
        <f>VLOOKUP($C114,$D$60:$Z$63,L$32,FALSE)*$D$79*$A114/8760/1000*INDEX('Bulb Weighting'!$B$2:$C$17,MATCH(RIGHT('SC-New'!$D77,LEN($D114)-7),'Bulb Weighting'!$B$3:$B$17,0)+1,2)</f>
        <v>6.064766869609918E-3</v>
      </c>
      <c r="M114" s="37">
        <f>VLOOKUP($C114,$D$60:$Z$63,M$32,FALSE)*$D$79*$A114/8760/1000*INDEX('Bulb Weighting'!$B$2:$C$17,MATCH(RIGHT('SC-New'!$D77,LEN($D114)-7),'Bulb Weighting'!$B$3:$B$17,0)+1,2)</f>
        <v>7.3823525171343033E-3</v>
      </c>
      <c r="N114" s="37">
        <f>VLOOKUP($C114,$D$60:$Z$63,N$32,FALSE)*$D$79*$A114/8760/1000*INDEX('Bulb Weighting'!$B$2:$C$17,MATCH(RIGHT('SC-New'!$D77,LEN($D114)-7),'Bulb Weighting'!$B$3:$B$17,0)+1,2)</f>
        <v>7.4804761466936492E-3</v>
      </c>
      <c r="O114" s="37">
        <f>VLOOKUP($C114,$D$60:$Z$63,O$32,FALSE)*$D$79*$A114/8760/1000*INDEX('Bulb Weighting'!$B$2:$C$17,MATCH(RIGHT('SC-New'!$D77,LEN($D114)-7),'Bulb Weighting'!$B$3:$B$17,0)+1,2)</f>
        <v>7.5772560608937901E-3</v>
      </c>
      <c r="P114" s="37">
        <f>VLOOKUP($C114,$D$60:$Z$63,P$32,FALSE)*$D$79*$A114/8760/1000*INDEX('Bulb Weighting'!$B$2:$C$17,MATCH(RIGHT('SC-New'!$D77,LEN($D114)-7),'Bulb Weighting'!$B$3:$B$17,0)+1,2)</f>
        <v>7.5994030961680304E-3</v>
      </c>
      <c r="Q114" s="37">
        <f>VLOOKUP($C114,$D$60:$Z$63,Q$32,FALSE)*$D$79*$A114/8760/1000*INDEX('Bulb Weighting'!$B$2:$C$17,MATCH(RIGHT('SC-New'!$D77,LEN($D114)-7),'Bulb Weighting'!$B$3:$B$17,0)+1,2)</f>
        <v>7.5875757320033096E-3</v>
      </c>
      <c r="R114" s="37">
        <f>VLOOKUP($C114,$D$60:$Z$63,R$32,FALSE)*$D$79*$A114/8760/1000*INDEX('Bulb Weighting'!$B$2:$C$17,MATCH(RIGHT('SC-New'!$D77,LEN($D114)-7),'Bulb Weighting'!$B$3:$B$17,0)+1,2)</f>
        <v>7.5954759496493877E-3</v>
      </c>
      <c r="S114" s="37">
        <f>VLOOKUP($C114,$D$60:$Z$63,S$32,FALSE)*$D$79*$A114/8760/1000*INDEX('Bulb Weighting'!$B$2:$C$17,MATCH(RIGHT('SC-New'!$D77,LEN($D114)-7),'Bulb Weighting'!$B$3:$B$17,0)+1,2)</f>
        <v>7.598022055224498E-3</v>
      </c>
      <c r="T114" s="37">
        <f>VLOOKUP($C114,$D$60:$Z$63,T$32,FALSE)*$D$79*$A114/8760/1000*INDEX('Bulb Weighting'!$B$2:$C$17,MATCH(RIGHT('SC-New'!$D77,LEN($D114)-7),'Bulb Weighting'!$B$3:$B$17,0)+1,2)</f>
        <v>7.6061280081607474E-3</v>
      </c>
      <c r="U114" s="37">
        <f>VLOOKUP($C114,$D$60:$Z$63,U$32,FALSE)*$D$79*$A114/8760/1000*INDEX('Bulb Weighting'!$B$2:$C$17,MATCH(RIGHT('SC-New'!$D77,LEN($D114)-7),'Bulb Weighting'!$B$3:$B$17,0)+1,2)</f>
        <v>7.600258136871047E-3</v>
      </c>
      <c r="V114" s="37">
        <f>VLOOKUP($C114,$D$60:$Z$63,V$32,FALSE)*$D$79*$A114/8760/1000*INDEX('Bulb Weighting'!$B$2:$C$17,MATCH(RIGHT('SC-New'!$D77,LEN($D114)-7),'Bulb Weighting'!$B$3:$B$17,0)+1,2)</f>
        <v>7.5926674584821845E-3</v>
      </c>
      <c r="W114" s="37">
        <f>VLOOKUP($C114,$D$60:$Z$63,W$32,FALSE)*$D$79*$A114/8760/1000*INDEX('Bulb Weighting'!$B$2:$C$17,MATCH(RIGHT('SC-New'!$D77,LEN($D114)-7),'Bulb Weighting'!$B$3:$B$17,0)+1,2)</f>
        <v>7.5701264155752295E-3</v>
      </c>
      <c r="X114" s="37">
        <f>VLOOKUP($C114,$D$60:$Z$63,X$32,FALSE)*$D$79*$A114/8760/1000*INDEX('Bulb Weighting'!$B$2:$C$17,MATCH(RIGHT('SC-New'!$D77,LEN($D114)-7),'Bulb Weighting'!$B$3:$B$17,0)+1,2)</f>
        <v>7.5503768467972488E-3</v>
      </c>
      <c r="Y114" s="447">
        <f>(VLOOKUP($C114,$D$43:$Z$46,$X$68+3,FALSE)+VLOOKUP($C114,$D$51:$Z$54,$X$68+3,FALSE))*$A114*$D$79/8760/1000*INDEX('Bulb Weighting'!$B$2:$C$17,MATCH(RIGHT('SC-New'!$D77,LEN($D114)-7),'Bulb Weighting'!$B$3:$B$17,0)+1,2)</f>
        <v>6.6013314297148712E-2</v>
      </c>
      <c r="Z114" s="32"/>
      <c r="AA114" s="32">
        <f t="shared" ref="AA114:AA116" si="38">SUM(E114:X114)</f>
        <v>0.12361024099688842</v>
      </c>
      <c r="AB114" s="37"/>
      <c r="AC114" s="84"/>
    </row>
    <row r="115" spans="1:29" customFormat="1">
      <c r="A115" s="89">
        <f t="shared" si="28"/>
        <v>7.4978046901704554</v>
      </c>
      <c r="B115" s="71">
        <f t="shared" si="29"/>
        <v>38.047469279788793</v>
      </c>
      <c r="C115" s="1" t="s">
        <v>33</v>
      </c>
      <c r="D115" t="s">
        <v>750</v>
      </c>
      <c r="E115" s="37">
        <f>VLOOKUP($C115,$D$60:$Z$63,E$32,FALSE)*$D$79*$A115/8760/1000*INDEX('Bulb Weighting'!$B$2:$C$17,MATCH(RIGHT('SC-New'!$D78,LEN($D115)-7),'Bulb Weighting'!$B$3:$B$17,0)+1,2)</f>
        <v>0</v>
      </c>
      <c r="F115" s="37">
        <f>VLOOKUP($C115,$D$60:$Z$63,F$32,FALSE)*$D$79*$A115/8760/1000*INDEX('Bulb Weighting'!$B$2:$C$17,MATCH(RIGHT('SC-New'!$D78,LEN($D115)-7),'Bulb Weighting'!$B$3:$B$17,0)+1,2)</f>
        <v>8.6630346886589354E-2</v>
      </c>
      <c r="G115" s="37">
        <f>VLOOKUP($C115,$D$60:$Z$63,G$32,FALSE)*$D$79*$A115/8760/1000*INDEX('Bulb Weighting'!$B$2:$C$17,MATCH(RIGHT('SC-New'!$D78,LEN($D115)-7),'Bulb Weighting'!$B$3:$B$17,0)+1,2)</f>
        <v>0.11109069166321307</v>
      </c>
      <c r="H115" s="37">
        <f>VLOOKUP($C115,$D$60:$Z$63,H$32,FALSE)*$D$79*$A115/8760/1000*INDEX('Bulb Weighting'!$B$2:$C$17,MATCH(RIGHT('SC-New'!$D78,LEN($D115)-7),'Bulb Weighting'!$B$3:$B$17,0)+1,2)</f>
        <v>0.12999776126488732</v>
      </c>
      <c r="I115" s="37">
        <f>VLOOKUP($C115,$D$60:$Z$63,I$32,FALSE)*$D$79*$A115/8760/1000*INDEX('Bulb Weighting'!$B$2:$C$17,MATCH(RIGHT('SC-New'!$D78,LEN($D115)-7),'Bulb Weighting'!$B$3:$B$17,0)+1,2)</f>
        <v>0.1464509104173975</v>
      </c>
      <c r="J115" s="37">
        <f>VLOOKUP($C115,$D$60:$Z$63,J$32,FALSE)*$D$79*$A115/8760/1000*INDEX('Bulb Weighting'!$B$2:$C$17,MATCH(RIGHT('SC-New'!$D78,LEN($D115)-7),'Bulb Weighting'!$B$3:$B$17,0)+1,2)</f>
        <v>0.16057835673790161</v>
      </c>
      <c r="K115" s="37">
        <f>VLOOKUP($C115,$D$60:$Z$63,K$32,FALSE)*$D$79*$A115/8760/1000*INDEX('Bulb Weighting'!$B$2:$C$17,MATCH(RIGHT('SC-New'!$D78,LEN($D115)-7),'Bulb Weighting'!$B$3:$B$17,0)+1,2)</f>
        <v>0.17257319605985075</v>
      </c>
      <c r="L115" s="37">
        <f>VLOOKUP($C115,$D$60:$Z$63,L$32,FALSE)*$D$79*$A115/8760/1000*INDEX('Bulb Weighting'!$B$2:$C$17,MATCH(RIGHT('SC-New'!$D78,LEN($D115)-7),'Bulb Weighting'!$B$3:$B$17,0)+1,2)</f>
        <v>0.18265809651214054</v>
      </c>
      <c r="M115" s="37">
        <f>VLOOKUP($C115,$D$60:$Z$63,M$32,FALSE)*$D$79*$A115/8760/1000*INDEX('Bulb Weighting'!$B$2:$C$17,MATCH(RIGHT('SC-New'!$D78,LEN($D115)-7),'Bulb Weighting'!$B$3:$B$17,0)+1,2)</f>
        <v>0.22234102110640447</v>
      </c>
      <c r="N115" s="37">
        <f>VLOOKUP($C115,$D$60:$Z$63,N$32,FALSE)*$D$79*$A115/8760/1000*INDEX('Bulb Weighting'!$B$2:$C$17,MATCH(RIGHT('SC-New'!$D78,LEN($D115)-7),'Bulb Weighting'!$B$3:$B$17,0)+1,2)</f>
        <v>0.22529629964942377</v>
      </c>
      <c r="O115" s="37">
        <f>VLOOKUP($C115,$D$60:$Z$63,O$32,FALSE)*$D$79*$A115/8760/1000*INDEX('Bulb Weighting'!$B$2:$C$17,MATCH(RIGHT('SC-New'!$D78,LEN($D115)-7),'Bulb Weighting'!$B$3:$B$17,0)+1,2)</f>
        <v>0.22821110829557095</v>
      </c>
      <c r="P115" s="37">
        <f>VLOOKUP($C115,$D$60:$Z$63,P$32,FALSE)*$D$79*$A115/8760/1000*INDEX('Bulb Weighting'!$B$2:$C$17,MATCH(RIGHT('SC-New'!$D78,LEN($D115)-7),'Bulb Weighting'!$B$3:$B$17,0)+1,2)</f>
        <v>0.2288781306879486</v>
      </c>
      <c r="Q115" s="37">
        <f>VLOOKUP($C115,$D$60:$Z$63,Q$32,FALSE)*$D$79*$A115/8760/1000*INDEX('Bulb Weighting'!$B$2:$C$17,MATCH(RIGHT('SC-New'!$D78,LEN($D115)-7),'Bulb Weighting'!$B$3:$B$17,0)+1,2)</f>
        <v>0.22852191521066303</v>
      </c>
      <c r="R115" s="37">
        <f>VLOOKUP($C115,$D$60:$Z$63,R$32,FALSE)*$D$79*$A115/8760/1000*INDEX('Bulb Weighting'!$B$2:$C$17,MATCH(RIGHT('SC-New'!$D78,LEN($D115)-7),'Bulb Weighting'!$B$3:$B$17,0)+1,2)</f>
        <v>0.22875985324658246</v>
      </c>
      <c r="S115" s="37">
        <f>VLOOKUP($C115,$D$60:$Z$63,S$32,FALSE)*$D$79*$A115/8760/1000*INDEX('Bulb Weighting'!$B$2:$C$17,MATCH(RIGHT('SC-New'!$D78,LEN($D115)-7),'Bulb Weighting'!$B$3:$B$17,0)+1,2)</f>
        <v>0.2288365366225254</v>
      </c>
      <c r="T115" s="37">
        <f>VLOOKUP($C115,$D$60:$Z$63,T$32,FALSE)*$D$79*$A115/8760/1000*INDEX('Bulb Weighting'!$B$2:$C$17,MATCH(RIGHT('SC-New'!$D78,LEN($D115)-7),'Bulb Weighting'!$B$3:$B$17,0)+1,2)</f>
        <v>0.22908067097518642</v>
      </c>
      <c r="U115" s="37">
        <f>VLOOKUP($C115,$D$60:$Z$63,U$32,FALSE)*$D$79*$A115/8760/1000*INDEX('Bulb Weighting'!$B$2:$C$17,MATCH(RIGHT('SC-New'!$D78,LEN($D115)-7),'Bulb Weighting'!$B$3:$B$17,0)+1,2)</f>
        <v>0.22890388272600895</v>
      </c>
      <c r="V115" s="37">
        <f>VLOOKUP($C115,$D$60:$Z$63,V$32,FALSE)*$D$79*$A115/8760/1000*INDEX('Bulb Weighting'!$B$2:$C$17,MATCH(RIGHT('SC-New'!$D78,LEN($D115)-7),'Bulb Weighting'!$B$3:$B$17,0)+1,2)</f>
        <v>0.22867526736526145</v>
      </c>
      <c r="W115" s="37">
        <f>VLOOKUP($C115,$D$60:$Z$63,W$32,FALSE)*$D$79*$A115/8760/1000*INDEX('Bulb Weighting'!$B$2:$C$17,MATCH(RIGHT('SC-New'!$D78,LEN($D115)-7),'Bulb Weighting'!$B$3:$B$17,0)+1,2)</f>
        <v>0.22799637828686767</v>
      </c>
      <c r="X115" s="37">
        <f>VLOOKUP($C115,$D$60:$Z$63,X$32,FALSE)*$D$79*$A115/8760/1000*INDEX('Bulb Weighting'!$B$2:$C$17,MATCH(RIGHT('SC-New'!$D78,LEN($D115)-7),'Bulb Weighting'!$B$3:$B$17,0)+1,2)</f>
        <v>0.22740156257218652</v>
      </c>
      <c r="Y115" s="447">
        <f>(VLOOKUP($C115,$D$43:$Z$46,$X$68+3,FALSE)+VLOOKUP($C115,$D$51:$Z$54,$X$68+3,FALSE))*$A115*$D$79/8760/1000*INDEX('Bulb Weighting'!$B$2:$C$17,MATCH(RIGHT('SC-New'!$D78,LEN($D115)-7),'Bulb Weighting'!$B$3:$B$17,0)+1,2)</f>
        <v>1.9881829909070208</v>
      </c>
      <c r="Z115" s="32"/>
      <c r="AA115" s="32">
        <f t="shared" si="38"/>
        <v>3.7228819862866098</v>
      </c>
      <c r="AB115" s="37"/>
      <c r="AC115" s="84"/>
    </row>
    <row r="116" spans="1:29" customFormat="1">
      <c r="A116" s="89">
        <f t="shared" si="28"/>
        <v>14.009308234872018</v>
      </c>
      <c r="B116" s="71">
        <f t="shared" si="29"/>
        <v>64.372768585347757</v>
      </c>
      <c r="C116" s="1" t="s">
        <v>33</v>
      </c>
      <c r="D116" t="s">
        <v>751</v>
      </c>
      <c r="E116" s="37">
        <f>VLOOKUP($C116,$D$60:$Z$63,E$32,FALSE)*$D$79*$A116/8760/1000*INDEX('Bulb Weighting'!$B$2:$C$17,MATCH(RIGHT('SC-New'!$D79,LEN($D116)-7),'Bulb Weighting'!$B$3:$B$17,0)+1,2)</f>
        <v>0</v>
      </c>
      <c r="F116" s="37">
        <f>VLOOKUP($C116,$D$60:$Z$63,F$32,FALSE)*$D$79*$A116/8760/1000*INDEX('Bulb Weighting'!$B$2:$C$17,MATCH(RIGHT('SC-New'!$D79,LEN($D116)-7),'Bulb Weighting'!$B$3:$B$17,0)+1,2)</f>
        <v>1.6138135742769844E-2</v>
      </c>
      <c r="G116" s="37">
        <f>VLOOKUP($C116,$D$60:$Z$63,G$32,FALSE)*$D$79*$A116/8760/1000*INDEX('Bulb Weighting'!$B$2:$C$17,MATCH(RIGHT('SC-New'!$D79,LEN($D116)-7),'Bulb Weighting'!$B$3:$B$17,0)+1,2)</f>
        <v>2.0694787984239887E-2</v>
      </c>
      <c r="H116" s="37">
        <f>VLOOKUP($C116,$D$60:$Z$63,H$32,FALSE)*$D$79*$A116/8760/1000*INDEX('Bulb Weighting'!$B$2:$C$17,MATCH(RIGHT('SC-New'!$D79,LEN($D116)-7),'Bulb Weighting'!$B$3:$B$17,0)+1,2)</f>
        <v>2.4216935438286968E-2</v>
      </c>
      <c r="I116" s="37">
        <f>VLOOKUP($C116,$D$60:$Z$63,I$32,FALSE)*$D$79*$A116/8760/1000*INDEX('Bulb Weighting'!$B$2:$C$17,MATCH(RIGHT('SC-New'!$D79,LEN($D116)-7),'Bulb Weighting'!$B$3:$B$17,0)+1,2)</f>
        <v>2.7281948611636644E-2</v>
      </c>
      <c r="J116" s="37">
        <f>VLOOKUP($C116,$D$60:$Z$63,J$32,FALSE)*$D$79*$A116/8760/1000*INDEX('Bulb Weighting'!$B$2:$C$17,MATCH(RIGHT('SC-New'!$D79,LEN($D116)-7),'Bulb Weighting'!$B$3:$B$17,0)+1,2)</f>
        <v>2.9913712821440154E-2</v>
      </c>
      <c r="K116" s="37">
        <f>VLOOKUP($C116,$D$60:$Z$63,K$32,FALSE)*$D$79*$A116/8760/1000*INDEX('Bulb Weighting'!$B$2:$C$17,MATCH(RIGHT('SC-New'!$D79,LEN($D116)-7),'Bulb Weighting'!$B$3:$B$17,0)+1,2)</f>
        <v>3.2148199374330722E-2</v>
      </c>
      <c r="L116" s="37">
        <f>VLOOKUP($C116,$D$60:$Z$63,L$32,FALSE)*$D$79*$A116/8760/1000*INDEX('Bulb Weighting'!$B$2:$C$17,MATCH(RIGHT('SC-New'!$D79,LEN($D116)-7),'Bulb Weighting'!$B$3:$B$17,0)+1,2)</f>
        <v>3.4026888520807728E-2</v>
      </c>
      <c r="M116" s="37">
        <f>VLOOKUP($C116,$D$60:$Z$63,M$32,FALSE)*$D$79*$A116/8760/1000*INDEX('Bulb Weighting'!$B$2:$C$17,MATCH(RIGHT('SC-New'!$D79,LEN($D116)-7),'Bulb Weighting'!$B$3:$B$17,0)+1,2)</f>
        <v>4.1419314463771006E-2</v>
      </c>
      <c r="N116" s="37">
        <f>VLOOKUP($C116,$D$60:$Z$63,N$32,FALSE)*$D$79*$A116/8760/1000*INDEX('Bulb Weighting'!$B$2:$C$17,MATCH(RIGHT('SC-New'!$D79,LEN($D116)-7),'Bulb Weighting'!$B$3:$B$17,0)+1,2)</f>
        <v>4.196984540355099E-2</v>
      </c>
      <c r="O116" s="37">
        <f>VLOOKUP($C116,$D$60:$Z$63,O$32,FALSE)*$D$79*$A116/8760/1000*INDEX('Bulb Weighting'!$B$2:$C$17,MATCH(RIGHT('SC-New'!$D79,LEN($D116)-7),'Bulb Weighting'!$B$3:$B$17,0)+1,2)</f>
        <v>4.2512837314426101E-2</v>
      </c>
      <c r="P116" s="37">
        <f>VLOOKUP($C116,$D$60:$Z$63,P$32,FALSE)*$D$79*$A116/8760/1000*INDEX('Bulb Weighting'!$B$2:$C$17,MATCH(RIGHT('SC-New'!$D79,LEN($D116)-7),'Bulb Weighting'!$B$3:$B$17,0)+1,2)</f>
        <v>4.2637095132829504E-2</v>
      </c>
      <c r="Q116" s="37">
        <f>VLOOKUP($C116,$D$60:$Z$63,Q$32,FALSE)*$D$79*$A116/8760/1000*INDEX('Bulb Weighting'!$B$2:$C$17,MATCH(RIGHT('SC-New'!$D79,LEN($D116)-7),'Bulb Weighting'!$B$3:$B$17,0)+1,2)</f>
        <v>4.2570736703794979E-2</v>
      </c>
      <c r="R116" s="37">
        <f>VLOOKUP($C116,$D$60:$Z$63,R$32,FALSE)*$D$79*$A116/8760/1000*INDEX('Bulb Weighting'!$B$2:$C$17,MATCH(RIGHT('SC-New'!$D79,LEN($D116)-7),'Bulb Weighting'!$B$3:$B$17,0)+1,2)</f>
        <v>4.2615061544454595E-2</v>
      </c>
      <c r="S116" s="37">
        <f>VLOOKUP($C116,$D$60:$Z$63,S$32,FALSE)*$D$79*$A116/8760/1000*INDEX('Bulb Weighting'!$B$2:$C$17,MATCH(RIGHT('SC-New'!$D79,LEN($D116)-7),'Bulb Weighting'!$B$3:$B$17,0)+1,2)</f>
        <v>4.2629346685570349E-2</v>
      </c>
      <c r="T116" s="37">
        <f>VLOOKUP($C116,$D$60:$Z$63,T$32,FALSE)*$D$79*$A116/8760/1000*INDEX('Bulb Weighting'!$B$2:$C$17,MATCH(RIGHT('SC-New'!$D79,LEN($D116)-7),'Bulb Weighting'!$B$3:$B$17,0)+1,2)</f>
        <v>4.2674825821511865E-2</v>
      </c>
      <c r="U116" s="37">
        <f>VLOOKUP($C116,$D$60:$Z$63,U$32,FALSE)*$D$79*$A116/8760/1000*INDEX('Bulb Weighting'!$B$2:$C$17,MATCH(RIGHT('SC-New'!$D79,LEN($D116)-7),'Bulb Weighting'!$B$3:$B$17,0)+1,2)</f>
        <v>4.2641892411159864E-2</v>
      </c>
      <c r="V116" s="37">
        <f>VLOOKUP($C116,$D$60:$Z$63,V$32,FALSE)*$D$79*$A116/8760/1000*INDEX('Bulb Weighting'!$B$2:$C$17,MATCH(RIGHT('SC-New'!$D79,LEN($D116)-7),'Bulb Weighting'!$B$3:$B$17,0)+1,2)</f>
        <v>4.2599304266736811E-2</v>
      </c>
      <c r="W116" s="37">
        <f>VLOOKUP($C116,$D$60:$Z$63,W$32,FALSE)*$D$79*$A116/8760/1000*INDEX('Bulb Weighting'!$B$2:$C$17,MATCH(RIGHT('SC-New'!$D79,LEN($D116)-7),'Bulb Weighting'!$B$3:$B$17,0)+1,2)</f>
        <v>4.2472835835117281E-2</v>
      </c>
      <c r="X116" s="37">
        <f>VLOOKUP($C116,$D$60:$Z$63,X$32,FALSE)*$D$79*$A116/8760/1000*INDEX('Bulb Weighting'!$B$2:$C$17,MATCH(RIGHT('SC-New'!$D79,LEN($D116)-7),'Bulb Weighting'!$B$3:$B$17,0)+1,2)</f>
        <v>4.2362029205680322E-2</v>
      </c>
      <c r="Y116" s="447">
        <f>(VLOOKUP($C116,$D$43:$Z$46,$X$68+3,FALSE)+VLOOKUP($C116,$D$51:$Z$54,$X$68+3,FALSE))*$A116*$D$79/8760/1000*INDEX('Bulb Weighting'!$B$2:$C$17,MATCH(RIGHT('SC-New'!$D79,LEN($D116)-7),'Bulb Weighting'!$B$3:$B$17,0)+1,2)</f>
        <v>0.37037329459996177</v>
      </c>
      <c r="Z116" s="32"/>
      <c r="AA116" s="32">
        <f t="shared" si="38"/>
        <v>0.69352573328211575</v>
      </c>
      <c r="AB116" s="37"/>
      <c r="AC116" s="84"/>
    </row>
    <row r="117" spans="1:29" customFormat="1">
      <c r="A117" s="89">
        <f t="shared" si="28"/>
        <v>15.001215681785107</v>
      </c>
      <c r="B117" s="71">
        <f t="shared" si="29"/>
        <v>-40.723166254238713</v>
      </c>
      <c r="C117" s="1" t="s">
        <v>33</v>
      </c>
      <c r="D117" t="s">
        <v>752</v>
      </c>
      <c r="E117" s="37">
        <f>VLOOKUP($C117,$D$60:$Z$63,E$32,FALSE)*$D$79*$A117/8760/1000*INDEX('Bulb Weighting'!$B$2:$C$17,MATCH(RIGHT('SC-New'!$D80,LEN($D117)-7),'Bulb Weighting'!$B$3:$B$17,0)+1,2)</f>
        <v>0</v>
      </c>
      <c r="F117" s="37">
        <f>VLOOKUP($C117,$D$60:$Z$63,F$32,FALSE)*$D$79*$A117/8760/1000*INDEX('Bulb Weighting'!$B$2:$C$17,MATCH(RIGHT('SC-New'!$D80,LEN($D117)-7),'Bulb Weighting'!$B$3:$B$17,0)+1,2)</f>
        <v>1.4769460196398087E-2</v>
      </c>
      <c r="G117" s="37">
        <f>VLOOKUP($C117,$D$60:$Z$63,G$32,FALSE)*$D$79*$A117/8760/1000*INDEX('Bulb Weighting'!$B$2:$C$17,MATCH(RIGHT('SC-New'!$D80,LEN($D117)-7),'Bulb Weighting'!$B$3:$B$17,0)+1,2)</f>
        <v>1.8939662689543627E-2</v>
      </c>
      <c r="H117" s="37">
        <f>VLOOKUP($C117,$D$60:$Z$63,H$32,FALSE)*$D$79*$A117/8760/1000*INDEX('Bulb Weighting'!$B$2:$C$17,MATCH(RIGHT('SC-New'!$D80,LEN($D117)-7),'Bulb Weighting'!$B$3:$B$17,0)+1,2)</f>
        <v>2.2163096762571496E-2</v>
      </c>
      <c r="I117" s="37">
        <f>VLOOKUP($C117,$D$60:$Z$63,I$32,FALSE)*$D$79*$A117/8760/1000*INDEX('Bulb Weighting'!$B$2:$C$17,MATCH(RIGHT('SC-New'!$D80,LEN($D117)-7),'Bulb Weighting'!$B$3:$B$17,0)+1,2)</f>
        <v>2.4968166120443575E-2</v>
      </c>
      <c r="J117" s="37">
        <f>VLOOKUP($C117,$D$60:$Z$63,J$32,FALSE)*$D$79*$A117/8760/1000*INDEX('Bulb Weighting'!$B$2:$C$17,MATCH(RIGHT('SC-New'!$D80,LEN($D117)-7),'Bulb Weighting'!$B$3:$B$17,0)+1,2)</f>
        <v>2.7376730366187527E-2</v>
      </c>
      <c r="K117" s="37">
        <f>VLOOKUP($C117,$D$60:$Z$63,K$32,FALSE)*$D$79*$A117/8760/1000*INDEX('Bulb Weighting'!$B$2:$C$17,MATCH(RIGHT('SC-New'!$D80,LEN($D117)-7),'Bulb Weighting'!$B$3:$B$17,0)+1,2)</f>
        <v>2.9421710079354797E-2</v>
      </c>
      <c r="L117" s="37">
        <f>VLOOKUP($C117,$D$60:$Z$63,L$32,FALSE)*$D$79*$A117/8760/1000*INDEX('Bulb Weighting'!$B$2:$C$17,MATCH(RIGHT('SC-New'!$D80,LEN($D117)-7),'Bulb Weighting'!$B$3:$B$17,0)+1,2)</f>
        <v>3.1141067569746991E-2</v>
      </c>
      <c r="M117" s="37">
        <f>VLOOKUP($C117,$D$60:$Z$63,M$32,FALSE)*$D$79*$A117/8760/1000*INDEX('Bulb Weighting'!$B$2:$C$17,MATCH(RIGHT('SC-New'!$D80,LEN($D117)-7),'Bulb Weighting'!$B$3:$B$17,0)+1,2)</f>
        <v>3.7906541752124719E-2</v>
      </c>
      <c r="N117" s="37">
        <f>VLOOKUP($C117,$D$60:$Z$63,N$32,FALSE)*$D$79*$A117/8760/1000*INDEX('Bulb Weighting'!$B$2:$C$17,MATCH(RIGHT('SC-New'!$D80,LEN($D117)-7),'Bulb Weighting'!$B$3:$B$17,0)+1,2)</f>
        <v>3.8410382154236165E-2</v>
      </c>
      <c r="O117" s="37">
        <f>VLOOKUP($C117,$D$60:$Z$63,O$32,FALSE)*$D$79*$A117/8760/1000*INDEX('Bulb Weighting'!$B$2:$C$17,MATCH(RIGHT('SC-New'!$D80,LEN($D117)-7),'Bulb Weighting'!$B$3:$B$17,0)+1,2)</f>
        <v>3.8907322912602814E-2</v>
      </c>
      <c r="P117" s="37">
        <f>VLOOKUP($C117,$D$60:$Z$63,P$32,FALSE)*$D$79*$A117/8760/1000*INDEX('Bulb Weighting'!$B$2:$C$17,MATCH(RIGHT('SC-New'!$D80,LEN($D117)-7),'Bulb Weighting'!$B$3:$B$17,0)+1,2)</f>
        <v>3.9021042423471514E-2</v>
      </c>
      <c r="Q117" s="37">
        <f>VLOOKUP($C117,$D$60:$Z$63,Q$32,FALSE)*$D$79*$A117/8760/1000*INDEX('Bulb Weighting'!$B$2:$C$17,MATCH(RIGHT('SC-New'!$D80,LEN($D117)-7),'Bulb Weighting'!$B$3:$B$17,0)+1,2)</f>
        <v>3.8960311853847941E-2</v>
      </c>
      <c r="R117" s="37">
        <f>VLOOKUP($C117,$D$60:$Z$63,R$32,FALSE)*$D$79*$A117/8760/1000*INDEX('Bulb Weighting'!$B$2:$C$17,MATCH(RIGHT('SC-New'!$D80,LEN($D117)-7),'Bulb Weighting'!$B$3:$B$17,0)+1,2)</f>
        <v>3.9000877504073508E-2</v>
      </c>
      <c r="S117" s="37">
        <f>VLOOKUP($C117,$D$60:$Z$63,S$32,FALSE)*$D$79*$A117/8760/1000*INDEX('Bulb Weighting'!$B$2:$C$17,MATCH(RIGHT('SC-New'!$D80,LEN($D117)-7),'Bulb Weighting'!$B$3:$B$17,0)+1,2)</f>
        <v>3.9013951122146368E-2</v>
      </c>
      <c r="T117" s="37">
        <f>VLOOKUP($C117,$D$60:$Z$63,T$32,FALSE)*$D$79*$A117/8760/1000*INDEX('Bulb Weighting'!$B$2:$C$17,MATCH(RIGHT('SC-New'!$D80,LEN($D117)-7),'Bulb Weighting'!$B$3:$B$17,0)+1,2)</f>
        <v>3.905557317185282E-2</v>
      </c>
      <c r="U117" s="37">
        <f>VLOOKUP($C117,$D$60:$Z$63,U$32,FALSE)*$D$79*$A117/8760/1000*INDEX('Bulb Weighting'!$B$2:$C$17,MATCH(RIGHT('SC-New'!$D80,LEN($D117)-7),'Bulb Weighting'!$B$3:$B$17,0)+1,2)</f>
        <v>3.9025432844551157E-2</v>
      </c>
      <c r="V117" s="37">
        <f>VLOOKUP($C117,$D$60:$Z$63,V$32,FALSE)*$D$79*$A117/8760/1000*INDEX('Bulb Weighting'!$B$2:$C$17,MATCH(RIGHT('SC-New'!$D80,LEN($D117)-7),'Bulb Weighting'!$B$3:$B$17,0)+1,2)</f>
        <v>3.8986456601326998E-2</v>
      </c>
      <c r="W117" s="37">
        <f>VLOOKUP($C117,$D$60:$Z$63,W$32,FALSE)*$D$79*$A117/8760/1000*INDEX('Bulb Weighting'!$B$2:$C$17,MATCH(RIGHT('SC-New'!$D80,LEN($D117)-7),'Bulb Weighting'!$B$3:$B$17,0)+1,2)</f>
        <v>3.8870713959383837E-2</v>
      </c>
      <c r="X117" s="37">
        <f>VLOOKUP($C117,$D$60:$Z$63,X$32,FALSE)*$D$79*$A117/8760/1000*INDEX('Bulb Weighting'!$B$2:$C$17,MATCH(RIGHT('SC-New'!$D80,LEN($D117)-7),'Bulb Weighting'!$B$3:$B$17,0)+1,2)</f>
        <v>3.8769304841933611E-2</v>
      </c>
      <c r="Y117" s="32">
        <f>(VLOOKUP($C117,$D$43:$Z$46,$X$68+3,FALSE)+VLOOKUP($C117,$D$51:$Z$54,$X$68+3,FALSE))*$A117*$D$79/8760/1000*INDEX('Bulb Weighting'!$B$2:$C$17,MATCH(RIGHT('SC-New'!$D80,LEN($D117)-7),'Bulb Weighting'!$B$3:$B$17,0)+1,2)</f>
        <v>0.33896192965496064</v>
      </c>
      <c r="Z117" s="32"/>
      <c r="AA117" s="32">
        <f>SUM(E117:X117)</f>
        <v>0.63470780492579759</v>
      </c>
      <c r="AB117" s="37"/>
      <c r="AC117" s="84"/>
    </row>
    <row r="118" spans="1:29" customFormat="1">
      <c r="A118" s="89">
        <f t="shared" si="28"/>
        <v>10.331554133000125</v>
      </c>
      <c r="B118" s="71">
        <f t="shared" si="29"/>
        <v>-97.483290128606981</v>
      </c>
      <c r="C118" s="1" t="s">
        <v>33</v>
      </c>
      <c r="D118" t="s">
        <v>753</v>
      </c>
      <c r="E118" s="37">
        <f>VLOOKUP($C118,$D$60:$Z$63,E$32,FALSE)*$D$79*$A118/8760/1000*INDEX('Bulb Weighting'!$B$2:$C$17,MATCH(RIGHT('SC-New'!$D81,LEN($D118)-7),'Bulb Weighting'!$B$3:$B$17,0)+1,2)</f>
        <v>0</v>
      </c>
      <c r="F118" s="37">
        <f>VLOOKUP($C118,$D$60:$Z$63,F$32,FALSE)*$D$79*$A118/8760/1000*INDEX('Bulb Weighting'!$B$2:$C$17,MATCH(RIGHT('SC-New'!$D81,LEN($D118)-7),'Bulb Weighting'!$B$3:$B$17,0)+1,2)</f>
        <v>6.2025895231718536E-3</v>
      </c>
      <c r="G118" s="37">
        <f>VLOOKUP($C118,$D$60:$Z$63,G$32,FALSE)*$D$79*$A118/8760/1000*INDEX('Bulb Weighting'!$B$2:$C$17,MATCH(RIGHT('SC-New'!$D81,LEN($D118)-7),'Bulb Weighting'!$B$3:$B$17,0)+1,2)</f>
        <v>7.9539097440556056E-3</v>
      </c>
      <c r="H118" s="37">
        <f>VLOOKUP($C118,$D$60:$Z$63,H$32,FALSE)*$D$79*$A118/8760/1000*INDEX('Bulb Weighting'!$B$2:$C$17,MATCH(RIGHT('SC-New'!$D81,LEN($D118)-7),'Bulb Weighting'!$B$3:$B$17,0)+1,2)</f>
        <v>9.3076246492810374E-3</v>
      </c>
      <c r="I118" s="37">
        <f>VLOOKUP($C118,$D$60:$Z$63,I$32,FALSE)*$D$79*$A118/8760/1000*INDEX('Bulb Weighting'!$B$2:$C$17,MATCH(RIGHT('SC-New'!$D81,LEN($D118)-7),'Bulb Weighting'!$B$3:$B$17,0)+1,2)</f>
        <v>1.0485642909904461E-2</v>
      </c>
      <c r="J118" s="37">
        <f>VLOOKUP($C118,$D$60:$Z$63,J$32,FALSE)*$D$79*$A118/8760/1000*INDEX('Bulb Weighting'!$B$2:$C$17,MATCH(RIGHT('SC-New'!$D81,LEN($D118)-7),'Bulb Weighting'!$B$3:$B$17,0)+1,2)</f>
        <v>1.1497144695202013E-2</v>
      </c>
      <c r="K118" s="37">
        <f>VLOOKUP($C118,$D$60:$Z$63,K$32,FALSE)*$D$79*$A118/8760/1000*INDEX('Bulb Weighting'!$B$2:$C$17,MATCH(RIGHT('SC-New'!$D81,LEN($D118)-7),'Bulb Weighting'!$B$3:$B$17,0)+1,2)</f>
        <v>1.2355955347407408E-2</v>
      </c>
      <c r="L118" s="37">
        <f>VLOOKUP($C118,$D$60:$Z$63,L$32,FALSE)*$D$79*$A118/8760/1000*INDEX('Bulb Weighting'!$B$2:$C$17,MATCH(RIGHT('SC-New'!$D81,LEN($D118)-7),'Bulb Weighting'!$B$3:$B$17,0)+1,2)</f>
        <v>1.307801753618628E-2</v>
      </c>
      <c r="M118" s="37">
        <f>VLOOKUP($C118,$D$60:$Z$63,M$32,FALSE)*$D$79*$A118/8760/1000*INDEX('Bulb Weighting'!$B$2:$C$17,MATCH(RIGHT('SC-New'!$D81,LEN($D118)-7),'Bulb Weighting'!$B$3:$B$17,0)+1,2)</f>
        <v>1.5919249289066437E-2</v>
      </c>
      <c r="N118" s="37">
        <f>VLOOKUP($C118,$D$60:$Z$63,N$32,FALSE)*$D$79*$A118/8760/1000*INDEX('Bulb Weighting'!$B$2:$C$17,MATCH(RIGHT('SC-New'!$D81,LEN($D118)-7),'Bulb Weighting'!$B$3:$B$17,0)+1,2)</f>
        <v>1.6130842343784122E-2</v>
      </c>
      <c r="O118" s="37">
        <f>VLOOKUP($C118,$D$60:$Z$63,O$32,FALSE)*$D$79*$A118/8760/1000*INDEX('Bulb Weighting'!$B$2:$C$17,MATCH(RIGHT('SC-New'!$D81,LEN($D118)-7),'Bulb Weighting'!$B$3:$B$17,0)+1,2)</f>
        <v>1.633953782083573E-2</v>
      </c>
      <c r="P118" s="37">
        <f>VLOOKUP($C118,$D$60:$Z$63,P$32,FALSE)*$D$79*$A118/8760/1000*INDEX('Bulb Weighting'!$B$2:$C$17,MATCH(RIGHT('SC-New'!$D81,LEN($D118)-7),'Bulb Weighting'!$B$3:$B$17,0)+1,2)</f>
        <v>1.6387295520664626E-2</v>
      </c>
      <c r="Q118" s="37">
        <f>VLOOKUP($C118,$D$60:$Z$63,Q$32,FALSE)*$D$79*$A118/8760/1000*INDEX('Bulb Weighting'!$B$2:$C$17,MATCH(RIGHT('SC-New'!$D81,LEN($D118)-7),'Bulb Weighting'!$B$3:$B$17,0)+1,2)</f>
        <v>1.6361791081783691E-2</v>
      </c>
      <c r="R118" s="37">
        <f>VLOOKUP($C118,$D$60:$Z$63,R$32,FALSE)*$D$79*$A118/8760/1000*INDEX('Bulb Weighting'!$B$2:$C$17,MATCH(RIGHT('SC-New'!$D81,LEN($D118)-7),'Bulb Weighting'!$B$3:$B$17,0)+1,2)</f>
        <v>1.6378827051530993E-2</v>
      </c>
      <c r="S118" s="37">
        <f>VLOOKUP($C118,$D$60:$Z$63,S$32,FALSE)*$D$79*$A118/8760/1000*INDEX('Bulb Weighting'!$B$2:$C$17,MATCH(RIGHT('SC-New'!$D81,LEN($D118)-7),'Bulb Weighting'!$B$3:$B$17,0)+1,2)</f>
        <v>1.6384317454390025E-2</v>
      </c>
      <c r="T118" s="37">
        <f>VLOOKUP($C118,$D$60:$Z$63,T$32,FALSE)*$D$79*$A118/8760/1000*INDEX('Bulb Weighting'!$B$2:$C$17,MATCH(RIGHT('SC-New'!$D81,LEN($D118)-7),'Bulb Weighting'!$B$3:$B$17,0)+1,2)</f>
        <v>1.6401797070165359E-2</v>
      </c>
      <c r="U118" s="37">
        <f>VLOOKUP($C118,$D$60:$Z$63,U$32,FALSE)*$D$79*$A118/8760/1000*INDEX('Bulb Weighting'!$B$2:$C$17,MATCH(RIGHT('SC-New'!$D81,LEN($D118)-7),'Bulb Weighting'!$B$3:$B$17,0)+1,2)</f>
        <v>1.6389139323987757E-2</v>
      </c>
      <c r="V118" s="37">
        <f>VLOOKUP($C118,$D$60:$Z$63,V$32,FALSE)*$D$79*$A118/8760/1000*INDEX('Bulb Weighting'!$B$2:$C$17,MATCH(RIGHT('SC-New'!$D81,LEN($D118)-7),'Bulb Weighting'!$B$3:$B$17,0)+1,2)</f>
        <v>1.6372770842360121E-2</v>
      </c>
      <c r="W118" s="37">
        <f>VLOOKUP($C118,$D$60:$Z$63,W$32,FALSE)*$D$79*$A118/8760/1000*INDEX('Bulb Weighting'!$B$2:$C$17,MATCH(RIGHT('SC-New'!$D81,LEN($D118)-7),'Bulb Weighting'!$B$3:$B$17,0)+1,2)</f>
        <v>1.6324163507443715E-2</v>
      </c>
      <c r="X118" s="37">
        <f>VLOOKUP($C118,$D$60:$Z$63,X$32,FALSE)*$D$79*$A118/8760/1000*INDEX('Bulb Weighting'!$B$2:$C$17,MATCH(RIGHT('SC-New'!$D81,LEN($D118)-7),'Bulb Weighting'!$B$3:$B$17,0)+1,2)</f>
        <v>1.6281575686285275E-2</v>
      </c>
      <c r="Y118" s="32">
        <f>(VLOOKUP($C118,$D$43:$Z$46,$X$68+3,FALSE)+VLOOKUP($C118,$D$51:$Z$54,$X$68+3,FALSE))*$A118*$D$79/8760/1000*INDEX('Bulb Weighting'!$B$2:$C$17,MATCH(RIGHT('SC-New'!$D81,LEN($D118)-7),'Bulb Weighting'!$B$3:$B$17,0)+1,2)</f>
        <v>0.14235061306740976</v>
      </c>
      <c r="Z118" s="32"/>
      <c r="AA118" s="32">
        <f t="shared" ref="AA118:AA120" si="39">SUM(E118:X118)</f>
        <v>0.26655219139750652</v>
      </c>
      <c r="AB118" s="37"/>
      <c r="AC118" s="84"/>
    </row>
    <row r="119" spans="1:29" customFormat="1">
      <c r="A119" s="89">
        <f t="shared" si="28"/>
        <v>11.177995908414712</v>
      </c>
      <c r="B119" s="71">
        <f t="shared" si="29"/>
        <v>-118.66739310804593</v>
      </c>
      <c r="C119" s="1" t="s">
        <v>33</v>
      </c>
      <c r="D119" t="s">
        <v>754</v>
      </c>
      <c r="E119" s="37">
        <f>VLOOKUP($C119,$D$60:$Z$63,E$32,FALSE)*$D$79*$A119/8760/1000*INDEX('Bulb Weighting'!$B$2:$C$17,MATCH(RIGHT('SC-New'!$D82,LEN($D119)-7),'Bulb Weighting'!$B$3:$B$17,0)+1,2)</f>
        <v>0</v>
      </c>
      <c r="F119" s="37">
        <f>VLOOKUP($C119,$D$60:$Z$63,F$32,FALSE)*$D$79*$A119/8760/1000*INDEX('Bulb Weighting'!$B$2:$C$17,MATCH(RIGHT('SC-New'!$D82,LEN($D119)-7),'Bulb Weighting'!$B$3:$B$17,0)+1,2)</f>
        <v>5.0566080152211616E-4</v>
      </c>
      <c r="G119" s="37">
        <f>VLOOKUP($C119,$D$60:$Z$63,G$32,FALSE)*$D$79*$A119/8760/1000*INDEX('Bulb Weighting'!$B$2:$C$17,MATCH(RIGHT('SC-New'!$D82,LEN($D119)-7),'Bulb Weighting'!$B$3:$B$17,0)+1,2)</f>
        <v>6.4843568341710659E-4</v>
      </c>
      <c r="H119" s="37">
        <f>VLOOKUP($C119,$D$60:$Z$63,H$32,FALSE)*$D$79*$A119/8760/1000*INDEX('Bulb Weighting'!$B$2:$C$17,MATCH(RIGHT('SC-New'!$D82,LEN($D119)-7),'Bulb Weighting'!$B$3:$B$17,0)+1,2)</f>
        <v>7.5879613229921808E-4</v>
      </c>
      <c r="I119" s="37">
        <f>VLOOKUP($C119,$D$60:$Z$63,I$32,FALSE)*$D$79*$A119/8760/1000*INDEX('Bulb Weighting'!$B$2:$C$17,MATCH(RIGHT('SC-New'!$D82,LEN($D119)-7),'Bulb Weighting'!$B$3:$B$17,0)+1,2)</f>
        <v>8.5483306262471763E-4</v>
      </c>
      <c r="J119" s="37">
        <f>VLOOKUP($C119,$D$60:$Z$63,J$32,FALSE)*$D$79*$A119/8760/1000*INDEX('Bulb Weighting'!$B$2:$C$17,MATCH(RIGHT('SC-New'!$D82,LEN($D119)-7),'Bulb Weighting'!$B$3:$B$17,0)+1,2)</f>
        <v>9.3729487983570969E-4</v>
      </c>
      <c r="K119" s="37">
        <f>VLOOKUP($C119,$D$60:$Z$63,K$32,FALSE)*$D$79*$A119/8760/1000*INDEX('Bulb Weighting'!$B$2:$C$17,MATCH(RIGHT('SC-New'!$D82,LEN($D119)-7),'Bulb Weighting'!$B$3:$B$17,0)+1,2)</f>
        <v>1.0073086831234434E-3</v>
      </c>
      <c r="L119" s="37">
        <f>VLOOKUP($C119,$D$60:$Z$63,L$32,FALSE)*$D$79*$A119/8760/1000*INDEX('Bulb Weighting'!$B$2:$C$17,MATCH(RIGHT('SC-New'!$D82,LEN($D119)-7),'Bulb Weighting'!$B$3:$B$17,0)+1,2)</f>
        <v>1.066174184985644E-3</v>
      </c>
      <c r="M119" s="37">
        <f>VLOOKUP($C119,$D$60:$Z$63,M$32,FALSE)*$D$79*$A119/8760/1000*INDEX('Bulb Weighting'!$B$2:$C$17,MATCH(RIGHT('SC-New'!$D82,LEN($D119)-7),'Bulb Weighting'!$B$3:$B$17,0)+1,2)</f>
        <v>1.2978031715732933E-3</v>
      </c>
      <c r="N119" s="37">
        <f>VLOOKUP($C119,$D$60:$Z$63,N$32,FALSE)*$D$79*$A119/8760/1000*INDEX('Bulb Weighting'!$B$2:$C$17,MATCH(RIGHT('SC-New'!$D82,LEN($D119)-7),'Bulb Weighting'!$B$3:$B$17,0)+1,2)</f>
        <v>1.3150531142376179E-3</v>
      </c>
      <c r="O119" s="37">
        <f>VLOOKUP($C119,$D$60:$Z$63,O$32,FALSE)*$D$79*$A119/8760/1000*INDEX('Bulb Weighting'!$B$2:$C$17,MATCH(RIGHT('SC-New'!$D82,LEN($D119)-7),'Bulb Weighting'!$B$3:$B$17,0)+1,2)</f>
        <v>1.3320668343630136E-3</v>
      </c>
      <c r="P119" s="37">
        <f>VLOOKUP($C119,$D$60:$Z$63,P$32,FALSE)*$D$79*$A119/8760/1000*INDEX('Bulb Weighting'!$B$2:$C$17,MATCH(RIGHT('SC-New'!$D82,LEN($D119)-7),'Bulb Weighting'!$B$3:$B$17,0)+1,2)</f>
        <v>1.3359602399614519E-3</v>
      </c>
      <c r="Q119" s="37">
        <f>VLOOKUP($C119,$D$60:$Z$63,Q$32,FALSE)*$D$79*$A119/8760/1000*INDEX('Bulb Weighting'!$B$2:$C$17,MATCH(RIGHT('SC-New'!$D82,LEN($D119)-7),'Bulb Weighting'!$B$3:$B$17,0)+1,2)</f>
        <v>1.3338810124132279E-3</v>
      </c>
      <c r="R119" s="37">
        <f>VLOOKUP($C119,$D$60:$Z$63,R$32,FALSE)*$D$79*$A119/8760/1000*INDEX('Bulb Weighting'!$B$2:$C$17,MATCH(RIGHT('SC-New'!$D82,LEN($D119)-7),'Bulb Weighting'!$B$3:$B$17,0)+1,2)</f>
        <v>1.335269855264257E-3</v>
      </c>
      <c r="S119" s="37">
        <f>VLOOKUP($C119,$D$60:$Z$63,S$32,FALSE)*$D$79*$A119/8760/1000*INDEX('Bulb Weighting'!$B$2:$C$17,MATCH(RIGHT('SC-New'!$D82,LEN($D119)-7),'Bulb Weighting'!$B$3:$B$17,0)+1,2)</f>
        <v>1.3357174556576099E-3</v>
      </c>
      <c r="T119" s="37">
        <f>VLOOKUP($C119,$D$60:$Z$63,T$32,FALSE)*$D$79*$A119/8760/1000*INDEX('Bulb Weighting'!$B$2:$C$17,MATCH(RIGHT('SC-New'!$D82,LEN($D119)-7),'Bulb Weighting'!$B$3:$B$17,0)+1,2)</f>
        <v>1.3371424663713182E-3</v>
      </c>
      <c r="U119" s="37">
        <f>VLOOKUP($C119,$D$60:$Z$63,U$32,FALSE)*$D$79*$A119/8760/1000*INDEX('Bulb Weighting'!$B$2:$C$17,MATCH(RIGHT('SC-New'!$D82,LEN($D119)-7),'Bulb Weighting'!$B$3:$B$17,0)+1,2)</f>
        <v>1.3361105544490929E-3</v>
      </c>
      <c r="V119" s="37">
        <f>VLOOKUP($C119,$D$60:$Z$63,V$32,FALSE)*$D$79*$A119/8760/1000*INDEX('Bulb Weighting'!$B$2:$C$17,MATCH(RIGHT('SC-New'!$D82,LEN($D119)-7),'Bulb Weighting'!$B$3:$B$17,0)+1,2)</f>
        <v>1.3347761279956566E-3</v>
      </c>
      <c r="W119" s="37">
        <f>VLOOKUP($C119,$D$60:$Z$63,W$32,FALSE)*$D$79*$A119/8760/1000*INDEX('Bulb Weighting'!$B$2:$C$17,MATCH(RIGHT('SC-New'!$D82,LEN($D119)-7),'Bulb Weighting'!$B$3:$B$17,0)+1,2)</f>
        <v>1.3308134566239877E-3</v>
      </c>
      <c r="X119" s="37">
        <f>VLOOKUP($C119,$D$60:$Z$63,X$32,FALSE)*$D$79*$A119/8760/1000*INDEX('Bulb Weighting'!$B$2:$C$17,MATCH(RIGHT('SC-New'!$D82,LEN($D119)-7),'Bulb Weighting'!$B$3:$B$17,0)+1,2)</f>
        <v>1.3273415209587944E-3</v>
      </c>
      <c r="Y119" s="32">
        <f>(VLOOKUP($C119,$D$43:$Z$46,$X$68+3,FALSE)+VLOOKUP($C119,$D$51:$Z$54,$X$68+3,FALSE))*$A119*$D$79/8760/1000*INDEX('Bulb Weighting'!$B$2:$C$17,MATCH(RIGHT('SC-New'!$D82,LEN($D119)-7),'Bulb Weighting'!$B$3:$B$17,0)+1,2)</f>
        <v>1.1605011879622438E-2</v>
      </c>
      <c r="Z119" s="32"/>
      <c r="AA119" s="32">
        <f t="shared" si="39"/>
        <v>2.1730439237677278E-2</v>
      </c>
      <c r="AB119" s="37"/>
      <c r="AC119" s="84"/>
    </row>
    <row r="120" spans="1:29" customFormat="1">
      <c r="A120" s="89">
        <f t="shared" si="28"/>
        <v>21.322455076849025</v>
      </c>
      <c r="B120" s="71">
        <f t="shared" si="29"/>
        <v>-49.256412709384371</v>
      </c>
      <c r="C120" s="1" t="s">
        <v>33</v>
      </c>
      <c r="D120" t="s">
        <v>755</v>
      </c>
      <c r="E120" s="37">
        <f>VLOOKUP($C120,$D$60:$Z$63,E$32,FALSE)*$D$79*$A120/8760/1000*INDEX('Bulb Weighting'!$B$2:$C$17,MATCH(RIGHT('SC-New'!$D83,LEN($D120)-7),'Bulb Weighting'!$B$3:$B$17,0)+1,2)</f>
        <v>0</v>
      </c>
      <c r="F120" s="37">
        <f>VLOOKUP($C120,$D$60:$Z$63,F$32,FALSE)*$D$79*$A120/8760/1000*INDEX('Bulb Weighting'!$B$2:$C$17,MATCH(RIGHT('SC-New'!$D83,LEN($D120)-7),'Bulb Weighting'!$B$3:$B$17,0)+1,2)</f>
        <v>6.6774463102934065E-3</v>
      </c>
      <c r="G120" s="37">
        <f>VLOOKUP($C120,$D$60:$Z$63,G$32,FALSE)*$D$79*$A120/8760/1000*INDEX('Bulb Weighting'!$B$2:$C$17,MATCH(RIGHT('SC-New'!$D83,LEN($D120)-7),'Bulb Weighting'!$B$3:$B$17,0)+1,2)</f>
        <v>8.5628438049034049E-3</v>
      </c>
      <c r="H120" s="37">
        <f>VLOOKUP($C120,$D$60:$Z$63,H$32,FALSE)*$D$79*$A120/8760/1000*INDEX('Bulb Weighting'!$B$2:$C$17,MATCH(RIGHT('SC-New'!$D83,LEN($D120)-7),'Bulb Weighting'!$B$3:$B$17,0)+1,2)</f>
        <v>1.0020196184150364E-2</v>
      </c>
      <c r="I120" s="37">
        <f>VLOOKUP($C120,$D$60:$Z$63,I$32,FALSE)*$D$79*$A120/8760/1000*INDEX('Bulb Weighting'!$B$2:$C$17,MATCH(RIGHT('SC-New'!$D83,LEN($D120)-7),'Bulb Weighting'!$B$3:$B$17,0)+1,2)</f>
        <v>1.1288400965148923E-2</v>
      </c>
      <c r="J120" s="37">
        <f>VLOOKUP($C120,$D$60:$Z$63,J$32,FALSE)*$D$79*$A120/8760/1000*INDEX('Bulb Weighting'!$B$2:$C$17,MATCH(RIGHT('SC-New'!$D83,LEN($D120)-7),'Bulb Weighting'!$B$3:$B$17,0)+1,2)</f>
        <v>1.2377341131003453E-2</v>
      </c>
      <c r="K120" s="37">
        <f>VLOOKUP($C120,$D$60:$Z$63,K$32,FALSE)*$D$79*$A120/8760/1000*INDEX('Bulb Weighting'!$B$2:$C$17,MATCH(RIGHT('SC-New'!$D83,LEN($D120)-7),'Bulb Weighting'!$B$3:$B$17,0)+1,2)</f>
        <v>1.3301900462132145E-2</v>
      </c>
      <c r="L120" s="37">
        <f>VLOOKUP($C120,$D$60:$Z$63,L$32,FALSE)*$D$79*$A120/8760/1000*INDEX('Bulb Weighting'!$B$2:$C$17,MATCH(RIGHT('SC-New'!$D83,LEN($D120)-7),'Bulb Weighting'!$B$3:$B$17,0)+1,2)</f>
        <v>1.4079242164376251E-2</v>
      </c>
      <c r="M120" s="37">
        <f>VLOOKUP($C120,$D$60:$Z$63,M$32,FALSE)*$D$79*$A120/8760/1000*INDEX('Bulb Weighting'!$B$2:$C$17,MATCH(RIGHT('SC-New'!$D83,LEN($D120)-7),'Bulb Weighting'!$B$3:$B$17,0)+1,2)</f>
        <v>1.7137992451507322E-2</v>
      </c>
      <c r="N120" s="37">
        <f>VLOOKUP($C120,$D$60:$Z$63,N$32,FALSE)*$D$79*$A120/8760/1000*INDEX('Bulb Weighting'!$B$2:$C$17,MATCH(RIGHT('SC-New'!$D83,LEN($D120)-7),'Bulb Weighting'!$B$3:$B$17,0)+1,2)</f>
        <v>1.7365784611093241E-2</v>
      </c>
      <c r="O120" s="37">
        <f>VLOOKUP($C120,$D$60:$Z$63,O$32,FALSE)*$D$79*$A120/8760/1000*INDEX('Bulb Weighting'!$B$2:$C$17,MATCH(RIGHT('SC-New'!$D83,LEN($D120)-7),'Bulb Weighting'!$B$3:$B$17,0)+1,2)</f>
        <v>1.7590457360758052E-2</v>
      </c>
      <c r="P120" s="37">
        <f>VLOOKUP($C120,$D$60:$Z$63,P$32,FALSE)*$D$79*$A120/8760/1000*INDEX('Bulb Weighting'!$B$2:$C$17,MATCH(RIGHT('SC-New'!$D83,LEN($D120)-7),'Bulb Weighting'!$B$3:$B$17,0)+1,2)</f>
        <v>1.7641871286396563E-2</v>
      </c>
      <c r="Q120" s="37">
        <f>VLOOKUP($C120,$D$60:$Z$63,Q$32,FALSE)*$D$79*$A120/8760/1000*INDEX('Bulb Weighting'!$B$2:$C$17,MATCH(RIGHT('SC-New'!$D83,LEN($D120)-7),'Bulb Weighting'!$B$3:$B$17,0)+1,2)</f>
        <v>1.7614414283048951E-2</v>
      </c>
      <c r="R120" s="37">
        <f>VLOOKUP($C120,$D$60:$Z$63,R$32,FALSE)*$D$79*$A120/8760/1000*INDEX('Bulb Weighting'!$B$2:$C$17,MATCH(RIGHT('SC-New'!$D83,LEN($D120)-7),'Bulb Weighting'!$B$3:$B$17,0)+1,2)</f>
        <v>1.7632754489652402E-2</v>
      </c>
      <c r="S120" s="37">
        <f>VLOOKUP($C120,$D$60:$Z$63,S$32,FALSE)*$D$79*$A120/8760/1000*INDEX('Bulb Weighting'!$B$2:$C$17,MATCH(RIGHT('SC-New'!$D83,LEN($D120)-7),'Bulb Weighting'!$B$3:$B$17,0)+1,2)</f>
        <v>1.7638665225833815E-2</v>
      </c>
      <c r="T120" s="37">
        <f>VLOOKUP($C120,$D$60:$Z$63,T$32,FALSE)*$D$79*$A120/8760/1000*INDEX('Bulb Weighting'!$B$2:$C$17,MATCH(RIGHT('SC-New'!$D83,LEN($D120)-7),'Bulb Weighting'!$B$3:$B$17,0)+1,2)</f>
        <v>1.7657483043041988E-2</v>
      </c>
      <c r="U120" s="37">
        <f>VLOOKUP($C120,$D$60:$Z$63,U$32,FALSE)*$D$79*$A120/8760/1000*INDEX('Bulb Weighting'!$B$2:$C$17,MATCH(RIGHT('SC-New'!$D83,LEN($D120)-7),'Bulb Weighting'!$B$3:$B$17,0)+1,2)</f>
        <v>1.7643856247298934E-2</v>
      </c>
      <c r="V120" s="37">
        <f>VLOOKUP($C120,$D$60:$Z$63,V$32,FALSE)*$D$79*$A120/8760/1000*INDEX('Bulb Weighting'!$B$2:$C$17,MATCH(RIGHT('SC-New'!$D83,LEN($D120)-7),'Bulb Weighting'!$B$3:$B$17,0)+1,2)</f>
        <v>1.7626234630256365E-2</v>
      </c>
      <c r="W120" s="37">
        <f>VLOOKUP($C120,$D$60:$Z$63,W$32,FALSE)*$D$79*$A120/8760/1000*INDEX('Bulb Weighting'!$B$2:$C$17,MATCH(RIGHT('SC-New'!$D83,LEN($D120)-7),'Bulb Weighting'!$B$3:$B$17,0)+1,2)</f>
        <v>1.7573906023312734E-2</v>
      </c>
      <c r="X120" s="37">
        <f>VLOOKUP($C120,$D$60:$Z$63,X$32,FALSE)*$D$79*$A120/8760/1000*INDEX('Bulb Weighting'!$B$2:$C$17,MATCH(RIGHT('SC-New'!$D83,LEN($D120)-7),'Bulb Weighting'!$B$3:$B$17,0)+1,2)</f>
        <v>1.7528057771031093E-2</v>
      </c>
      <c r="Y120" s="32">
        <f>(VLOOKUP($C120,$D$43:$Z$46,$X$68+3,FALSE)+VLOOKUP($C120,$D$51:$Z$54,$X$68+3,FALSE))*$A120*$D$79/8760/1000*INDEX('Bulb Weighting'!$B$2:$C$17,MATCH(RIGHT('SC-New'!$D83,LEN($D120)-7),'Bulb Weighting'!$B$3:$B$17,0)+1,2)</f>
        <v>0.15324866693885256</v>
      </c>
      <c r="Z120" s="32"/>
      <c r="AA120" s="32">
        <f t="shared" si="39"/>
        <v>0.28695884844523939</v>
      </c>
      <c r="AB120" s="37"/>
      <c r="AC120" s="84"/>
    </row>
    <row r="121" spans="1:29" customFormat="1">
      <c r="A121" s="89">
        <f t="shared" si="28"/>
        <v>16.258824982644914</v>
      </c>
      <c r="B121" s="71">
        <f t="shared" si="29"/>
        <v>-57.558538168362972</v>
      </c>
      <c r="C121" s="1" t="s">
        <v>33</v>
      </c>
      <c r="D121" t="s">
        <v>756</v>
      </c>
      <c r="E121" s="37">
        <f>VLOOKUP($C121,$D$60:$Z$63,E$32,FALSE)*$D$79*$A121/8760/1000*INDEX('Bulb Weighting'!$B$2:$C$17,MATCH(RIGHT('SC-New'!$D84,LEN($D121)-7),'Bulb Weighting'!$B$3:$B$17,0)+1,2)</f>
        <v>0</v>
      </c>
      <c r="F121" s="37">
        <f>VLOOKUP($C121,$D$60:$Z$63,F$32,FALSE)*$D$79*$A121/8760/1000*INDEX('Bulb Weighting'!$B$2:$C$17,MATCH(RIGHT('SC-New'!$D84,LEN($D121)-7),'Bulb Weighting'!$B$3:$B$17,0)+1,2)</f>
        <v>5.1450043830654928E-2</v>
      </c>
      <c r="G121" s="37">
        <f>VLOOKUP($C121,$D$60:$Z$63,G$32,FALSE)*$D$79*$A121/8760/1000*INDEX('Bulb Weighting'!$B$2:$C$17,MATCH(RIGHT('SC-New'!$D84,LEN($D121)-7),'Bulb Weighting'!$B$3:$B$17,0)+1,2)</f>
        <v>6.5977121882388315E-2</v>
      </c>
      <c r="H121" s="37">
        <f>VLOOKUP($C121,$D$60:$Z$63,H$32,FALSE)*$D$79*$A121/8760/1000*INDEX('Bulb Weighting'!$B$2:$C$17,MATCH(RIGHT('SC-New'!$D84,LEN($D121)-7),'Bulb Weighting'!$B$3:$B$17,0)+1,2)</f>
        <v>7.7206091806621316E-2</v>
      </c>
      <c r="I121" s="37">
        <f>VLOOKUP($C121,$D$60:$Z$63,I$32,FALSE)*$D$79*$A121/8760/1000*INDEX('Bulb Weighting'!$B$2:$C$17,MATCH(RIGHT('SC-New'!$D84,LEN($D121)-7),'Bulb Weighting'!$B$3:$B$17,0)+1,2)</f>
        <v>8.6977670421643533E-2</v>
      </c>
      <c r="J121" s="37">
        <f>VLOOKUP($C121,$D$60:$Z$63,J$32,FALSE)*$D$79*$A121/8760/1000*INDEX('Bulb Weighting'!$B$2:$C$17,MATCH(RIGHT('SC-New'!$D84,LEN($D121)-7),'Bulb Weighting'!$B$3:$B$17,0)+1,2)</f>
        <v>9.5368006585906065E-2</v>
      </c>
      <c r="K121" s="37">
        <f>VLOOKUP($C121,$D$60:$Z$63,K$32,FALSE)*$D$79*$A121/8760/1000*INDEX('Bulb Weighting'!$B$2:$C$17,MATCH(RIGHT('SC-New'!$D84,LEN($D121)-7),'Bulb Weighting'!$B$3:$B$17,0)+1,2)</f>
        <v>0.10249178054082117</v>
      </c>
      <c r="L121" s="37">
        <f>VLOOKUP($C121,$D$60:$Z$63,L$32,FALSE)*$D$79*$A121/8760/1000*INDEX('Bulb Weighting'!$B$2:$C$17,MATCH(RIGHT('SC-New'!$D84,LEN($D121)-7),'Bulb Weighting'!$B$3:$B$17,0)+1,2)</f>
        <v>0.10848123560992498</v>
      </c>
      <c r="M121" s="37">
        <f>VLOOKUP($C121,$D$60:$Z$63,M$32,FALSE)*$D$79*$A121/8760/1000*INDEX('Bulb Weighting'!$B$2:$C$17,MATCH(RIGHT('SC-New'!$D84,LEN($D121)-7),'Bulb Weighting'!$B$3:$B$17,0)+1,2)</f>
        <v>0.13204905315977611</v>
      </c>
      <c r="N121" s="37">
        <f>VLOOKUP($C121,$D$60:$Z$63,N$32,FALSE)*$D$79*$A121/8760/1000*INDEX('Bulb Weighting'!$B$2:$C$17,MATCH(RIGHT('SC-New'!$D84,LEN($D121)-7),'Bulb Weighting'!$B$3:$B$17,0)+1,2)</f>
        <v>0.13380420266609391</v>
      </c>
      <c r="O121" s="37">
        <f>VLOOKUP($C121,$D$60:$Z$63,O$32,FALSE)*$D$79*$A121/8760/1000*INDEX('Bulb Weighting'!$B$2:$C$17,MATCH(RIGHT('SC-New'!$D84,LEN($D121)-7),'Bulb Weighting'!$B$3:$B$17,0)+1,2)</f>
        <v>0.13553531696947504</v>
      </c>
      <c r="P121" s="37">
        <f>VLOOKUP($C121,$D$60:$Z$63,P$32,FALSE)*$D$79*$A121/8760/1000*INDEX('Bulb Weighting'!$B$2:$C$17,MATCH(RIGHT('SC-New'!$D84,LEN($D121)-7),'Bulb Weighting'!$B$3:$B$17,0)+1,2)</f>
        <v>0.13593146373048001</v>
      </c>
      <c r="Q121" s="37">
        <f>VLOOKUP($C121,$D$60:$Z$63,Q$32,FALSE)*$D$79*$A121/8760/1000*INDEX('Bulb Weighting'!$B$2:$C$17,MATCH(RIGHT('SC-New'!$D84,LEN($D121)-7),'Bulb Weighting'!$B$3:$B$17,0)+1,2)</f>
        <v>0.13571990620383761</v>
      </c>
      <c r="R121" s="37">
        <f>VLOOKUP($C121,$D$60:$Z$63,R$32,FALSE)*$D$79*$A121/8760/1000*INDEX('Bulb Weighting'!$B$2:$C$17,MATCH(RIGHT('SC-New'!$D84,LEN($D121)-7),'Bulb Weighting'!$B$3:$B$17,0)+1,2)</f>
        <v>0.13586121837465301</v>
      </c>
      <c r="S121" s="37">
        <f>VLOOKUP($C121,$D$60:$Z$63,S$32,FALSE)*$D$79*$A121/8760/1000*INDEX('Bulb Weighting'!$B$2:$C$17,MATCH(RIGHT('SC-New'!$D84,LEN($D121)-7),'Bulb Weighting'!$B$3:$B$17,0)+1,2)</f>
        <v>0.13590676088019685</v>
      </c>
      <c r="T121" s="37">
        <f>VLOOKUP($C121,$D$60:$Z$63,T$32,FALSE)*$D$79*$A121/8760/1000*INDEX('Bulb Weighting'!$B$2:$C$17,MATCH(RIGHT('SC-New'!$D84,LEN($D121)-7),'Bulb Weighting'!$B$3:$B$17,0)+1,2)</f>
        <v>0.13605175306361059</v>
      </c>
      <c r="U121" s="37">
        <f>VLOOKUP($C121,$D$60:$Z$63,U$32,FALSE)*$D$79*$A121/8760/1000*INDEX('Bulb Weighting'!$B$2:$C$17,MATCH(RIGHT('SC-New'!$D84,LEN($D121)-7),'Bulb Weighting'!$B$3:$B$17,0)+1,2)</f>
        <v>0.13594675794936001</v>
      </c>
      <c r="V121" s="37">
        <f>VLOOKUP($C121,$D$60:$Z$63,V$32,FALSE)*$D$79*$A121/8760/1000*INDEX('Bulb Weighting'!$B$2:$C$17,MATCH(RIGHT('SC-New'!$D84,LEN($D121)-7),'Bulb Weighting'!$B$3:$B$17,0)+1,2)</f>
        <v>0.13581098254554894</v>
      </c>
      <c r="W121" s="37">
        <f>VLOOKUP($C121,$D$60:$Z$63,W$32,FALSE)*$D$79*$A121/8760/1000*INDEX('Bulb Weighting'!$B$2:$C$17,MATCH(RIGHT('SC-New'!$D84,LEN($D121)-7),'Bulb Weighting'!$B$3:$B$17,0)+1,2)</f>
        <v>0.13540778812125279</v>
      </c>
      <c r="X121" s="37">
        <f>VLOOKUP($C121,$D$60:$Z$63,X$32,FALSE)*$D$79*$A121/8760/1000*INDEX('Bulb Weighting'!$B$2:$C$17,MATCH(RIGHT('SC-New'!$D84,LEN($D121)-7),'Bulb Weighting'!$B$3:$B$17,0)+1,2)</f>
        <v>0.13505452514019176</v>
      </c>
      <c r="Y121" s="32">
        <f>(VLOOKUP($C121,$D$43:$Z$46,$X$68+3,FALSE)+VLOOKUP($C121,$D$51:$Z$54,$X$68+3,FALSE))*$A121*$D$79/8760/1000*INDEX('Bulb Weighting'!$B$2:$C$17,MATCH(RIGHT('SC-New'!$D84,LEN($D121)-7),'Bulb Weighting'!$B$3:$B$17,0)+1,2)</f>
        <v>1.1807883230508447</v>
      </c>
      <c r="Z121" s="32"/>
      <c r="AA121" s="32">
        <f>SUM(E121:X121)</f>
        <v>2.2110316794824367</v>
      </c>
      <c r="AB121" s="37"/>
      <c r="AC121" s="84"/>
    </row>
    <row r="122" spans="1:29" customFormat="1">
      <c r="A122" s="89">
        <f t="shared" si="28"/>
        <v>87.041761167225999</v>
      </c>
      <c r="B122" s="71">
        <f t="shared" si="29"/>
        <v>-31.342168529326845</v>
      </c>
      <c r="C122" s="1" t="s">
        <v>33</v>
      </c>
      <c r="D122" t="s">
        <v>757</v>
      </c>
      <c r="E122" s="37">
        <f>VLOOKUP($C122,$D$60:$Z$63,E$32,FALSE)*$D$79*$A122/8760/1000*INDEX('Bulb Weighting'!$B$2:$C$17,MATCH(RIGHT('SC-New'!$D85,LEN($D122)-7),'Bulb Weighting'!$B$3:$B$17,0)+1,2)</f>
        <v>0</v>
      </c>
      <c r="F122" s="37">
        <f>VLOOKUP($C122,$D$60:$Z$63,F$32,FALSE)*$D$79*$A122/8760/1000*INDEX('Bulb Weighting'!$B$2:$C$17,MATCH(RIGHT('SC-New'!$D85,LEN($D122)-7),'Bulb Weighting'!$B$3:$B$17,0)+1,2)</f>
        <v>2.2634778677255569E-2</v>
      </c>
      <c r="G122" s="37">
        <f>VLOOKUP($C122,$D$60:$Z$63,G$32,FALSE)*$D$79*$A122/8760/1000*INDEX('Bulb Weighting'!$B$2:$C$17,MATCH(RIGHT('SC-New'!$D85,LEN($D122)-7),'Bulb Weighting'!$B$3:$B$17,0)+1,2)</f>
        <v>2.9025778024320981E-2</v>
      </c>
      <c r="H122" s="37">
        <f>VLOOKUP($C122,$D$60:$Z$63,H$32,FALSE)*$D$79*$A122/8760/1000*INDEX('Bulb Weighting'!$B$2:$C$17,MATCH(RIGHT('SC-New'!$D85,LEN($D122)-7),'Bulb Weighting'!$B$3:$B$17,0)+1,2)</f>
        <v>3.3965817528371633E-2</v>
      </c>
      <c r="I122" s="37">
        <f>VLOOKUP($C122,$D$60:$Z$63,I$32,FALSE)*$D$79*$A122/8760/1000*INDEX('Bulb Weighting'!$B$2:$C$17,MATCH(RIGHT('SC-New'!$D85,LEN($D122)-7),'Bulb Weighting'!$B$3:$B$17,0)+1,2)</f>
        <v>3.8264696650932253E-2</v>
      </c>
      <c r="J122" s="37">
        <f>VLOOKUP($C122,$D$60:$Z$63,J$32,FALSE)*$D$79*$A122/8760/1000*INDEX('Bulb Weighting'!$B$2:$C$17,MATCH(RIGHT('SC-New'!$D85,LEN($D122)-7),'Bulb Weighting'!$B$3:$B$17,0)+1,2)</f>
        <v>4.1955916093445192E-2</v>
      </c>
      <c r="K122" s="37">
        <f>VLOOKUP($C122,$D$60:$Z$63,K$32,FALSE)*$D$79*$A122/8760/1000*INDEX('Bulb Weighting'!$B$2:$C$17,MATCH(RIGHT('SC-New'!$D85,LEN($D122)-7),'Bulb Weighting'!$B$3:$B$17,0)+1,2)</f>
        <v>4.5089927938936146E-2</v>
      </c>
      <c r="L122" s="37">
        <f>VLOOKUP($C122,$D$60:$Z$63,L$32,FALSE)*$D$79*$A122/8760/1000*INDEX('Bulb Weighting'!$B$2:$C$17,MATCH(RIGHT('SC-New'!$D85,LEN($D122)-7),'Bulb Weighting'!$B$3:$B$17,0)+1,2)</f>
        <v>4.7724910920345295E-2</v>
      </c>
      <c r="M122" s="37">
        <f>VLOOKUP($C122,$D$60:$Z$63,M$32,FALSE)*$D$79*$A122/8760/1000*INDEX('Bulb Weighting'!$B$2:$C$17,MATCH(RIGHT('SC-New'!$D85,LEN($D122)-7),'Bulb Weighting'!$B$3:$B$17,0)+1,2)</f>
        <v>5.8093266210821823E-2</v>
      </c>
      <c r="N122" s="37">
        <f>VLOOKUP($C122,$D$60:$Z$63,N$32,FALSE)*$D$79*$A122/8760/1000*INDEX('Bulb Weighting'!$B$2:$C$17,MATCH(RIGHT('SC-New'!$D85,LEN($D122)-7),'Bulb Weighting'!$B$3:$B$17,0)+1,2)</f>
        <v>5.8865421444581359E-2</v>
      </c>
      <c r="O122" s="37">
        <f>VLOOKUP($C122,$D$60:$Z$63,O$32,FALSE)*$D$79*$A122/8760/1000*INDEX('Bulb Weighting'!$B$2:$C$17,MATCH(RIGHT('SC-New'!$D85,LEN($D122)-7),'Bulb Weighting'!$B$3:$B$17,0)+1,2)</f>
        <v>5.9627002702918729E-2</v>
      </c>
      <c r="P122" s="37">
        <f>VLOOKUP($C122,$D$60:$Z$63,P$32,FALSE)*$D$79*$A122/8760/1000*INDEX('Bulb Weighting'!$B$2:$C$17,MATCH(RIGHT('SC-New'!$D85,LEN($D122)-7),'Bulb Weighting'!$B$3:$B$17,0)+1,2)</f>
        <v>5.9801282326247582E-2</v>
      </c>
      <c r="Q122" s="37">
        <f>VLOOKUP($C122,$D$60:$Z$63,Q$32,FALSE)*$D$79*$A122/8760/1000*INDEX('Bulb Weighting'!$B$2:$C$17,MATCH(RIGHT('SC-New'!$D85,LEN($D122)-7),'Bulb Weighting'!$B$3:$B$17,0)+1,2)</f>
        <v>5.9708210339587668E-2</v>
      </c>
      <c r="R122" s="37">
        <f>VLOOKUP($C122,$D$60:$Z$63,R$32,FALSE)*$D$79*$A122/8760/1000*INDEX('Bulb Weighting'!$B$2:$C$17,MATCH(RIGHT('SC-New'!$D85,LEN($D122)-7),'Bulb Weighting'!$B$3:$B$17,0)+1,2)</f>
        <v>5.9770378794124605E-2</v>
      </c>
      <c r="S122" s="37">
        <f>VLOOKUP($C122,$D$60:$Z$63,S$32,FALSE)*$D$79*$A122/8760/1000*INDEX('Bulb Weighting'!$B$2:$C$17,MATCH(RIGHT('SC-New'!$D85,LEN($D122)-7),'Bulb Weighting'!$B$3:$B$17,0)+1,2)</f>
        <v>5.9790414628045081E-2</v>
      </c>
      <c r="T122" s="37">
        <f>VLOOKUP($C122,$D$60:$Z$63,T$32,FALSE)*$D$79*$A122/8760/1000*INDEX('Bulb Weighting'!$B$2:$C$17,MATCH(RIGHT('SC-New'!$D85,LEN($D122)-7),'Bulb Weighting'!$B$3:$B$17,0)+1,2)</f>
        <v>5.9854202056337756E-2</v>
      </c>
      <c r="U122" s="37">
        <f>VLOOKUP($C122,$D$60:$Z$63,U$32,FALSE)*$D$79*$A122/8760/1000*INDEX('Bulb Weighting'!$B$2:$C$17,MATCH(RIGHT('SC-New'!$D85,LEN($D122)-7),'Bulb Weighting'!$B$3:$B$17,0)+1,2)</f>
        <v>5.9808010819240323E-2</v>
      </c>
      <c r="V122" s="37">
        <f>VLOOKUP($C122,$D$60:$Z$63,V$32,FALSE)*$D$79*$A122/8760/1000*INDEX('Bulb Weighting'!$B$2:$C$17,MATCH(RIGHT('SC-New'!$D85,LEN($D122)-7),'Bulb Weighting'!$B$3:$B$17,0)+1,2)</f>
        <v>5.9748278193449092E-2</v>
      </c>
      <c r="W122" s="37">
        <f>VLOOKUP($C122,$D$60:$Z$63,W$32,FALSE)*$D$79*$A122/8760/1000*INDEX('Bulb Weighting'!$B$2:$C$17,MATCH(RIGHT('SC-New'!$D85,LEN($D122)-7),'Bulb Weighting'!$B$3:$B$17,0)+1,2)</f>
        <v>5.9570898042172929E-2</v>
      </c>
      <c r="X122" s="37">
        <f>VLOOKUP($C122,$D$60:$Z$63,X$32,FALSE)*$D$79*$A122/8760/1000*INDEX('Bulb Weighting'!$B$2:$C$17,MATCH(RIGHT('SC-New'!$D85,LEN($D122)-7),'Bulb Weighting'!$B$3:$B$17,0)+1,2)</f>
        <v>5.9415484580961846E-2</v>
      </c>
      <c r="Y122" s="32">
        <f>(VLOOKUP($C122,$D$43:$Z$46,$X$68+3,FALSE)+VLOOKUP($C122,$D$51:$Z$54,$X$68+3,FALSE))*$A122*$D$79/8760/1000*INDEX('Bulb Weighting'!$B$2:$C$17,MATCH(RIGHT('SC-New'!$D85,LEN($D122)-7),'Bulb Weighting'!$B$3:$B$17,0)+1,2)</f>
        <v>0.51947248956509606</v>
      </c>
      <c r="Z122" s="32"/>
      <c r="AA122" s="32">
        <f t="shared" ref="AA122:AA124" si="40">SUM(E122:X122)</f>
        <v>0.97271467597209593</v>
      </c>
      <c r="AB122" s="37"/>
      <c r="AC122" s="84"/>
    </row>
    <row r="123" spans="1:29" customFormat="1">
      <c r="A123" s="89">
        <f t="shared" si="28"/>
        <v>50.673589083344737</v>
      </c>
      <c r="B123" s="71">
        <f t="shared" si="29"/>
        <v>-6.4266835469852737</v>
      </c>
      <c r="C123" s="1" t="s">
        <v>33</v>
      </c>
      <c r="D123" t="s">
        <v>758</v>
      </c>
      <c r="E123" s="37">
        <f>VLOOKUP($C123,$D$60:$Z$63,E$32,FALSE)*$D$79*$A123/8760/1000*INDEX('Bulb Weighting'!$B$2:$C$17,MATCH(RIGHT('SC-New'!$D86,LEN($D123)-7),'Bulb Weighting'!$B$3:$B$17,0)+1,2)</f>
        <v>0</v>
      </c>
      <c r="F123" s="37">
        <f>VLOOKUP($C123,$D$60:$Z$63,F$32,FALSE)*$D$79*$A123/8760/1000*INDEX('Bulb Weighting'!$B$2:$C$17,MATCH(RIGHT('SC-New'!$D86,LEN($D123)-7),'Bulb Weighting'!$B$3:$B$17,0)+1,2)</f>
        <v>2.0677152780729151E-4</v>
      </c>
      <c r="G123" s="37">
        <f>VLOOKUP($C123,$D$60:$Z$63,G$32,FALSE)*$D$79*$A123/8760/1000*INDEX('Bulb Weighting'!$B$2:$C$17,MATCH(RIGHT('SC-New'!$D86,LEN($D123)-7),'Bulb Weighting'!$B$3:$B$17,0)+1,2)</f>
        <v>2.65154104374563E-4</v>
      </c>
      <c r="H123" s="37">
        <f>VLOOKUP($C123,$D$60:$Z$63,H$32,FALSE)*$D$79*$A123/8760/1000*INDEX('Bulb Weighting'!$B$2:$C$17,MATCH(RIGHT('SC-New'!$D86,LEN($D123)-7),'Bulb Weighting'!$B$3:$B$17,0)+1,2)</f>
        <v>3.1028198171083825E-4</v>
      </c>
      <c r="I123" s="37">
        <f>VLOOKUP($C123,$D$60:$Z$63,I$32,FALSE)*$D$79*$A123/8760/1000*INDEX('Bulb Weighting'!$B$2:$C$17,MATCH(RIGHT('SC-New'!$D86,LEN($D123)-7),'Bulb Weighting'!$B$3:$B$17,0)+1,2)</f>
        <v>3.4955277895189641E-4</v>
      </c>
      <c r="J123" s="37">
        <f>VLOOKUP($C123,$D$60:$Z$63,J$32,FALSE)*$D$79*$A123/8760/1000*INDEX('Bulb Weighting'!$B$2:$C$17,MATCH(RIGHT('SC-New'!$D86,LEN($D123)-7),'Bulb Weighting'!$B$3:$B$17,0)+1,2)</f>
        <v>3.832725291859605E-4</v>
      </c>
      <c r="K123" s="37">
        <f>VLOOKUP($C123,$D$60:$Z$63,K$32,FALSE)*$D$79*$A123/8760/1000*INDEX('Bulb Weighting'!$B$2:$C$17,MATCH(RIGHT('SC-New'!$D86,LEN($D123)-7),'Bulb Weighting'!$B$3:$B$17,0)+1,2)</f>
        <v>4.1190211848737813E-4</v>
      </c>
      <c r="L123" s="37">
        <f>VLOOKUP($C123,$D$60:$Z$63,L$32,FALSE)*$D$79*$A123/8760/1000*INDEX('Bulb Weighting'!$B$2:$C$17,MATCH(RIGHT('SC-New'!$D86,LEN($D123)-7),'Bulb Weighting'!$B$3:$B$17,0)+1,2)</f>
        <v>4.3597301684167311E-4</v>
      </c>
      <c r="M123" s="37">
        <f>VLOOKUP($C123,$D$60:$Z$63,M$32,FALSE)*$D$79*$A123/8760/1000*INDEX('Bulb Weighting'!$B$2:$C$17,MATCH(RIGHT('SC-New'!$D86,LEN($D123)-7),'Bulb Weighting'!$B$3:$B$17,0)+1,2)</f>
        <v>5.3068923628564382E-4</v>
      </c>
      <c r="N123" s="37">
        <f>VLOOKUP($C123,$D$60:$Z$63,N$32,FALSE)*$D$79*$A123/8760/1000*INDEX('Bulb Weighting'!$B$2:$C$17,MATCH(RIGHT('SC-New'!$D86,LEN($D123)-7),'Bulb Weighting'!$B$3:$B$17,0)+1,2)</f>
        <v>5.3774297070317053E-4</v>
      </c>
      <c r="O123" s="37">
        <f>VLOOKUP($C123,$D$60:$Z$63,O$32,FALSE)*$D$79*$A123/8760/1000*INDEX('Bulb Weighting'!$B$2:$C$17,MATCH(RIGHT('SC-New'!$D86,LEN($D123)-7),'Bulb Weighting'!$B$3:$B$17,0)+1,2)</f>
        <v>5.447001105356908E-4</v>
      </c>
      <c r="P123" s="37">
        <f>VLOOKUP($C123,$D$60:$Z$63,P$32,FALSE)*$D$79*$A123/8760/1000*INDEX('Bulb Weighting'!$B$2:$C$17,MATCH(RIGHT('SC-New'!$D86,LEN($D123)-7),'Bulb Weighting'!$B$3:$B$17,0)+1,2)</f>
        <v>5.4629217664312741E-4</v>
      </c>
      <c r="Q123" s="37">
        <f>VLOOKUP($C123,$D$60:$Z$63,Q$32,FALSE)*$D$79*$A123/8760/1000*INDEX('Bulb Weighting'!$B$2:$C$17,MATCH(RIGHT('SC-New'!$D86,LEN($D123)-7),'Bulb Weighting'!$B$3:$B$17,0)+1,2)</f>
        <v>5.4544195243055014E-4</v>
      </c>
      <c r="R123" s="37">
        <f>VLOOKUP($C123,$D$60:$Z$63,R$32,FALSE)*$D$79*$A123/8760/1000*INDEX('Bulb Weighting'!$B$2:$C$17,MATCH(RIGHT('SC-New'!$D86,LEN($D123)-7),'Bulb Weighting'!$B$3:$B$17,0)+1,2)</f>
        <v>5.4600986902073696E-4</v>
      </c>
      <c r="S123" s="37">
        <f>VLOOKUP($C123,$D$60:$Z$63,S$32,FALSE)*$D$79*$A123/8760/1000*INDEX('Bulb Weighting'!$B$2:$C$17,MATCH(RIGHT('SC-New'!$D86,LEN($D123)-7),'Bulb Weighting'!$B$3:$B$17,0)+1,2)</f>
        <v>5.4619289886386922E-4</v>
      </c>
      <c r="T123" s="37">
        <f>VLOOKUP($C123,$D$60:$Z$63,T$32,FALSE)*$D$79*$A123/8760/1000*INDEX('Bulb Weighting'!$B$2:$C$17,MATCH(RIGHT('SC-New'!$D86,LEN($D123)-7),'Bulb Weighting'!$B$3:$B$17,0)+1,2)</f>
        <v>5.4677560498134605E-4</v>
      </c>
      <c r="U123" s="37">
        <f>VLOOKUP($C123,$D$60:$Z$63,U$32,FALSE)*$D$79*$A123/8760/1000*INDEX('Bulb Weighting'!$B$2:$C$17,MATCH(RIGHT('SC-New'!$D86,LEN($D123)-7),'Bulb Weighting'!$B$3:$B$17,0)+1,2)</f>
        <v>5.4635364226626347E-4</v>
      </c>
      <c r="V123" s="37">
        <f>VLOOKUP($C123,$D$60:$Z$63,V$32,FALSE)*$D$79*$A123/8760/1000*INDEX('Bulb Weighting'!$B$2:$C$17,MATCH(RIGHT('SC-New'!$D86,LEN($D123)-7),'Bulb Weighting'!$B$3:$B$17,0)+1,2)</f>
        <v>5.4580797727563546E-4</v>
      </c>
      <c r="W123" s="37">
        <f>VLOOKUP($C123,$D$60:$Z$63,W$32,FALSE)*$D$79*$A123/8760/1000*INDEX('Bulb Weighting'!$B$2:$C$17,MATCH(RIGHT('SC-New'!$D86,LEN($D123)-7),'Bulb Weighting'!$B$3:$B$17,0)+1,2)</f>
        <v>5.4418758745848584E-4</v>
      </c>
      <c r="X123" s="37">
        <f>VLOOKUP($C123,$D$60:$Z$63,X$32,FALSE)*$D$79*$A123/8760/1000*INDEX('Bulb Weighting'!$B$2:$C$17,MATCH(RIGHT('SC-New'!$D86,LEN($D123)-7),'Bulb Weighting'!$B$3:$B$17,0)+1,2)</f>
        <v>5.4276786609630068E-4</v>
      </c>
      <c r="Y123" s="32">
        <f>(VLOOKUP($C123,$D$43:$Z$46,$X$68+3,FALSE)+VLOOKUP($C123,$D$51:$Z$54,$X$68+3,FALSE))*$A123*$D$79/8760/1000*INDEX('Bulb Weighting'!$B$2:$C$17,MATCH(RIGHT('SC-New'!$D86,LEN($D123)-7),'Bulb Weighting'!$B$3:$B$17,0)+1,2)</f>
        <v>4.7454460170695059E-3</v>
      </c>
      <c r="Z123" s="32"/>
      <c r="AA123" s="32">
        <f t="shared" si="40"/>
        <v>8.8858699499204212E-3</v>
      </c>
      <c r="AB123" s="37"/>
      <c r="AC123" s="84"/>
    </row>
    <row r="124" spans="1:29" customFormat="1">
      <c r="A124" s="89">
        <f t="shared" si="28"/>
        <v>54.583633546821666</v>
      </c>
      <c r="B124" s="71">
        <f t="shared" si="29"/>
        <v>-12.334283459818346</v>
      </c>
      <c r="C124" s="1" t="s">
        <v>33</v>
      </c>
      <c r="D124" t="s">
        <v>759</v>
      </c>
      <c r="E124" s="37">
        <f>VLOOKUP($C124,$D$60:$Z$63,E$32,FALSE)*$D$79*$A124/8760/1000*INDEX('Bulb Weighting'!$B$2:$C$17,MATCH(RIGHT('SC-New'!$D87,LEN($D124)-7),'Bulb Weighting'!$B$3:$B$17,0)+1,2)</f>
        <v>0</v>
      </c>
      <c r="F124" s="37">
        <f>VLOOKUP($C124,$D$60:$Z$63,F$32,FALSE)*$D$79*$A124/8760/1000*INDEX('Bulb Weighting'!$B$2:$C$17,MATCH(RIGHT('SC-New'!$D87,LEN($D124)-7),'Bulb Weighting'!$B$3:$B$17,0)+1,2)</f>
        <v>2.7492045111885766E-3</v>
      </c>
      <c r="G124" s="37">
        <f>VLOOKUP($C124,$D$60:$Z$63,G$32,FALSE)*$D$79*$A124/8760/1000*INDEX('Bulb Weighting'!$B$2:$C$17,MATCH(RIGHT('SC-New'!$D87,LEN($D124)-7),'Bulb Weighting'!$B$3:$B$17,0)+1,2)</f>
        <v>3.5254508569772694E-3</v>
      </c>
      <c r="H124" s="37">
        <f>VLOOKUP($C124,$D$60:$Z$63,H$32,FALSE)*$D$79*$A124/8760/1000*INDEX('Bulb Weighting'!$B$2:$C$17,MATCH(RIGHT('SC-New'!$D87,LEN($D124)-7),'Bulb Weighting'!$B$3:$B$17,0)+1,2)</f>
        <v>4.1254646270978855E-3</v>
      </c>
      <c r="I124" s="37">
        <f>VLOOKUP($C124,$D$60:$Z$63,I$32,FALSE)*$D$79*$A124/8760/1000*INDEX('Bulb Weighting'!$B$2:$C$17,MATCH(RIGHT('SC-New'!$D87,LEN($D124)-7),'Bulb Weighting'!$B$3:$B$17,0)+1,2)</f>
        <v>4.6476035022031152E-3</v>
      </c>
      <c r="J124" s="37">
        <f>VLOOKUP($C124,$D$60:$Z$63,J$32,FALSE)*$D$79*$A124/8760/1000*INDEX('Bulb Weighting'!$B$2:$C$17,MATCH(RIGHT('SC-New'!$D87,LEN($D124)-7),'Bulb Weighting'!$B$3:$B$17,0)+1,2)</f>
        <v>5.0959364542430031E-3</v>
      </c>
      <c r="K124" s="37">
        <f>VLOOKUP($C124,$D$60:$Z$63,K$32,FALSE)*$D$79*$A124/8760/1000*INDEX('Bulb Weighting'!$B$2:$C$17,MATCH(RIGHT('SC-New'!$D87,LEN($D124)-7),'Bulb Weighting'!$B$3:$B$17,0)+1,2)</f>
        <v>5.4765913582116438E-3</v>
      </c>
      <c r="L124" s="37">
        <f>VLOOKUP($C124,$D$60:$Z$63,L$32,FALSE)*$D$79*$A124/8760/1000*INDEX('Bulb Weighting'!$B$2:$C$17,MATCH(RIGHT('SC-New'!$D87,LEN($D124)-7),'Bulb Weighting'!$B$3:$B$17,0)+1,2)</f>
        <v>5.796634562639986E-3</v>
      </c>
      <c r="M124" s="37">
        <f>VLOOKUP($C124,$D$60:$Z$63,M$32,FALSE)*$D$79*$A124/8760/1000*INDEX('Bulb Weighting'!$B$2:$C$17,MATCH(RIGHT('SC-New'!$D87,LEN($D124)-7),'Bulb Weighting'!$B$3:$B$17,0)+1,2)</f>
        <v>7.0559678013089747E-3</v>
      </c>
      <c r="N124" s="37">
        <f>VLOOKUP($C124,$D$60:$Z$63,N$32,FALSE)*$D$79*$A124/8760/1000*INDEX('Bulb Weighting'!$B$2:$C$17,MATCH(RIGHT('SC-New'!$D87,LEN($D124)-7),'Bulb Weighting'!$B$3:$B$17,0)+1,2)</f>
        <v>7.1497532401797641E-3</v>
      </c>
      <c r="O124" s="37">
        <f>VLOOKUP($C124,$D$60:$Z$63,O$32,FALSE)*$D$79*$A124/8760/1000*INDEX('Bulb Weighting'!$B$2:$C$17,MATCH(RIGHT('SC-New'!$D87,LEN($D124)-7),'Bulb Weighting'!$B$3:$B$17,0)+1,2)</f>
        <v>7.2422543713333747E-3</v>
      </c>
      <c r="P124" s="37">
        <f>VLOOKUP($C124,$D$60:$Z$63,P$32,FALSE)*$D$79*$A124/8760/1000*INDEX('Bulb Weighting'!$B$2:$C$17,MATCH(RIGHT('SC-New'!$D87,LEN($D124)-7),'Bulb Weighting'!$B$3:$B$17,0)+1,2)</f>
        <v>7.2634222534450456E-3</v>
      </c>
      <c r="Q124" s="37">
        <f>VLOOKUP($C124,$D$60:$Z$63,Q$32,FALSE)*$D$79*$A124/8760/1000*INDEX('Bulb Weighting'!$B$2:$C$17,MATCH(RIGHT('SC-New'!$D87,LEN($D124)-7),'Bulb Weighting'!$B$3:$B$17,0)+1,2)</f>
        <v>7.2521177945307743E-3</v>
      </c>
      <c r="R124" s="37">
        <f>VLOOKUP($C124,$D$60:$Z$63,R$32,FALSE)*$D$79*$A124/8760/1000*INDEX('Bulb Weighting'!$B$2:$C$17,MATCH(RIGHT('SC-New'!$D87,LEN($D124)-7),'Bulb Weighting'!$B$3:$B$17,0)+1,2)</f>
        <v>7.2596687318782754E-3</v>
      </c>
      <c r="S124" s="37">
        <f>VLOOKUP($C124,$D$60:$Z$63,S$32,FALSE)*$D$79*$A124/8760/1000*INDEX('Bulb Weighting'!$B$2:$C$17,MATCH(RIGHT('SC-New'!$D87,LEN($D124)-7),'Bulb Weighting'!$B$3:$B$17,0)+1,2)</f>
        <v>7.2621022703627924E-3</v>
      </c>
      <c r="T124" s="37">
        <f>VLOOKUP($C124,$D$60:$Z$63,T$32,FALSE)*$D$79*$A124/8760/1000*INDEX('Bulb Weighting'!$B$2:$C$17,MATCH(RIGHT('SC-New'!$D87,LEN($D124)-7),'Bulb Weighting'!$B$3:$B$17,0)+1,2)</f>
        <v>7.2698498471392113E-3</v>
      </c>
      <c r="U124" s="37">
        <f>VLOOKUP($C124,$D$60:$Z$63,U$32,FALSE)*$D$79*$A124/8760/1000*INDEX('Bulb Weighting'!$B$2:$C$17,MATCH(RIGHT('SC-New'!$D87,LEN($D124)-7),'Bulb Weighting'!$B$3:$B$17,0)+1,2)</f>
        <v>7.2642394915348411E-3</v>
      </c>
      <c r="V124" s="37">
        <f>VLOOKUP($C124,$D$60:$Z$63,V$32,FALSE)*$D$79*$A124/8760/1000*INDEX('Bulb Weighting'!$B$2:$C$17,MATCH(RIGHT('SC-New'!$D87,LEN($D124)-7),'Bulb Weighting'!$B$3:$B$17,0)+1,2)</f>
        <v>7.2569844082564974E-3</v>
      </c>
      <c r="W124" s="37">
        <f>VLOOKUP($C124,$D$60:$Z$63,W$32,FALSE)*$D$79*$A124/8760/1000*INDEX('Bulb Weighting'!$B$2:$C$17,MATCH(RIGHT('SC-New'!$D87,LEN($D124)-7),'Bulb Weighting'!$B$3:$B$17,0)+1,2)</f>
        <v>7.2354399381718932E-3</v>
      </c>
      <c r="X124" s="37">
        <f>VLOOKUP($C124,$D$60:$Z$63,X$32,FALSE)*$D$79*$A124/8760/1000*INDEX('Bulb Weighting'!$B$2:$C$17,MATCH(RIGHT('SC-New'!$D87,LEN($D124)-7),'Bulb Weighting'!$B$3:$B$17,0)+1,2)</f>
        <v>7.2165635270192516E-3</v>
      </c>
      <c r="Y124" s="32">
        <f>(VLOOKUP($C124,$D$43:$Z$46,$X$68+3,FALSE)+VLOOKUP($C124,$D$51:$Z$54,$X$68+3,FALSE))*$A124*$D$79/8760/1000*INDEX('Bulb Weighting'!$B$2:$C$17,MATCH(RIGHT('SC-New'!$D87,LEN($D124)-7),'Bulb Weighting'!$B$3:$B$17,0)+1,2)</f>
        <v>6.3094768105056723E-2</v>
      </c>
      <c r="Z124" s="32"/>
      <c r="AA124" s="32">
        <f t="shared" si="40"/>
        <v>0.11814524954772219</v>
      </c>
      <c r="AB124" s="37"/>
      <c r="AC124" s="84"/>
    </row>
    <row r="125" spans="1:29" customFormat="1">
      <c r="A125" s="89">
        <f t="shared" si="28"/>
        <v>48.844129164687544</v>
      </c>
      <c r="B125" s="71">
        <f t="shared" si="29"/>
        <v>-29.993229849727555</v>
      </c>
      <c r="C125" s="1" t="s">
        <v>33</v>
      </c>
      <c r="D125" t="s">
        <v>760</v>
      </c>
      <c r="E125" s="37">
        <f>VLOOKUP($C125,$D$60:$Z$63,E$32,FALSE)*$D$79*$A125/8760/1000*INDEX('Bulb Weighting'!$B$2:$C$17,MATCH(RIGHT('SC-New'!$D88,LEN($D125)-7),'Bulb Weighting'!$B$3:$B$17,0)+1,2)</f>
        <v>0</v>
      </c>
      <c r="F125" s="37">
        <f>VLOOKUP($C125,$D$60:$Z$63,F$32,FALSE)*$D$79*$A125/8760/1000*INDEX('Bulb Weighting'!$B$2:$C$17,MATCH(RIGHT('SC-New'!$D88,LEN($D125)-7),'Bulb Weighting'!$B$3:$B$17,0)+1,2)</f>
        <v>9.5130347042313088E-3</v>
      </c>
      <c r="G125" s="37">
        <f>VLOOKUP($C125,$D$60:$Z$63,G$32,FALSE)*$D$79*$A125/8760/1000*INDEX('Bulb Weighting'!$B$2:$C$17,MATCH(RIGHT('SC-New'!$D88,LEN($D125)-7),'Bulb Weighting'!$B$3:$B$17,0)+1,2)</f>
        <v>1.2199069299499751E-2</v>
      </c>
      <c r="H125" s="37">
        <f>VLOOKUP($C125,$D$60:$Z$63,H$32,FALSE)*$D$79*$A125/8760/1000*INDEX('Bulb Weighting'!$B$2:$C$17,MATCH(RIGHT('SC-New'!$D88,LEN($D125)-7),'Bulb Weighting'!$B$3:$B$17,0)+1,2)</f>
        <v>1.4275288727681301E-2</v>
      </c>
      <c r="I125" s="37">
        <f>VLOOKUP($C125,$D$60:$Z$63,I$32,FALSE)*$D$79*$A125/8760/1000*INDEX('Bulb Weighting'!$B$2:$C$17,MATCH(RIGHT('SC-New'!$D88,LEN($D125)-7),'Bulb Weighting'!$B$3:$B$17,0)+1,2)</f>
        <v>1.6082038723576251E-2</v>
      </c>
      <c r="J125" s="37">
        <f>VLOOKUP($C125,$D$60:$Z$63,J$32,FALSE)*$D$79*$A125/8760/1000*INDEX('Bulb Weighting'!$B$2:$C$17,MATCH(RIGHT('SC-New'!$D88,LEN($D125)-7),'Bulb Weighting'!$B$3:$B$17,0)+1,2)</f>
        <v>1.7633399095075872E-2</v>
      </c>
      <c r="K125" s="37">
        <f>VLOOKUP($C125,$D$60:$Z$63,K$32,FALSE)*$D$79*$A125/8760/1000*INDEX('Bulb Weighting'!$B$2:$C$17,MATCH(RIGHT('SC-New'!$D88,LEN($D125)-7),'Bulb Weighting'!$B$3:$B$17,0)+1,2)</f>
        <v>1.895057404406646E-2</v>
      </c>
      <c r="L125" s="37">
        <f>VLOOKUP($C125,$D$60:$Z$63,L$32,FALSE)*$D$79*$A125/8760/1000*INDEX('Bulb Weighting'!$B$2:$C$17,MATCH(RIGHT('SC-New'!$D88,LEN($D125)-7),'Bulb Weighting'!$B$3:$B$17,0)+1,2)</f>
        <v>2.0058015159556238E-2</v>
      </c>
      <c r="M125" s="37">
        <f>VLOOKUP($C125,$D$60:$Z$63,M$32,FALSE)*$D$79*$A125/8760/1000*INDEX('Bulb Weighting'!$B$2:$C$17,MATCH(RIGHT('SC-New'!$D88,LEN($D125)-7),'Bulb Weighting'!$B$3:$B$17,0)+1,2)</f>
        <v>2.4415668711663462E-2</v>
      </c>
      <c r="N125" s="37">
        <f>VLOOKUP($C125,$D$60:$Z$63,N$32,FALSE)*$D$79*$A125/8760/1000*INDEX('Bulb Weighting'!$B$2:$C$17,MATCH(RIGHT('SC-New'!$D88,LEN($D125)-7),'Bulb Weighting'!$B$3:$B$17,0)+1,2)</f>
        <v>2.4740193180868432E-2</v>
      </c>
      <c r="O125" s="37">
        <f>VLOOKUP($C125,$D$60:$Z$63,O$32,FALSE)*$D$79*$A125/8760/1000*INDEX('Bulb Weighting'!$B$2:$C$17,MATCH(RIGHT('SC-New'!$D88,LEN($D125)-7),'Bulb Weighting'!$B$3:$B$17,0)+1,2)</f>
        <v>2.5060273577675481E-2</v>
      </c>
      <c r="P125" s="37">
        <f>VLOOKUP($C125,$D$60:$Z$63,P$32,FALSE)*$D$79*$A125/8760/1000*INDEX('Bulb Weighting'!$B$2:$C$17,MATCH(RIGHT('SC-New'!$D88,LEN($D125)-7),'Bulb Weighting'!$B$3:$B$17,0)+1,2)</f>
        <v>2.5133520510133168E-2</v>
      </c>
      <c r="Q125" s="37">
        <f>VLOOKUP($C125,$D$60:$Z$63,Q$32,FALSE)*$D$79*$A125/8760/1000*INDEX('Bulb Weighting'!$B$2:$C$17,MATCH(RIGHT('SC-New'!$D88,LEN($D125)-7),'Bulb Weighting'!$B$3:$B$17,0)+1,2)</f>
        <v>2.5094403845830317E-2</v>
      </c>
      <c r="R125" s="37">
        <f>VLOOKUP($C125,$D$60:$Z$63,R$32,FALSE)*$D$79*$A125/8760/1000*INDEX('Bulb Weighting'!$B$2:$C$17,MATCH(RIGHT('SC-New'!$D88,LEN($D125)-7),'Bulb Weighting'!$B$3:$B$17,0)+1,2)</f>
        <v>2.5120532250881282E-2</v>
      </c>
      <c r="S125" s="37">
        <f>VLOOKUP($C125,$D$60:$Z$63,S$32,FALSE)*$D$79*$A125/8760/1000*INDEX('Bulb Weighting'!$B$2:$C$17,MATCH(RIGHT('SC-New'!$D88,LEN($D125)-7),'Bulb Weighting'!$B$3:$B$17,0)+1,2)</f>
        <v>2.5128952990758246E-2</v>
      </c>
      <c r="T125" s="37">
        <f>VLOOKUP($C125,$D$60:$Z$63,T$32,FALSE)*$D$79*$A125/8760/1000*INDEX('Bulb Weighting'!$B$2:$C$17,MATCH(RIGHT('SC-New'!$D88,LEN($D125)-7),'Bulb Weighting'!$B$3:$B$17,0)+1,2)</f>
        <v>2.5155761824531005E-2</v>
      </c>
      <c r="U125" s="37">
        <f>VLOOKUP($C125,$D$60:$Z$63,U$32,FALSE)*$D$79*$A125/8760/1000*INDEX('Bulb Weighting'!$B$2:$C$17,MATCH(RIGHT('SC-New'!$D88,LEN($D125)-7),'Bulb Weighting'!$B$3:$B$17,0)+1,2)</f>
        <v>2.5136348387898605E-2</v>
      </c>
      <c r="V125" s="37">
        <f>VLOOKUP($C125,$D$60:$Z$63,V$32,FALSE)*$D$79*$A125/8760/1000*INDEX('Bulb Weighting'!$B$2:$C$17,MATCH(RIGHT('SC-New'!$D88,LEN($D125)-7),'Bulb Weighting'!$B$3:$B$17,0)+1,2)</f>
        <v>2.5111243722629763E-2</v>
      </c>
      <c r="W125" s="37">
        <f>VLOOKUP($C125,$D$60:$Z$63,W$32,FALSE)*$D$79*$A125/8760/1000*INDEX('Bulb Weighting'!$B$2:$C$17,MATCH(RIGHT('SC-New'!$D88,LEN($D125)-7),'Bulb Weighting'!$B$3:$B$17,0)+1,2)</f>
        <v>2.5036693687968833E-2</v>
      </c>
      <c r="X125" s="37">
        <f>VLOOKUP($C125,$D$60:$Z$63,X$32,FALSE)*$D$79*$A125/8760/1000*INDEX('Bulb Weighting'!$B$2:$C$17,MATCH(RIGHT('SC-New'!$D88,LEN($D125)-7),'Bulb Weighting'!$B$3:$B$17,0)+1,2)</f>
        <v>2.4971375901076072E-2</v>
      </c>
      <c r="Y125" s="32">
        <f>(VLOOKUP($C125,$D$43:$Z$46,$X$68+3,FALSE)+VLOOKUP($C125,$D$51:$Z$54,$X$68+3,FALSE))*$A125*$D$79/8760/1000*INDEX('Bulb Weighting'!$B$2:$C$17,MATCH(RIGHT('SC-New'!$D88,LEN($D125)-7),'Bulb Weighting'!$B$3:$B$17,0)+1,2)</f>
        <v>0.21832596163583853</v>
      </c>
      <c r="Z125" s="32"/>
      <c r="AA125" s="32">
        <f>SUM(E125:X125)</f>
        <v>0.40881638834560186</v>
      </c>
      <c r="AB125" s="37"/>
      <c r="AC125" s="84"/>
    </row>
    <row r="126" spans="1:29" customFormat="1">
      <c r="A126" s="89">
        <f t="shared" si="28"/>
        <v>20.131003317263307</v>
      </c>
      <c r="B126" s="71">
        <f t="shared" si="29"/>
        <v>-21.262756278752239</v>
      </c>
      <c r="C126" s="1" t="str">
        <f>C16</f>
        <v>Manufactured</v>
      </c>
      <c r="D126" t="s">
        <v>746</v>
      </c>
      <c r="E126" s="37">
        <f>VLOOKUP($C126,$D$60:$Z$63,E$32,FALSE)*$D$79*$A126/8760/1000*INDEX('Bulb Weighting'!$B$2:$C$17,MATCH(RIGHT('SC-New'!$D89,LEN($D126)-7),'Bulb Weighting'!$B$3:$B$17,0)+1,2)</f>
        <v>0</v>
      </c>
      <c r="F126" s="37">
        <f>VLOOKUP($C126,$D$60:$Z$63,F$32,FALSE)*$D$79*$A126/8760/1000*INDEX('Bulb Weighting'!$B$2:$C$17,MATCH(RIGHT('SC-New'!$D89,LEN($D126)-7),'Bulb Weighting'!$B$3:$B$17,0)+1,2)</f>
        <v>0.14542235338769879</v>
      </c>
      <c r="G126" s="37">
        <f>VLOOKUP($C126,$D$60:$Z$63,G$32,FALSE)*$D$79*$A126/8760/1000*INDEX('Bulb Weighting'!$B$2:$C$17,MATCH(RIGHT('SC-New'!$D89,LEN($D126)-7),'Bulb Weighting'!$B$3:$B$17,0)+1,2)</f>
        <v>0.18490975913967742</v>
      </c>
      <c r="H126" s="37">
        <f>VLOOKUP($C126,$D$60:$Z$63,H$32,FALSE)*$D$79*$A126/8760/1000*INDEX('Bulb Weighting'!$B$2:$C$17,MATCH(RIGHT('SC-New'!$D89,LEN($D126)-7),'Bulb Weighting'!$B$3:$B$17,0)+1,2)</f>
        <v>0.21455521862796642</v>
      </c>
      <c r="I126" s="37">
        <f>VLOOKUP($C126,$D$60:$Z$63,I$32,FALSE)*$D$79*$A126/8760/1000*INDEX('Bulb Weighting'!$B$2:$C$17,MATCH(RIGHT('SC-New'!$D89,LEN($D126)-7),'Bulb Weighting'!$B$3:$B$17,0)+1,2)</f>
        <v>0.23967146575439532</v>
      </c>
      <c r="J126" s="37">
        <f>VLOOKUP($C126,$D$60:$Z$63,J$32,FALSE)*$D$79*$A126/8760/1000*INDEX('Bulb Weighting'!$B$2:$C$17,MATCH(RIGHT('SC-New'!$D89,LEN($D126)-7),'Bulb Weighting'!$B$3:$B$17,0)+1,2)</f>
        <v>0.26057473952434684</v>
      </c>
      <c r="K126" s="37">
        <f>VLOOKUP($C126,$D$60:$Z$63,K$32,FALSE)*$D$79*$A126/8760/1000*INDEX('Bulb Weighting'!$B$2:$C$17,MATCH(RIGHT('SC-New'!$D89,LEN($D126)-7),'Bulb Weighting'!$B$3:$B$17,0)+1,2)</f>
        <v>0.27767686169443151</v>
      </c>
      <c r="L126" s="37">
        <f>VLOOKUP($C126,$D$60:$Z$63,L$32,FALSE)*$D$79*$A126/8760/1000*INDEX('Bulb Weighting'!$B$2:$C$17,MATCH(RIGHT('SC-New'!$D89,LEN($D126)-7),'Bulb Weighting'!$B$3:$B$17,0)+1,2)</f>
        <v>0.29142467744691258</v>
      </c>
      <c r="M126" s="37">
        <f>VLOOKUP($C126,$D$60:$Z$63,M$32,FALSE)*$D$79*$A126/8760/1000*INDEX('Bulb Weighting'!$B$2:$C$17,MATCH(RIGHT('SC-New'!$D89,LEN($D126)-7),'Bulb Weighting'!$B$3:$B$17,0)+1,2)</f>
        <v>0.30925571851914957</v>
      </c>
      <c r="N126" s="37">
        <f>VLOOKUP($C126,$D$60:$Z$63,N$32,FALSE)*$D$79*$A126/8760/1000*INDEX('Bulb Weighting'!$B$2:$C$17,MATCH(RIGHT('SC-New'!$D89,LEN($D126)-7),'Bulb Weighting'!$B$3:$B$17,0)+1,2)</f>
        <v>0.31673360109434956</v>
      </c>
      <c r="O126" s="37">
        <f>VLOOKUP($C126,$D$60:$Z$63,O$32,FALSE)*$D$79*$A126/8760/1000*INDEX('Bulb Weighting'!$B$2:$C$17,MATCH(RIGHT('SC-New'!$D89,LEN($D126)-7),'Bulb Weighting'!$B$3:$B$17,0)+1,2)</f>
        <v>0.32250987904042794</v>
      </c>
      <c r="P126" s="37">
        <f>VLOOKUP($C126,$D$60:$Z$63,P$32,FALSE)*$D$79*$A126/8760/1000*INDEX('Bulb Weighting'!$B$2:$C$17,MATCH(RIGHT('SC-New'!$D89,LEN($D126)-7),'Bulb Weighting'!$B$3:$B$17,0)+1,2)</f>
        <v>0.32610910591374076</v>
      </c>
      <c r="Q126" s="37">
        <f>VLOOKUP($C126,$D$60:$Z$63,Q$32,FALSE)*$D$79*$A126/8760/1000*INDEX('Bulb Weighting'!$B$2:$C$17,MATCH(RIGHT('SC-New'!$D89,LEN($D126)-7),'Bulb Weighting'!$B$3:$B$17,0)+1,2)</f>
        <v>0.32765689536536829</v>
      </c>
      <c r="R126" s="37">
        <f>VLOOKUP($C126,$D$60:$Z$63,R$32,FALSE)*$D$79*$A126/8760/1000*INDEX('Bulb Weighting'!$B$2:$C$17,MATCH(RIGHT('SC-New'!$D89,LEN($D126)-7),'Bulb Weighting'!$B$3:$B$17,0)+1,2)</f>
        <v>0.32802335027653812</v>
      </c>
      <c r="S126" s="37">
        <f>VLOOKUP($C126,$D$60:$Z$63,S$32,FALSE)*$D$79*$A126/8760/1000*INDEX('Bulb Weighting'!$B$2:$C$17,MATCH(RIGHT('SC-New'!$D89,LEN($D126)-7),'Bulb Weighting'!$B$3:$B$17,0)+1,2)</f>
        <v>0.32751449569214636</v>
      </c>
      <c r="T126" s="37">
        <f>VLOOKUP($C126,$D$60:$Z$63,T$32,FALSE)*$D$79*$A126/8760/1000*INDEX('Bulb Weighting'!$B$2:$C$17,MATCH(RIGHT('SC-New'!$D89,LEN($D126)-7),'Bulb Weighting'!$B$3:$B$17,0)+1,2)</f>
        <v>0.32629285372093642</v>
      </c>
      <c r="U126" s="37">
        <f>VLOOKUP($C126,$D$60:$Z$63,U$32,FALSE)*$D$79*$A126/8760/1000*INDEX('Bulb Weighting'!$B$2:$C$17,MATCH(RIGHT('SC-New'!$D89,LEN($D126)-7),'Bulb Weighting'!$B$3:$B$17,0)+1,2)</f>
        <v>0.32453275390367353</v>
      </c>
      <c r="V126" s="37">
        <f>VLOOKUP($C126,$D$60:$Z$63,V$32,FALSE)*$D$79*$A126/8760/1000*INDEX('Bulb Weighting'!$B$2:$C$17,MATCH(RIGHT('SC-New'!$D89,LEN($D126)-7),'Bulb Weighting'!$B$3:$B$17,0)+1,2)</f>
        <v>0.32236119909604427</v>
      </c>
      <c r="W126" s="37">
        <f>VLOOKUP($C126,$D$60:$Z$63,W$32,FALSE)*$D$79*$A126/8760/1000*INDEX('Bulb Weighting'!$B$2:$C$17,MATCH(RIGHT('SC-New'!$D89,LEN($D126)-7),'Bulb Weighting'!$B$3:$B$17,0)+1,2)</f>
        <v>0.31988433972792313</v>
      </c>
      <c r="X126" s="37">
        <f>VLOOKUP($C126,$D$60:$Z$63,X$32,FALSE)*$D$79*$A126/8760/1000*INDEX('Bulb Weighting'!$B$2:$C$17,MATCH(RIGHT('SC-New'!$D89,LEN($D126)-7),'Bulb Weighting'!$B$3:$B$17,0)+1,2)</f>
        <v>0.31722127132742822</v>
      </c>
      <c r="Y126" s="32">
        <f>(VLOOKUP($C126,$D$43:$Z$46,$X$68+3,FALSE)+VLOOKUP($C126,$D$51:$Z$54,$X$68+3,FALSE))*$A126*$D$79/8760/1000*INDEX('Bulb Weighting'!$B$2:$C$17,MATCH(RIGHT('SC-New'!$D89,LEN($D126)-7),'Bulb Weighting'!$B$3:$B$17,0)+1,2)</f>
        <v>2.6023931149717767</v>
      </c>
      <c r="Z126" s="32"/>
      <c r="AA126" s="32">
        <f t="shared" ref="AA126:AA128" si="41">SUM(E126:X126)</f>
        <v>5.4823305392531552</v>
      </c>
      <c r="AB126" s="37"/>
      <c r="AC126" s="84"/>
    </row>
    <row r="127" spans="1:29" customFormat="1">
      <c r="A127" s="89">
        <f t="shared" si="28"/>
        <v>15.166068390464758</v>
      </c>
      <c r="B127" s="71">
        <f t="shared" si="29"/>
        <v>-19.792953526125213</v>
      </c>
      <c r="C127" s="1" t="s">
        <v>30</v>
      </c>
      <c r="D127" t="s">
        <v>747</v>
      </c>
      <c r="E127" s="37">
        <f>VLOOKUP($C127,$D$60:$Z$63,E$32,FALSE)*$D$79*$A127/8760/1000*INDEX('Bulb Weighting'!$B$2:$C$17,MATCH(RIGHT('SC-New'!$D90,LEN($D127)-7),'Bulb Weighting'!$B$3:$B$17,0)+1,2)</f>
        <v>0</v>
      </c>
      <c r="F127" s="37">
        <f>VLOOKUP($C127,$D$60:$Z$63,F$32,FALSE)*$D$79*$A127/8760/1000*INDEX('Bulb Weighting'!$B$2:$C$17,MATCH(RIGHT('SC-New'!$D90,LEN($D127)-7),'Bulb Weighting'!$B$3:$B$17,0)+1,2)</f>
        <v>3.0048360277223064E-2</v>
      </c>
      <c r="G127" s="37">
        <f>VLOOKUP($C127,$D$60:$Z$63,G$32,FALSE)*$D$79*$A127/8760/1000*INDEX('Bulb Weighting'!$B$2:$C$17,MATCH(RIGHT('SC-New'!$D90,LEN($D127)-7),'Bulb Weighting'!$B$3:$B$17,0)+1,2)</f>
        <v>3.8207572164580067E-2</v>
      </c>
      <c r="H127" s="37">
        <f>VLOOKUP($C127,$D$60:$Z$63,H$32,FALSE)*$D$79*$A127/8760/1000*INDEX('Bulb Weighting'!$B$2:$C$17,MATCH(RIGHT('SC-New'!$D90,LEN($D127)-7),'Bulb Weighting'!$B$3:$B$17,0)+1,2)</f>
        <v>4.4333160332673087E-2</v>
      </c>
      <c r="I127" s="37">
        <f>VLOOKUP($C127,$D$60:$Z$63,I$32,FALSE)*$D$79*$A127/8760/1000*INDEX('Bulb Weighting'!$B$2:$C$17,MATCH(RIGHT('SC-New'!$D90,LEN($D127)-7),'Bulb Weighting'!$B$3:$B$17,0)+1,2)</f>
        <v>4.9522885466983455E-2</v>
      </c>
      <c r="J127" s="37">
        <f>VLOOKUP($C127,$D$60:$Z$63,J$32,FALSE)*$D$79*$A127/8760/1000*INDEX('Bulb Weighting'!$B$2:$C$17,MATCH(RIGHT('SC-New'!$D90,LEN($D127)-7),'Bulb Weighting'!$B$3:$B$17,0)+1,2)</f>
        <v>5.3842091466479128E-2</v>
      </c>
      <c r="K127" s="37">
        <f>VLOOKUP($C127,$D$60:$Z$63,K$32,FALSE)*$D$79*$A127/8760/1000*INDEX('Bulb Weighting'!$B$2:$C$17,MATCH(RIGHT('SC-New'!$D90,LEN($D127)-7),'Bulb Weighting'!$B$3:$B$17,0)+1,2)</f>
        <v>5.7375872322725799E-2</v>
      </c>
      <c r="L127" s="37">
        <f>VLOOKUP($C127,$D$60:$Z$63,L$32,FALSE)*$D$79*$A127/8760/1000*INDEX('Bulb Weighting'!$B$2:$C$17,MATCH(RIGHT('SC-New'!$D90,LEN($D127)-7),'Bulb Weighting'!$B$3:$B$17,0)+1,2)</f>
        <v>6.0216558854968204E-2</v>
      </c>
      <c r="M127" s="37">
        <f>VLOOKUP($C127,$D$60:$Z$63,M$32,FALSE)*$D$79*$A127/8760/1000*INDEX('Bulb Weighting'!$B$2:$C$17,MATCH(RIGHT('SC-New'!$D90,LEN($D127)-7),'Bulb Weighting'!$B$3:$B$17,0)+1,2)</f>
        <v>6.3900954917711777E-2</v>
      </c>
      <c r="N127" s="37">
        <f>VLOOKUP($C127,$D$60:$Z$63,N$32,FALSE)*$D$79*$A127/8760/1000*INDEX('Bulb Weighting'!$B$2:$C$17,MATCH(RIGHT('SC-New'!$D90,LEN($D127)-7),'Bulb Weighting'!$B$3:$B$17,0)+1,2)</f>
        <v>6.5446096393529635E-2</v>
      </c>
      <c r="O127" s="37">
        <f>VLOOKUP($C127,$D$60:$Z$63,O$32,FALSE)*$D$79*$A127/8760/1000*INDEX('Bulb Weighting'!$B$2:$C$17,MATCH(RIGHT('SC-New'!$D90,LEN($D127)-7),'Bulb Weighting'!$B$3:$B$17,0)+1,2)</f>
        <v>6.663963835418274E-2</v>
      </c>
      <c r="P127" s="37">
        <f>VLOOKUP($C127,$D$60:$Z$63,P$32,FALSE)*$D$79*$A127/8760/1000*INDEX('Bulb Weighting'!$B$2:$C$17,MATCH(RIGHT('SC-New'!$D90,LEN($D127)-7),'Bulb Weighting'!$B$3:$B$17,0)+1,2)</f>
        <v>6.7383340153041912E-2</v>
      </c>
      <c r="Q127" s="37">
        <f>VLOOKUP($C127,$D$60:$Z$63,Q$32,FALSE)*$D$79*$A127/8760/1000*INDEX('Bulb Weighting'!$B$2:$C$17,MATCH(RIGHT('SC-New'!$D90,LEN($D127)-7),'Bulb Weighting'!$B$3:$B$17,0)+1,2)</f>
        <v>6.7703157113724668E-2</v>
      </c>
      <c r="R127" s="37">
        <f>VLOOKUP($C127,$D$60:$Z$63,R$32,FALSE)*$D$79*$A127/8760/1000*INDEX('Bulb Weighting'!$B$2:$C$17,MATCH(RIGHT('SC-New'!$D90,LEN($D127)-7),'Bulb Weighting'!$B$3:$B$17,0)+1,2)</f>
        <v>6.7778877035316321E-2</v>
      </c>
      <c r="S127" s="37">
        <f>VLOOKUP($C127,$D$60:$Z$63,S$32,FALSE)*$D$79*$A127/8760/1000*INDEX('Bulb Weighting'!$B$2:$C$17,MATCH(RIGHT('SC-New'!$D90,LEN($D127)-7),'Bulb Weighting'!$B$3:$B$17,0)+1,2)</f>
        <v>6.7673733324433341E-2</v>
      </c>
      <c r="T127" s="37">
        <f>VLOOKUP($C127,$D$60:$Z$63,T$32,FALSE)*$D$79*$A127/8760/1000*INDEX('Bulb Weighting'!$B$2:$C$17,MATCH(RIGHT('SC-New'!$D90,LEN($D127)-7),'Bulb Weighting'!$B$3:$B$17,0)+1,2)</f>
        <v>6.7421307633158567E-2</v>
      </c>
      <c r="U127" s="37">
        <f>VLOOKUP($C127,$D$60:$Z$63,U$32,FALSE)*$D$79*$A127/8760/1000*INDEX('Bulb Weighting'!$B$2:$C$17,MATCH(RIGHT('SC-New'!$D90,LEN($D127)-7),'Bulb Weighting'!$B$3:$B$17,0)+1,2)</f>
        <v>6.7057621362094116E-2</v>
      </c>
      <c r="V127" s="37">
        <f>VLOOKUP($C127,$D$60:$Z$63,V$32,FALSE)*$D$79*$A127/8760/1000*INDEX('Bulb Weighting'!$B$2:$C$17,MATCH(RIGHT('SC-New'!$D90,LEN($D127)-7),'Bulb Weighting'!$B$3:$B$17,0)+1,2)</f>
        <v>6.6608916883715771E-2</v>
      </c>
      <c r="W127" s="37">
        <f>VLOOKUP($C127,$D$60:$Z$63,W$32,FALSE)*$D$79*$A127/8760/1000*INDEX('Bulb Weighting'!$B$2:$C$17,MATCH(RIGHT('SC-New'!$D90,LEN($D127)-7),'Bulb Weighting'!$B$3:$B$17,0)+1,2)</f>
        <v>6.6097127871122222E-2</v>
      </c>
      <c r="X127" s="37">
        <f>VLOOKUP($C127,$D$60:$Z$63,X$32,FALSE)*$D$79*$A127/8760/1000*INDEX('Bulb Weighting'!$B$2:$C$17,MATCH(RIGHT('SC-New'!$D90,LEN($D127)-7),'Bulb Weighting'!$B$3:$B$17,0)+1,2)</f>
        <v>6.5546862819864105E-2</v>
      </c>
      <c r="Y127" s="32">
        <f>(VLOOKUP($C127,$D$43:$Z$46,$X$68+3,FALSE)+VLOOKUP($C127,$D$51:$Z$54,$X$68+3,FALSE))*$A127*$D$79/8760/1000*INDEX('Bulb Weighting'!$B$2:$C$17,MATCH(RIGHT('SC-New'!$D90,LEN($D127)-7),'Bulb Weighting'!$B$3:$B$17,0)+1,2)</f>
        <v>0.53772782574326994</v>
      </c>
      <c r="Z127" s="32"/>
      <c r="AA127" s="32">
        <f t="shared" si="41"/>
        <v>1.1328041347475279</v>
      </c>
      <c r="AB127" s="37"/>
      <c r="AC127" s="84"/>
    </row>
    <row r="128" spans="1:29" customFormat="1">
      <c r="A128" s="89">
        <f t="shared" si="28"/>
        <v>7.5107020440195642</v>
      </c>
      <c r="B128" s="71">
        <f t="shared" si="29"/>
        <v>253.66864707291808</v>
      </c>
      <c r="C128" s="1" t="s">
        <v>30</v>
      </c>
      <c r="D128" t="s">
        <v>748</v>
      </c>
      <c r="E128" s="37">
        <f>VLOOKUP($C128,$D$60:$Z$63,E$32,FALSE)*$D$79*$A128/8760/1000*INDEX('Bulb Weighting'!$B$2:$C$17,MATCH(RIGHT('SC-New'!$D91,LEN($D128)-7),'Bulb Weighting'!$B$3:$B$17,0)+1,2)</f>
        <v>0</v>
      </c>
      <c r="F128" s="37">
        <f>VLOOKUP($C128,$D$60:$Z$63,F$32,FALSE)*$D$79*$A128/8760/1000*INDEX('Bulb Weighting'!$B$2:$C$17,MATCH(RIGHT('SC-New'!$D91,LEN($D128)-7),'Bulb Weighting'!$B$3:$B$17,0)+1,2)</f>
        <v>2.9235665390781686E-4</v>
      </c>
      <c r="G128" s="37">
        <f>VLOOKUP($C128,$D$60:$Z$63,G$32,FALSE)*$D$79*$A128/8760/1000*INDEX('Bulb Weighting'!$B$2:$C$17,MATCH(RIGHT('SC-New'!$D91,LEN($D128)-7),'Bulb Weighting'!$B$3:$B$17,0)+1,2)</f>
        <v>3.717420135049838E-4</v>
      </c>
      <c r="H128" s="37">
        <f>VLOOKUP($C128,$D$60:$Z$63,H$32,FALSE)*$D$79*$A128/8760/1000*INDEX('Bulb Weighting'!$B$2:$C$17,MATCH(RIGHT('SC-New'!$D91,LEN($D128)-7),'Bulb Weighting'!$B$3:$B$17,0)+1,2)</f>
        <v>4.3134115447369991E-4</v>
      </c>
      <c r="I128" s="37">
        <f>VLOOKUP($C128,$D$60:$Z$63,I$32,FALSE)*$D$79*$A128/8760/1000*INDEX('Bulb Weighting'!$B$2:$C$17,MATCH(RIGHT('SC-New'!$D91,LEN($D128)-7),'Bulb Weighting'!$B$3:$B$17,0)+1,2)</f>
        <v>4.8183478078043601E-4</v>
      </c>
      <c r="J128" s="37">
        <f>VLOOKUP($C128,$D$60:$Z$63,J$32,FALSE)*$D$79*$A128/8760/1000*INDEX('Bulb Weighting'!$B$2:$C$17,MATCH(RIGHT('SC-New'!$D91,LEN($D128)-7),'Bulb Weighting'!$B$3:$B$17,0)+1,2)</f>
        <v>5.2385865835316006E-4</v>
      </c>
      <c r="K128" s="37">
        <f>VLOOKUP($C128,$D$60:$Z$63,K$32,FALSE)*$D$79*$A128/8760/1000*INDEX('Bulb Weighting'!$B$2:$C$17,MATCH(RIGHT('SC-New'!$D91,LEN($D128)-7),'Bulb Weighting'!$B$3:$B$17,0)+1,2)</f>
        <v>5.582407123901949E-4</v>
      </c>
      <c r="L128" s="37">
        <f>VLOOKUP($C128,$D$60:$Z$63,L$32,FALSE)*$D$79*$A128/8760/1000*INDEX('Bulb Weighting'!$B$2:$C$17,MATCH(RIGHT('SC-New'!$D91,LEN($D128)-7),'Bulb Weighting'!$B$3:$B$17,0)+1,2)</f>
        <v>5.858792790775397E-4</v>
      </c>
      <c r="M128" s="37">
        <f>VLOOKUP($C128,$D$60:$Z$63,M$32,FALSE)*$D$79*$A128/8760/1000*INDEX('Bulb Weighting'!$B$2:$C$17,MATCH(RIGHT('SC-New'!$D91,LEN($D128)-7),'Bulb Weighting'!$B$3:$B$17,0)+1,2)</f>
        <v>6.2172674944321351E-4</v>
      </c>
      <c r="N128" s="37">
        <f>VLOOKUP($C128,$D$60:$Z$63,N$32,FALSE)*$D$79*$A128/8760/1000*INDEX('Bulb Weighting'!$B$2:$C$17,MATCH(RIGHT('SC-New'!$D91,LEN($D128)-7),'Bulb Weighting'!$B$3:$B$17,0)+1,2)</f>
        <v>6.3676026167205587E-4</v>
      </c>
      <c r="O128" s="37">
        <f>VLOOKUP($C128,$D$60:$Z$63,O$32,FALSE)*$D$79*$A128/8760/1000*INDEX('Bulb Weighting'!$B$2:$C$17,MATCH(RIGHT('SC-New'!$D91,LEN($D128)-7),'Bulb Weighting'!$B$3:$B$17,0)+1,2)</f>
        <v>6.4837287316552277E-4</v>
      </c>
      <c r="P128" s="37">
        <f>VLOOKUP($C128,$D$60:$Z$63,P$32,FALSE)*$D$79*$A128/8760/1000*INDEX('Bulb Weighting'!$B$2:$C$17,MATCH(RIGHT('SC-New'!$D91,LEN($D128)-7),'Bulb Weighting'!$B$3:$B$17,0)+1,2)</f>
        <v>6.5560874784932404E-4</v>
      </c>
      <c r="Q128" s="37">
        <f>VLOOKUP($C128,$D$60:$Z$63,Q$32,FALSE)*$D$79*$A128/8760/1000*INDEX('Bulb Weighting'!$B$2:$C$17,MATCH(RIGHT('SC-New'!$D91,LEN($D128)-7),'Bulb Weighting'!$B$3:$B$17,0)+1,2)</f>
        <v>6.5872041902291056E-4</v>
      </c>
      <c r="R128" s="37">
        <f>VLOOKUP($C128,$D$60:$Z$63,R$32,FALSE)*$D$79*$A128/8760/1000*INDEX('Bulb Weighting'!$B$2:$C$17,MATCH(RIGHT('SC-New'!$D91,LEN($D128)-7),'Bulb Weighting'!$B$3:$B$17,0)+1,2)</f>
        <v>6.5945713885409143E-4</v>
      </c>
      <c r="S128" s="37">
        <f>VLOOKUP($C128,$D$60:$Z$63,S$32,FALSE)*$D$79*$A128/8760/1000*INDEX('Bulb Weighting'!$B$2:$C$17,MATCH(RIGHT('SC-New'!$D91,LEN($D128)-7),'Bulb Weighting'!$B$3:$B$17,0)+1,2)</f>
        <v>6.5843413915595136E-4</v>
      </c>
      <c r="T128" s="37">
        <f>VLOOKUP($C128,$D$60:$Z$63,T$32,FALSE)*$D$79*$A128/8760/1000*INDEX('Bulb Weighting'!$B$2:$C$17,MATCH(RIGHT('SC-New'!$D91,LEN($D128)-7),'Bulb Weighting'!$B$3:$B$17,0)+1,2)</f>
        <v>6.5597815387819901E-4</v>
      </c>
      <c r="U128" s="37">
        <f>VLOOKUP($C128,$D$60:$Z$63,U$32,FALSE)*$D$79*$A128/8760/1000*INDEX('Bulb Weighting'!$B$2:$C$17,MATCH(RIGHT('SC-New'!$D91,LEN($D128)-7),'Bulb Weighting'!$B$3:$B$17,0)+1,2)</f>
        <v>6.5243965459572029E-4</v>
      </c>
      <c r="V128" s="37">
        <f>VLOOKUP($C128,$D$60:$Z$63,V$32,FALSE)*$D$79*$A128/8760/1000*INDEX('Bulb Weighting'!$B$2:$C$17,MATCH(RIGHT('SC-New'!$D91,LEN($D128)-7),'Bulb Weighting'!$B$3:$B$17,0)+1,2)</f>
        <v>6.4807396746065292E-4</v>
      </c>
      <c r="W128" s="37">
        <f>VLOOKUP($C128,$D$60:$Z$63,W$32,FALSE)*$D$79*$A128/8760/1000*INDEX('Bulb Weighting'!$B$2:$C$17,MATCH(RIGHT('SC-New'!$D91,LEN($D128)-7),'Bulb Weighting'!$B$3:$B$17,0)+1,2)</f>
        <v>6.4309449697214007E-4</v>
      </c>
      <c r="X128" s="37">
        <f>VLOOKUP($C128,$D$60:$Z$63,X$32,FALSE)*$D$79*$A128/8760/1000*INDEX('Bulb Weighting'!$B$2:$C$17,MATCH(RIGHT('SC-New'!$D91,LEN($D128)-7),'Bulb Weighting'!$B$3:$B$17,0)+1,2)</f>
        <v>6.3774067241519137E-4</v>
      </c>
      <c r="Y128" s="32">
        <f>(VLOOKUP($C128,$D$43:$Z$46,$X$68+3,FALSE)+VLOOKUP($C128,$D$51:$Z$54,$X$68+3,FALSE))*$A128*$D$79/8760/1000*INDEX('Bulb Weighting'!$B$2:$C$17,MATCH(RIGHT('SC-New'!$D91,LEN($D128)-7),'Bulb Weighting'!$B$3:$B$17,0)+1,2)</f>
        <v>5.2318431487455705E-3</v>
      </c>
      <c r="Z128" s="32"/>
      <c r="AA128" s="32">
        <f t="shared" si="41"/>
        <v>1.1021660526972807E-2</v>
      </c>
      <c r="AB128" s="37"/>
      <c r="AC128" s="84"/>
    </row>
    <row r="129" spans="1:29" customFormat="1">
      <c r="A129" s="89">
        <f t="shared" si="28"/>
        <v>1.9210010172979759</v>
      </c>
      <c r="B129" s="71">
        <f t="shared" si="29"/>
        <v>19.879331870717266</v>
      </c>
      <c r="C129" s="1" t="s">
        <v>30</v>
      </c>
      <c r="D129" t="s">
        <v>749</v>
      </c>
      <c r="E129" s="37">
        <f>VLOOKUP($C129,$D$60:$Z$63,E$32,FALSE)*$D$79*$A129/8760/1000*INDEX('Bulb Weighting'!$B$2:$C$17,MATCH(RIGHT('SC-New'!$D92,LEN($D129)-7),'Bulb Weighting'!$B$3:$B$17,0)+1,2)</f>
        <v>0</v>
      </c>
      <c r="F129" s="37">
        <f>VLOOKUP($C129,$D$60:$Z$63,F$32,FALSE)*$D$79*$A129/8760/1000*INDEX('Bulb Weighting'!$B$2:$C$17,MATCH(RIGHT('SC-New'!$D92,LEN($D129)-7),'Bulb Weighting'!$B$3:$B$17,0)+1,2)</f>
        <v>1.1587918352062014E-2</v>
      </c>
      <c r="G129" s="37">
        <f>VLOOKUP($C129,$D$60:$Z$63,G$32,FALSE)*$D$79*$A129/8760/1000*INDEX('Bulb Weighting'!$B$2:$C$17,MATCH(RIGHT('SC-New'!$D92,LEN($D129)-7),'Bulb Weighting'!$B$3:$B$17,0)+1,2)</f>
        <v>1.4734455477401771E-2</v>
      </c>
      <c r="H129" s="37">
        <f>VLOOKUP($C129,$D$60:$Z$63,H$32,FALSE)*$D$79*$A129/8760/1000*INDEX('Bulb Weighting'!$B$2:$C$17,MATCH(RIGHT('SC-New'!$D92,LEN($D129)-7),'Bulb Weighting'!$B$3:$B$17,0)+1,2)</f>
        <v>1.7096741302496353E-2</v>
      </c>
      <c r="I129" s="37">
        <f>VLOOKUP($C129,$D$60:$Z$63,I$32,FALSE)*$D$79*$A129/8760/1000*INDEX('Bulb Weighting'!$B$2:$C$17,MATCH(RIGHT('SC-New'!$D92,LEN($D129)-7),'Bulb Weighting'!$B$3:$B$17,0)+1,2)</f>
        <v>1.9098118767729211E-2</v>
      </c>
      <c r="J129" s="37">
        <f>VLOOKUP($C129,$D$60:$Z$63,J$32,FALSE)*$D$79*$A129/8760/1000*INDEX('Bulb Weighting'!$B$2:$C$17,MATCH(RIGHT('SC-New'!$D92,LEN($D129)-7),'Bulb Weighting'!$B$3:$B$17,0)+1,2)</f>
        <v>2.0763787243683662E-2</v>
      </c>
      <c r="K129" s="37">
        <f>VLOOKUP($C129,$D$60:$Z$63,K$32,FALSE)*$D$79*$A129/8760/1000*INDEX('Bulb Weighting'!$B$2:$C$17,MATCH(RIGHT('SC-New'!$D92,LEN($D129)-7),'Bulb Weighting'!$B$3:$B$17,0)+1,2)</f>
        <v>2.212656257180385E-2</v>
      </c>
      <c r="L129" s="37">
        <f>VLOOKUP($C129,$D$60:$Z$63,L$32,FALSE)*$D$79*$A129/8760/1000*INDEX('Bulb Weighting'!$B$2:$C$17,MATCH(RIGHT('SC-New'!$D92,LEN($D129)-7),'Bulb Weighting'!$B$3:$B$17,0)+1,2)</f>
        <v>2.3222051420304479E-2</v>
      </c>
      <c r="M129" s="37">
        <f>VLOOKUP($C129,$D$60:$Z$63,M$32,FALSE)*$D$79*$A129/8760/1000*INDEX('Bulb Weighting'!$B$2:$C$17,MATCH(RIGHT('SC-New'!$D92,LEN($D129)-7),'Bulb Weighting'!$B$3:$B$17,0)+1,2)</f>
        <v>2.4642910340985553E-2</v>
      </c>
      <c r="N129" s="37">
        <f>VLOOKUP($C129,$D$60:$Z$63,N$32,FALSE)*$D$79*$A129/8760/1000*INDEX('Bulb Weighting'!$B$2:$C$17,MATCH(RIGHT('SC-New'!$D92,LEN($D129)-7),'Bulb Weighting'!$B$3:$B$17,0)+1,2)</f>
        <v>2.5238782232129449E-2</v>
      </c>
      <c r="O129" s="37">
        <f>VLOOKUP($C129,$D$60:$Z$63,O$32,FALSE)*$D$79*$A129/8760/1000*INDEX('Bulb Weighting'!$B$2:$C$17,MATCH(RIGHT('SC-New'!$D92,LEN($D129)-7),'Bulb Weighting'!$B$3:$B$17,0)+1,2)</f>
        <v>2.5699062482439545E-2</v>
      </c>
      <c r="P129" s="37">
        <f>VLOOKUP($C129,$D$60:$Z$63,P$32,FALSE)*$D$79*$A129/8760/1000*INDEX('Bulb Weighting'!$B$2:$C$17,MATCH(RIGHT('SC-New'!$D92,LEN($D129)-7),'Bulb Weighting'!$B$3:$B$17,0)+1,2)</f>
        <v>2.5985865344357914E-2</v>
      </c>
      <c r="Q129" s="37">
        <f>VLOOKUP($C129,$D$60:$Z$63,Q$32,FALSE)*$D$79*$A129/8760/1000*INDEX('Bulb Weighting'!$B$2:$C$17,MATCH(RIGHT('SC-New'!$D92,LEN($D129)-7),'Bulb Weighting'!$B$3:$B$17,0)+1,2)</f>
        <v>2.6109200288221904E-2</v>
      </c>
      <c r="R129" s="37">
        <f>VLOOKUP($C129,$D$60:$Z$63,R$32,FALSE)*$D$79*$A129/8760/1000*INDEX('Bulb Weighting'!$B$2:$C$17,MATCH(RIGHT('SC-New'!$D92,LEN($D129)-7),'Bulb Weighting'!$B$3:$B$17,0)+1,2)</f>
        <v>2.6138401091890837E-2</v>
      </c>
      <c r="S129" s="37">
        <f>VLOOKUP($C129,$D$60:$Z$63,S$32,FALSE)*$D$79*$A129/8760/1000*INDEX('Bulb Weighting'!$B$2:$C$17,MATCH(RIGHT('SC-New'!$D92,LEN($D129)-7),'Bulb Weighting'!$B$3:$B$17,0)+1,2)</f>
        <v>2.6097853230852702E-2</v>
      </c>
      <c r="T129" s="37">
        <f>VLOOKUP($C129,$D$60:$Z$63,T$32,FALSE)*$D$79*$A129/8760/1000*INDEX('Bulb Weighting'!$B$2:$C$17,MATCH(RIGHT('SC-New'!$D92,LEN($D129)-7),'Bulb Weighting'!$B$3:$B$17,0)+1,2)</f>
        <v>2.6000507210189067E-2</v>
      </c>
      <c r="U129" s="37">
        <f>VLOOKUP($C129,$D$60:$Z$63,U$32,FALSE)*$D$79*$A129/8760/1000*INDEX('Bulb Weighting'!$B$2:$C$17,MATCH(RIGHT('SC-New'!$D92,LEN($D129)-7),'Bulb Weighting'!$B$3:$B$17,0)+1,2)</f>
        <v>2.5860254405178095E-2</v>
      </c>
      <c r="V129" s="37">
        <f>VLOOKUP($C129,$D$60:$Z$63,V$32,FALSE)*$D$79*$A129/8760/1000*INDEX('Bulb Weighting'!$B$2:$C$17,MATCH(RIGHT('SC-New'!$D92,LEN($D129)-7),'Bulb Weighting'!$B$3:$B$17,0)+1,2)</f>
        <v>2.5687214984335086E-2</v>
      </c>
      <c r="W129" s="37">
        <f>VLOOKUP($C129,$D$60:$Z$63,W$32,FALSE)*$D$79*$A129/8760/1000*INDEX('Bulb Weighting'!$B$2:$C$17,MATCH(RIGHT('SC-New'!$D92,LEN($D129)-7),'Bulb Weighting'!$B$3:$B$17,0)+1,2)</f>
        <v>2.5489847499497263E-2</v>
      </c>
      <c r="X129" s="37">
        <f>VLOOKUP($C129,$D$60:$Z$63,X$32,FALSE)*$D$79*$A129/8760/1000*INDEX('Bulb Weighting'!$B$2:$C$17,MATCH(RIGHT('SC-New'!$D92,LEN($D129)-7),'Bulb Weighting'!$B$3:$B$17,0)+1,2)</f>
        <v>2.5277642027147218E-2</v>
      </c>
      <c r="Y129" s="447">
        <f>(VLOOKUP($C129,$D$43:$Z$46,$X$68+3,FALSE)+VLOOKUP($C129,$D$51:$Z$54,$X$68+3,FALSE))*$A129*$D$79/8760/1000*INDEX('Bulb Weighting'!$B$2:$C$17,MATCH(RIGHT('SC-New'!$D92,LEN($D129)-7),'Bulb Weighting'!$B$3:$B$17,0)+1,2)</f>
        <v>0.2073705880406429</v>
      </c>
      <c r="Z129" s="32"/>
      <c r="AA129" s="32">
        <f>SUM(E129:X129)</f>
        <v>0.43685717627270598</v>
      </c>
      <c r="AB129" s="37"/>
      <c r="AC129" s="84"/>
    </row>
    <row r="130" spans="1:29" customFormat="1">
      <c r="A130" s="89">
        <f t="shared" si="28"/>
        <v>7.4978046901704554</v>
      </c>
      <c r="B130" s="71">
        <f t="shared" si="29"/>
        <v>38.047469279788793</v>
      </c>
      <c r="C130" s="1" t="s">
        <v>30</v>
      </c>
      <c r="D130" t="s">
        <v>750</v>
      </c>
      <c r="E130" s="37">
        <f>VLOOKUP($C130,$D$60:$Z$63,E$32,FALSE)*$D$79*$A130/8760/1000*INDEX('Bulb Weighting'!$B$2:$C$17,MATCH(RIGHT('SC-New'!$D93,LEN($D130)-7),'Bulb Weighting'!$B$3:$B$17,0)+1,2)</f>
        <v>0</v>
      </c>
      <c r="F130" s="37">
        <f>VLOOKUP($C130,$D$60:$Z$63,F$32,FALSE)*$D$79*$A130/8760/1000*INDEX('Bulb Weighting'!$B$2:$C$17,MATCH(RIGHT('SC-New'!$D93,LEN($D130)-7),'Bulb Weighting'!$B$3:$B$17,0)+1,2)</f>
        <v>0.34900387009631062</v>
      </c>
      <c r="G130" s="37">
        <f>VLOOKUP($C130,$D$60:$Z$63,G$32,FALSE)*$D$79*$A130/8760/1000*INDEX('Bulb Weighting'!$B$2:$C$17,MATCH(RIGHT('SC-New'!$D93,LEN($D130)-7),'Bulb Weighting'!$B$3:$B$17,0)+1,2)</f>
        <v>0.44377098881266608</v>
      </c>
      <c r="H130" s="37">
        <f>VLOOKUP($C130,$D$60:$Z$63,H$32,FALSE)*$D$79*$A130/8760/1000*INDEX('Bulb Weighting'!$B$2:$C$17,MATCH(RIGHT('SC-New'!$D93,LEN($D130)-7),'Bulb Weighting'!$B$3:$B$17,0)+1,2)</f>
        <v>0.51491809825747492</v>
      </c>
      <c r="I130" s="37">
        <f>VLOOKUP($C130,$D$60:$Z$63,I$32,FALSE)*$D$79*$A130/8760/1000*INDEX('Bulb Weighting'!$B$2:$C$17,MATCH(RIGHT('SC-New'!$D93,LEN($D130)-7),'Bulb Weighting'!$B$3:$B$17,0)+1,2)</f>
        <v>0.57519540257292345</v>
      </c>
      <c r="J130" s="37">
        <f>VLOOKUP($C130,$D$60:$Z$63,J$32,FALSE)*$D$79*$A130/8760/1000*INDEX('Bulb Weighting'!$B$2:$C$17,MATCH(RIGHT('SC-New'!$D93,LEN($D130)-7),'Bulb Weighting'!$B$3:$B$17,0)+1,2)</f>
        <v>0.62536185410837819</v>
      </c>
      <c r="K130" s="37">
        <f>VLOOKUP($C130,$D$60:$Z$63,K$32,FALSE)*$D$79*$A130/8760/1000*INDEX('Bulb Weighting'!$B$2:$C$17,MATCH(RIGHT('SC-New'!$D93,LEN($D130)-7),'Bulb Weighting'!$B$3:$B$17,0)+1,2)</f>
        <v>0.66640579738927663</v>
      </c>
      <c r="L130" s="37">
        <f>VLOOKUP($C130,$D$60:$Z$63,L$32,FALSE)*$D$79*$A130/8760/1000*INDEX('Bulb Weighting'!$B$2:$C$17,MATCH(RIGHT('SC-New'!$D93,LEN($D130)-7),'Bulb Weighting'!$B$3:$B$17,0)+1,2)</f>
        <v>0.69939963080768675</v>
      </c>
      <c r="M130" s="37">
        <f>VLOOKUP($C130,$D$60:$Z$63,M$32,FALSE)*$D$79*$A130/8760/1000*INDEX('Bulb Weighting'!$B$2:$C$17,MATCH(RIGHT('SC-New'!$D93,LEN($D130)-7),'Bulb Weighting'!$B$3:$B$17,0)+1,2)</f>
        <v>0.74219293044207013</v>
      </c>
      <c r="N130" s="37">
        <f>VLOOKUP($C130,$D$60:$Z$63,N$32,FALSE)*$D$79*$A130/8760/1000*INDEX('Bulb Weighting'!$B$2:$C$17,MATCH(RIGHT('SC-New'!$D93,LEN($D130)-7),'Bulb Weighting'!$B$3:$B$17,0)+1,2)</f>
        <v>0.76013934581820386</v>
      </c>
      <c r="O130" s="37">
        <f>VLOOKUP($C130,$D$60:$Z$63,O$32,FALSE)*$D$79*$A130/8760/1000*INDEX('Bulb Weighting'!$B$2:$C$17,MATCH(RIGHT('SC-New'!$D93,LEN($D130)-7),'Bulb Weighting'!$B$3:$B$17,0)+1,2)</f>
        <v>0.77400202449841182</v>
      </c>
      <c r="P130" s="37">
        <f>VLOOKUP($C130,$D$60:$Z$63,P$32,FALSE)*$D$79*$A130/8760/1000*INDEX('Bulb Weighting'!$B$2:$C$17,MATCH(RIGHT('SC-New'!$D93,LEN($D130)-7),'Bulb Weighting'!$B$3:$B$17,0)+1,2)</f>
        <v>0.78263992698642837</v>
      </c>
      <c r="Q130" s="37">
        <f>VLOOKUP($C130,$D$60:$Z$63,Q$32,FALSE)*$D$79*$A130/8760/1000*INDEX('Bulb Weighting'!$B$2:$C$17,MATCH(RIGHT('SC-New'!$D93,LEN($D130)-7),'Bulb Weighting'!$B$3:$B$17,0)+1,2)</f>
        <v>0.78635451759872643</v>
      </c>
      <c r="R130" s="37">
        <f>VLOOKUP($C130,$D$60:$Z$63,R$32,FALSE)*$D$79*$A130/8760/1000*INDEX('Bulb Weighting'!$B$2:$C$17,MATCH(RIGHT('SC-New'!$D93,LEN($D130)-7),'Bulb Weighting'!$B$3:$B$17,0)+1,2)</f>
        <v>0.7872339847455212</v>
      </c>
      <c r="S130" s="37">
        <f>VLOOKUP($C130,$D$60:$Z$63,S$32,FALSE)*$D$79*$A130/8760/1000*INDEX('Bulb Weighting'!$B$2:$C$17,MATCH(RIGHT('SC-New'!$D93,LEN($D130)-7),'Bulb Weighting'!$B$3:$B$17,0)+1,2)</f>
        <v>0.78601276795778663</v>
      </c>
      <c r="T130" s="37">
        <f>VLOOKUP($C130,$D$60:$Z$63,T$32,FALSE)*$D$79*$A130/8760/1000*INDEX('Bulb Weighting'!$B$2:$C$17,MATCH(RIGHT('SC-New'!$D93,LEN($D130)-7),'Bulb Weighting'!$B$3:$B$17,0)+1,2)</f>
        <v>0.78308090936870356</v>
      </c>
      <c r="U130" s="37">
        <f>VLOOKUP($C130,$D$60:$Z$63,U$32,FALSE)*$D$79*$A130/8760/1000*INDEX('Bulb Weighting'!$B$2:$C$17,MATCH(RIGHT('SC-New'!$D93,LEN($D130)-7),'Bulb Weighting'!$B$3:$B$17,0)+1,2)</f>
        <v>0.77885678815438886</v>
      </c>
      <c r="V130" s="37">
        <f>VLOOKUP($C130,$D$60:$Z$63,V$32,FALSE)*$D$79*$A130/8760/1000*INDEX('Bulb Weighting'!$B$2:$C$17,MATCH(RIGHT('SC-New'!$D93,LEN($D130)-7),'Bulb Weighting'!$B$3:$B$17,0)+1,2)</f>
        <v>0.77364520262896208</v>
      </c>
      <c r="W130" s="37">
        <f>VLOOKUP($C130,$D$60:$Z$63,W$32,FALSE)*$D$79*$A130/8760/1000*INDEX('Bulb Weighting'!$B$2:$C$17,MATCH(RIGHT('SC-New'!$D93,LEN($D130)-7),'Bulb Weighting'!$B$3:$B$17,0)+1,2)</f>
        <v>0.767700906686687</v>
      </c>
      <c r="X130" s="37">
        <f>VLOOKUP($C130,$D$60:$Z$63,X$32,FALSE)*$D$79*$A130/8760/1000*INDEX('Bulb Weighting'!$B$2:$C$17,MATCH(RIGHT('SC-New'!$D93,LEN($D130)-7),'Bulb Weighting'!$B$3:$B$17,0)+1,2)</f>
        <v>0.76130972158719923</v>
      </c>
      <c r="Y130" s="447">
        <f>(VLOOKUP($C130,$D$43:$Z$46,$X$68+3,FALSE)+VLOOKUP($C130,$D$51:$Z$54,$X$68+3,FALSE))*$A130*$D$79/8760/1000*INDEX('Bulb Weighting'!$B$2:$C$17,MATCH(RIGHT('SC-New'!$D93,LEN($D130)-7),'Bulb Weighting'!$B$3:$B$17,0)+1,2)</f>
        <v>6.2455684939697242</v>
      </c>
      <c r="Z130" s="32"/>
      <c r="AA130" s="32">
        <f t="shared" ref="AA130:AA132" si="42">SUM(E130:X130)</f>
        <v>13.157224668517804</v>
      </c>
      <c r="AB130" s="37"/>
      <c r="AC130" s="84"/>
    </row>
    <row r="131" spans="1:29" customFormat="1">
      <c r="A131" s="89">
        <f t="shared" si="28"/>
        <v>14.009308234872018</v>
      </c>
      <c r="B131" s="71">
        <f t="shared" si="29"/>
        <v>64.372768585347757</v>
      </c>
      <c r="C131" s="1" t="s">
        <v>30</v>
      </c>
      <c r="D131" t="s">
        <v>751</v>
      </c>
      <c r="E131" s="37">
        <f>VLOOKUP($C131,$D$60:$Z$63,E$32,FALSE)*$D$79*$A131/8760/1000*INDEX('Bulb Weighting'!$B$2:$C$17,MATCH(RIGHT('SC-New'!$D94,LEN($D131)-7),'Bulb Weighting'!$B$3:$B$17,0)+1,2)</f>
        <v>0</v>
      </c>
      <c r="F131" s="37">
        <f>VLOOKUP($C131,$D$60:$Z$63,F$32,FALSE)*$D$79*$A131/8760/1000*INDEX('Bulb Weighting'!$B$2:$C$17,MATCH(RIGHT('SC-New'!$D94,LEN($D131)-7),'Bulb Weighting'!$B$3:$B$17,0)+1,2)</f>
        <v>6.5014998009181077E-2</v>
      </c>
      <c r="G131" s="37">
        <f>VLOOKUP($C131,$D$60:$Z$63,G$32,FALSE)*$D$79*$A131/8760/1000*INDEX('Bulb Weighting'!$B$2:$C$17,MATCH(RIGHT('SC-New'!$D94,LEN($D131)-7),'Bulb Weighting'!$B$3:$B$17,0)+1,2)</f>
        <v>8.2668911225041469E-2</v>
      </c>
      <c r="H131" s="37">
        <f>VLOOKUP($C131,$D$60:$Z$63,H$32,FALSE)*$D$79*$A131/8760/1000*INDEX('Bulb Weighting'!$B$2:$C$17,MATCH(RIGHT('SC-New'!$D94,LEN($D131)-7),'Bulb Weighting'!$B$3:$B$17,0)+1,2)</f>
        <v>9.5922716054302373E-2</v>
      </c>
      <c r="I131" s="37">
        <f>VLOOKUP($C131,$D$60:$Z$63,I$32,FALSE)*$D$79*$A131/8760/1000*INDEX('Bulb Weighting'!$B$2:$C$17,MATCH(RIGHT('SC-New'!$D94,LEN($D131)-7),'Bulb Weighting'!$B$3:$B$17,0)+1,2)</f>
        <v>0.10715161394298833</v>
      </c>
      <c r="J131" s="37">
        <f>VLOOKUP($C131,$D$60:$Z$63,J$32,FALSE)*$D$79*$A131/8760/1000*INDEX('Bulb Weighting'!$B$2:$C$17,MATCH(RIGHT('SC-New'!$D94,LEN($D131)-7),'Bulb Weighting'!$B$3:$B$17,0)+1,2)</f>
        <v>0.11649698809544463</v>
      </c>
      <c r="K131" s="37">
        <f>VLOOKUP($C131,$D$60:$Z$63,K$32,FALSE)*$D$79*$A131/8760/1000*INDEX('Bulb Weighting'!$B$2:$C$17,MATCH(RIGHT('SC-New'!$D94,LEN($D131)-7),'Bulb Weighting'!$B$3:$B$17,0)+1,2)</f>
        <v>0.12414295457128963</v>
      </c>
      <c r="L131" s="37">
        <f>VLOOKUP($C131,$D$60:$Z$63,L$32,FALSE)*$D$79*$A131/8760/1000*INDEX('Bulb Weighting'!$B$2:$C$17,MATCH(RIGHT('SC-New'!$D94,LEN($D131)-7),'Bulb Weighting'!$B$3:$B$17,0)+1,2)</f>
        <v>0.13028928760026498</v>
      </c>
      <c r="M131" s="37">
        <f>VLOOKUP($C131,$D$60:$Z$63,M$32,FALSE)*$D$79*$A131/8760/1000*INDEX('Bulb Weighting'!$B$2:$C$17,MATCH(RIGHT('SC-New'!$D94,LEN($D131)-7),'Bulb Weighting'!$B$3:$B$17,0)+1,2)</f>
        <v>0.13826113699485179</v>
      </c>
      <c r="N131" s="37">
        <f>VLOOKUP($C131,$D$60:$Z$63,N$32,FALSE)*$D$79*$A131/8760/1000*INDEX('Bulb Weighting'!$B$2:$C$17,MATCH(RIGHT('SC-New'!$D94,LEN($D131)-7),'Bulb Weighting'!$B$3:$B$17,0)+1,2)</f>
        <v>0.14160432674122705</v>
      </c>
      <c r="O131" s="37">
        <f>VLOOKUP($C131,$D$60:$Z$63,O$32,FALSE)*$D$79*$A131/8760/1000*INDEX('Bulb Weighting'!$B$2:$C$17,MATCH(RIGHT('SC-New'!$D94,LEN($D131)-7),'Bulb Weighting'!$B$3:$B$17,0)+1,2)</f>
        <v>0.14418676809509207</v>
      </c>
      <c r="P131" s="37">
        <f>VLOOKUP($C131,$D$60:$Z$63,P$32,FALSE)*$D$79*$A131/8760/1000*INDEX('Bulb Weighting'!$B$2:$C$17,MATCH(RIGHT('SC-New'!$D94,LEN($D131)-7),'Bulb Weighting'!$B$3:$B$17,0)+1,2)</f>
        <v>0.14579589985889432</v>
      </c>
      <c r="Q131" s="37">
        <f>VLOOKUP($C131,$D$60:$Z$63,Q$32,FALSE)*$D$79*$A131/8760/1000*INDEX('Bulb Weighting'!$B$2:$C$17,MATCH(RIGHT('SC-New'!$D94,LEN($D131)-7),'Bulb Weighting'!$B$3:$B$17,0)+1,2)</f>
        <v>0.14648788101428045</v>
      </c>
      <c r="R131" s="37">
        <f>VLOOKUP($C131,$D$60:$Z$63,R$32,FALSE)*$D$79*$A131/8760/1000*INDEX('Bulb Weighting'!$B$2:$C$17,MATCH(RIGHT('SC-New'!$D94,LEN($D131)-7),'Bulb Weighting'!$B$3:$B$17,0)+1,2)</f>
        <v>0.14665171459808066</v>
      </c>
      <c r="S131" s="37">
        <f>VLOOKUP($C131,$D$60:$Z$63,S$32,FALSE)*$D$79*$A131/8760/1000*INDEX('Bulb Weighting'!$B$2:$C$17,MATCH(RIGHT('SC-New'!$D94,LEN($D131)-7),'Bulb Weighting'!$B$3:$B$17,0)+1,2)</f>
        <v>0.14642421738722894</v>
      </c>
      <c r="T131" s="37">
        <f>VLOOKUP($C131,$D$60:$Z$63,T$32,FALSE)*$D$79*$A131/8760/1000*INDEX('Bulb Weighting'!$B$2:$C$17,MATCH(RIGHT('SC-New'!$D94,LEN($D131)-7),'Bulb Weighting'!$B$3:$B$17,0)+1,2)</f>
        <v>0.14587804928806197</v>
      </c>
      <c r="U131" s="37">
        <f>VLOOKUP($C131,$D$60:$Z$63,U$32,FALSE)*$D$79*$A131/8760/1000*INDEX('Bulb Weighting'!$B$2:$C$17,MATCH(RIGHT('SC-New'!$D94,LEN($D131)-7),'Bulb Weighting'!$B$3:$B$17,0)+1,2)</f>
        <v>0.14509114903889445</v>
      </c>
      <c r="V131" s="37">
        <f>VLOOKUP($C131,$D$60:$Z$63,V$32,FALSE)*$D$79*$A131/8760/1000*INDEX('Bulb Weighting'!$B$2:$C$17,MATCH(RIGHT('SC-New'!$D94,LEN($D131)-7),'Bulb Weighting'!$B$3:$B$17,0)+1,2)</f>
        <v>0.14412029670288226</v>
      </c>
      <c r="W131" s="37">
        <f>VLOOKUP($C131,$D$60:$Z$63,W$32,FALSE)*$D$79*$A131/8760/1000*INDEX('Bulb Weighting'!$B$2:$C$17,MATCH(RIGHT('SC-New'!$D94,LEN($D131)-7),'Bulb Weighting'!$B$3:$B$17,0)+1,2)</f>
        <v>0.14301294970198411</v>
      </c>
      <c r="X131" s="37">
        <f>VLOOKUP($C131,$D$60:$Z$63,X$32,FALSE)*$D$79*$A131/8760/1000*INDEX('Bulb Weighting'!$B$2:$C$17,MATCH(RIGHT('SC-New'!$D94,LEN($D131)-7),'Bulb Weighting'!$B$3:$B$17,0)+1,2)</f>
        <v>0.1418223529146051</v>
      </c>
      <c r="Y131" s="447">
        <f>(VLOOKUP($C131,$D$43:$Z$46,$X$68+3,FALSE)+VLOOKUP($C131,$D$51:$Z$54,$X$68+3,FALSE))*$A131*$D$79/8760/1000*INDEX('Bulb Weighting'!$B$2:$C$17,MATCH(RIGHT('SC-New'!$D94,LEN($D131)-7),'Bulb Weighting'!$B$3:$B$17,0)+1,2)</f>
        <v>1.1634702591968138</v>
      </c>
      <c r="Z131" s="32"/>
      <c r="AA131" s="32">
        <f t="shared" si="42"/>
        <v>2.451024211834596</v>
      </c>
      <c r="AB131" s="37"/>
      <c r="AC131" s="84"/>
    </row>
    <row r="132" spans="1:29" customFormat="1">
      <c r="A132" s="89">
        <f t="shared" si="28"/>
        <v>15.001215681785107</v>
      </c>
      <c r="B132" s="71">
        <f t="shared" si="29"/>
        <v>-40.723166254238713</v>
      </c>
      <c r="C132" s="1" t="s">
        <v>30</v>
      </c>
      <c r="D132" t="s">
        <v>752</v>
      </c>
      <c r="E132" s="37">
        <f>VLOOKUP($C132,$D$60:$Z$63,E$32,FALSE)*$D$79*$A132/8760/1000*INDEX('Bulb Weighting'!$B$2:$C$17,MATCH(RIGHT('SC-New'!$D95,LEN($D132)-7),'Bulb Weighting'!$B$3:$B$17,0)+1,2)</f>
        <v>0</v>
      </c>
      <c r="F132" s="37">
        <f>VLOOKUP($C132,$D$60:$Z$63,F$32,FALSE)*$D$79*$A132/8760/1000*INDEX('Bulb Weighting'!$B$2:$C$17,MATCH(RIGHT('SC-New'!$D95,LEN($D132)-7),'Bulb Weighting'!$B$3:$B$17,0)+1,2)</f>
        <v>5.9501075004633232E-2</v>
      </c>
      <c r="G132" s="37">
        <f>VLOOKUP($C132,$D$60:$Z$63,G$32,FALSE)*$D$79*$A132/8760/1000*INDEX('Bulb Weighting'!$B$2:$C$17,MATCH(RIGHT('SC-New'!$D95,LEN($D132)-7),'Bulb Weighting'!$B$3:$B$17,0)+1,2)</f>
        <v>7.5657759562769461E-2</v>
      </c>
      <c r="H132" s="37">
        <f>VLOOKUP($C132,$D$60:$Z$63,H$32,FALSE)*$D$79*$A132/8760/1000*INDEX('Bulb Weighting'!$B$2:$C$17,MATCH(RIGHT('SC-New'!$D95,LEN($D132)-7),'Bulb Weighting'!$B$3:$B$17,0)+1,2)</f>
        <v>8.7787508995835054E-2</v>
      </c>
      <c r="I132" s="37">
        <f>VLOOKUP($C132,$D$60:$Z$63,I$32,FALSE)*$D$79*$A132/8760/1000*INDEX('Bulb Weighting'!$B$2:$C$17,MATCH(RIGHT('SC-New'!$D95,LEN($D132)-7),'Bulb Weighting'!$B$3:$B$17,0)+1,2)</f>
        <v>9.8064083877829528E-2</v>
      </c>
      <c r="J132" s="37">
        <f>VLOOKUP($C132,$D$60:$Z$63,J$32,FALSE)*$D$79*$A132/8760/1000*INDEX('Bulb Weighting'!$B$2:$C$17,MATCH(RIGHT('SC-New'!$D95,LEN($D132)-7),'Bulb Weighting'!$B$3:$B$17,0)+1,2)</f>
        <v>0.10661687670131217</v>
      </c>
      <c r="K132" s="37">
        <f>VLOOKUP($C132,$D$60:$Z$63,K$32,FALSE)*$D$79*$A132/8760/1000*INDEX('Bulb Weighting'!$B$2:$C$17,MATCH(RIGHT('SC-New'!$D95,LEN($D132)-7),'Bulb Weighting'!$B$3:$B$17,0)+1,2)</f>
        <v>0.11361438863998698</v>
      </c>
      <c r="L132" s="37">
        <f>VLOOKUP($C132,$D$60:$Z$63,L$32,FALSE)*$D$79*$A132/8760/1000*INDEX('Bulb Weighting'!$B$2:$C$17,MATCH(RIGHT('SC-New'!$D95,LEN($D132)-7),'Bulb Weighting'!$B$3:$B$17,0)+1,2)</f>
        <v>0.11923945106802662</v>
      </c>
      <c r="M132" s="37">
        <f>VLOOKUP($C132,$D$60:$Z$63,M$32,FALSE)*$D$79*$A132/8760/1000*INDEX('Bulb Weighting'!$B$2:$C$17,MATCH(RIGHT('SC-New'!$D95,LEN($D132)-7),'Bulb Weighting'!$B$3:$B$17,0)+1,2)</f>
        <v>0.12653520778997512</v>
      </c>
      <c r="N132" s="37">
        <f>VLOOKUP($C132,$D$60:$Z$63,N$32,FALSE)*$D$79*$A132/8760/1000*INDEX('Bulb Weighting'!$B$2:$C$17,MATCH(RIGHT('SC-New'!$D95,LEN($D132)-7),'Bulb Weighting'!$B$3:$B$17,0)+1,2)</f>
        <v>0.12959486156133576</v>
      </c>
      <c r="O132" s="37">
        <f>VLOOKUP($C132,$D$60:$Z$63,O$32,FALSE)*$D$79*$A132/8760/1000*INDEX('Bulb Weighting'!$B$2:$C$17,MATCH(RIGHT('SC-New'!$D95,LEN($D132)-7),'Bulb Weighting'!$B$3:$B$17,0)+1,2)</f>
        <v>0.13195828602332976</v>
      </c>
      <c r="P132" s="37">
        <f>VLOOKUP($C132,$D$60:$Z$63,P$32,FALSE)*$D$79*$A132/8760/1000*INDEX('Bulb Weighting'!$B$2:$C$17,MATCH(RIGHT('SC-New'!$D95,LEN($D132)-7),'Bulb Weighting'!$B$3:$B$17,0)+1,2)</f>
        <v>0.13343094729691488</v>
      </c>
      <c r="Q132" s="37">
        <f>VLOOKUP($C132,$D$60:$Z$63,Q$32,FALSE)*$D$79*$A132/8760/1000*INDEX('Bulb Weighting'!$B$2:$C$17,MATCH(RIGHT('SC-New'!$D95,LEN($D132)-7),'Bulb Weighting'!$B$3:$B$17,0)+1,2)</f>
        <v>0.13406424151962038</v>
      </c>
      <c r="R132" s="37">
        <f>VLOOKUP($C132,$D$60:$Z$63,R$32,FALSE)*$D$79*$A132/8760/1000*INDEX('Bulb Weighting'!$B$2:$C$17,MATCH(RIGHT('SC-New'!$D95,LEN($D132)-7),'Bulb Weighting'!$B$3:$B$17,0)+1,2)</f>
        <v>0.13421418037459956</v>
      </c>
      <c r="S132" s="37">
        <f>VLOOKUP($C132,$D$60:$Z$63,S$32,FALSE)*$D$79*$A132/8760/1000*INDEX('Bulb Weighting'!$B$2:$C$17,MATCH(RIGHT('SC-New'!$D95,LEN($D132)-7),'Bulb Weighting'!$B$3:$B$17,0)+1,2)</f>
        <v>0.13400597720578122</v>
      </c>
      <c r="T132" s="37">
        <f>VLOOKUP($C132,$D$60:$Z$63,T$32,FALSE)*$D$79*$A132/8760/1000*INDEX('Bulb Weighting'!$B$2:$C$17,MATCH(RIGHT('SC-New'!$D95,LEN($D132)-7),'Bulb Weighting'!$B$3:$B$17,0)+1,2)</f>
        <v>0.13350612963170172</v>
      </c>
      <c r="U132" s="37">
        <f>VLOOKUP($C132,$D$60:$Z$63,U$32,FALSE)*$D$79*$A132/8760/1000*INDEX('Bulb Weighting'!$B$2:$C$17,MATCH(RIGHT('SC-New'!$D95,LEN($D132)-7),'Bulb Weighting'!$B$3:$B$17,0)+1,2)</f>
        <v>0.13278596640505255</v>
      </c>
      <c r="V132" s="37">
        <f>VLOOKUP($C132,$D$60:$Z$63,V$32,FALSE)*$D$79*$A132/8760/1000*INDEX('Bulb Weighting'!$B$2:$C$17,MATCH(RIGHT('SC-New'!$D95,LEN($D132)-7),'Bulb Weighting'!$B$3:$B$17,0)+1,2)</f>
        <v>0.13189745207093956</v>
      </c>
      <c r="W132" s="37">
        <f>VLOOKUP($C132,$D$60:$Z$63,W$32,FALSE)*$D$79*$A132/8760/1000*INDEX('Bulb Weighting'!$B$2:$C$17,MATCH(RIGHT('SC-New'!$D95,LEN($D132)-7),'Bulb Weighting'!$B$3:$B$17,0)+1,2)</f>
        <v>0.13088401918661813</v>
      </c>
      <c r="X132" s="37">
        <f>VLOOKUP($C132,$D$60:$Z$63,X$32,FALSE)*$D$79*$A132/8760/1000*INDEX('Bulb Weighting'!$B$2:$C$17,MATCH(RIGHT('SC-New'!$D95,LEN($D132)-7),'Bulb Weighting'!$B$3:$B$17,0)+1,2)</f>
        <v>0.12979439693151767</v>
      </c>
      <c r="Y132" s="32">
        <f>(VLOOKUP($C132,$D$43:$Z$46,$X$68+3,FALSE)+VLOOKUP($C132,$D$51:$Z$54,$X$68+3,FALSE))*$A132*$D$79/8760/1000*INDEX('Bulb Weighting'!$B$2:$C$17,MATCH(RIGHT('SC-New'!$D95,LEN($D132)-7),'Bulb Weighting'!$B$3:$B$17,0)+1,2)</f>
        <v>1.0647963282003594</v>
      </c>
      <c r="Z132" s="32"/>
      <c r="AA132" s="32">
        <f t="shared" si="42"/>
        <v>2.2431528098477793</v>
      </c>
      <c r="AB132" s="37"/>
      <c r="AC132" s="84"/>
    </row>
    <row r="133" spans="1:29" customFormat="1">
      <c r="A133" s="89">
        <f t="shared" si="28"/>
        <v>10.331554133000125</v>
      </c>
      <c r="B133" s="71">
        <f t="shared" si="29"/>
        <v>-97.483290128606981</v>
      </c>
      <c r="C133" s="1" t="s">
        <v>30</v>
      </c>
      <c r="D133" t="s">
        <v>753</v>
      </c>
      <c r="E133" s="37">
        <f>VLOOKUP($C133,$D$60:$Z$63,E$32,FALSE)*$D$79*$A133/8760/1000*INDEX('Bulb Weighting'!$B$2:$C$17,MATCH(RIGHT('SC-New'!$D96,LEN($D133)-7),'Bulb Weighting'!$B$3:$B$17,0)+1,2)</f>
        <v>0</v>
      </c>
      <c r="F133" s="37">
        <f>VLOOKUP($C133,$D$60:$Z$63,F$32,FALSE)*$D$79*$A133/8760/1000*INDEX('Bulb Weighting'!$B$2:$C$17,MATCH(RIGHT('SC-New'!$D96,LEN($D133)-7),'Bulb Weighting'!$B$3:$B$17,0)+1,2)</f>
        <v>2.4988099736455213E-2</v>
      </c>
      <c r="G133" s="37">
        <f>VLOOKUP($C133,$D$60:$Z$63,G$32,FALSE)*$D$79*$A133/8760/1000*INDEX('Bulb Weighting'!$B$2:$C$17,MATCH(RIGHT('SC-New'!$D96,LEN($D133)-7),'Bulb Weighting'!$B$3:$B$17,0)+1,2)</f>
        <v>3.1773268661852219E-2</v>
      </c>
      <c r="H133" s="37">
        <f>VLOOKUP($C133,$D$60:$Z$63,H$32,FALSE)*$D$79*$A133/8760/1000*INDEX('Bulb Weighting'!$B$2:$C$17,MATCH(RIGHT('SC-New'!$D96,LEN($D133)-7),'Bulb Weighting'!$B$3:$B$17,0)+1,2)</f>
        <v>3.6867283998349119E-2</v>
      </c>
      <c r="I133" s="37">
        <f>VLOOKUP($C133,$D$60:$Z$63,I$32,FALSE)*$D$79*$A133/8760/1000*INDEX('Bulb Weighting'!$B$2:$C$17,MATCH(RIGHT('SC-New'!$D96,LEN($D133)-7),'Bulb Weighting'!$B$3:$B$17,0)+1,2)</f>
        <v>4.1183039269668716E-2</v>
      </c>
      <c r="J133" s="37">
        <f>VLOOKUP($C133,$D$60:$Z$63,J$32,FALSE)*$D$79*$A133/8760/1000*INDEX('Bulb Weighting'!$B$2:$C$17,MATCH(RIGHT('SC-New'!$D96,LEN($D133)-7),'Bulb Weighting'!$B$3:$B$17,0)+1,2)</f>
        <v>4.4774874208479157E-2</v>
      </c>
      <c r="K133" s="37">
        <f>VLOOKUP($C133,$D$60:$Z$63,K$32,FALSE)*$D$79*$A133/8760/1000*INDEX('Bulb Weighting'!$B$2:$C$17,MATCH(RIGHT('SC-New'!$D96,LEN($D133)-7),'Bulb Weighting'!$B$3:$B$17,0)+1,2)</f>
        <v>4.7713552647768304E-2</v>
      </c>
      <c r="L133" s="37">
        <f>VLOOKUP($C133,$D$60:$Z$63,L$32,FALSE)*$D$79*$A133/8760/1000*INDEX('Bulb Weighting'!$B$2:$C$17,MATCH(RIGHT('SC-New'!$D96,LEN($D133)-7),'Bulb Weighting'!$B$3:$B$17,0)+1,2)</f>
        <v>5.0075856538323173E-2</v>
      </c>
      <c r="M133" s="37">
        <f>VLOOKUP($C133,$D$60:$Z$63,M$32,FALSE)*$D$79*$A133/8760/1000*INDEX('Bulb Weighting'!$B$2:$C$17,MATCH(RIGHT('SC-New'!$D96,LEN($D133)-7),'Bulb Weighting'!$B$3:$B$17,0)+1,2)</f>
        <v>5.3139785998534875E-2</v>
      </c>
      <c r="N133" s="37">
        <f>VLOOKUP($C133,$D$60:$Z$63,N$32,FALSE)*$D$79*$A133/8760/1000*INDEX('Bulb Weighting'!$B$2:$C$17,MATCH(RIGHT('SC-New'!$D96,LEN($D133)-7),'Bulb Weighting'!$B$3:$B$17,0)+1,2)</f>
        <v>5.4424719650436597E-2</v>
      </c>
      <c r="O133" s="37">
        <f>VLOOKUP($C133,$D$60:$Z$63,O$32,FALSE)*$D$79*$A133/8760/1000*INDEX('Bulb Weighting'!$B$2:$C$17,MATCH(RIGHT('SC-New'!$D96,LEN($D133)-7),'Bulb Weighting'!$B$3:$B$17,0)+1,2)</f>
        <v>5.5417264510698096E-2</v>
      </c>
      <c r="P133" s="37">
        <f>VLOOKUP($C133,$D$60:$Z$63,P$32,FALSE)*$D$79*$A133/8760/1000*INDEX('Bulb Weighting'!$B$2:$C$17,MATCH(RIGHT('SC-New'!$D96,LEN($D133)-7),'Bulb Weighting'!$B$3:$B$17,0)+1,2)</f>
        <v>5.6035724039025875E-2</v>
      </c>
      <c r="Q133" s="37">
        <f>VLOOKUP($C133,$D$60:$Z$63,Q$32,FALSE)*$D$79*$A133/8760/1000*INDEX('Bulb Weighting'!$B$2:$C$17,MATCH(RIGHT('SC-New'!$D96,LEN($D133)-7),'Bulb Weighting'!$B$3:$B$17,0)+1,2)</f>
        <v>5.6301682581762345E-2</v>
      </c>
      <c r="R133" s="37">
        <f>VLOOKUP($C133,$D$60:$Z$63,R$32,FALSE)*$D$79*$A133/8760/1000*INDEX('Bulb Weighting'!$B$2:$C$17,MATCH(RIGHT('SC-New'!$D96,LEN($D133)-7),'Bulb Weighting'!$B$3:$B$17,0)+1,2)</f>
        <v>5.6364650974556903E-2</v>
      </c>
      <c r="S133" s="37">
        <f>VLOOKUP($C133,$D$60:$Z$63,S$32,FALSE)*$D$79*$A133/8760/1000*INDEX('Bulb Weighting'!$B$2:$C$17,MATCH(RIGHT('SC-New'!$D96,LEN($D133)-7),'Bulb Weighting'!$B$3:$B$17,0)+1,2)</f>
        <v>5.6277213872832715E-2</v>
      </c>
      <c r="T133" s="37">
        <f>VLOOKUP($C133,$D$60:$Z$63,T$32,FALSE)*$D$79*$A133/8760/1000*INDEX('Bulb Weighting'!$B$2:$C$17,MATCH(RIGHT('SC-New'!$D96,LEN($D133)-7),'Bulb Weighting'!$B$3:$B$17,0)+1,2)</f>
        <v>5.6067297648072882E-2</v>
      </c>
      <c r="U133" s="37">
        <f>VLOOKUP($C133,$D$60:$Z$63,U$32,FALSE)*$D$79*$A133/8760/1000*INDEX('Bulb Weighting'!$B$2:$C$17,MATCH(RIGHT('SC-New'!$D96,LEN($D133)-7),'Bulb Weighting'!$B$3:$B$17,0)+1,2)</f>
        <v>5.5764857557156274E-2</v>
      </c>
      <c r="V133" s="37">
        <f>VLOOKUP($C133,$D$60:$Z$63,V$32,FALSE)*$D$79*$A133/8760/1000*INDEX('Bulb Weighting'!$B$2:$C$17,MATCH(RIGHT('SC-New'!$D96,LEN($D133)-7),'Bulb Weighting'!$B$3:$B$17,0)+1,2)</f>
        <v>5.5391716655141379E-2</v>
      </c>
      <c r="W133" s="37">
        <f>VLOOKUP($C133,$D$60:$Z$63,W$32,FALSE)*$D$79*$A133/8760/1000*INDEX('Bulb Weighting'!$B$2:$C$17,MATCH(RIGHT('SC-New'!$D96,LEN($D133)-7),'Bulb Weighting'!$B$3:$B$17,0)+1,2)</f>
        <v>5.4966114899414185E-2</v>
      </c>
      <c r="X133" s="37">
        <f>VLOOKUP($C133,$D$60:$Z$63,X$32,FALSE)*$D$79*$A133/8760/1000*INDEX('Bulb Weighting'!$B$2:$C$17,MATCH(RIGHT('SC-New'!$D96,LEN($D133)-7),'Bulb Weighting'!$B$3:$B$17,0)+1,2)</f>
        <v>5.4508516619326111E-2</v>
      </c>
      <c r="Y133" s="32">
        <f>(VLOOKUP($C133,$D$43:$Z$46,$X$68+3,FALSE)+VLOOKUP($C133,$D$51:$Z$54,$X$68+3,FALSE))*$A133*$D$79/8760/1000*INDEX('Bulb Weighting'!$B$2:$C$17,MATCH(RIGHT('SC-New'!$D96,LEN($D133)-7),'Bulb Weighting'!$B$3:$B$17,0)+1,2)</f>
        <v>0.44717237202874111</v>
      </c>
      <c r="Z133" s="32"/>
      <c r="AA133" s="32">
        <f>SUM(E133:X133)</f>
        <v>0.94203552006785418</v>
      </c>
      <c r="AB133" s="37"/>
      <c r="AC133" s="84"/>
    </row>
    <row r="134" spans="1:29" customFormat="1">
      <c r="A134" s="89">
        <f t="shared" si="28"/>
        <v>11.177995908414712</v>
      </c>
      <c r="B134" s="71">
        <f t="shared" si="29"/>
        <v>-118.66739310804593</v>
      </c>
      <c r="C134" s="1" t="s">
        <v>30</v>
      </c>
      <c r="D134" t="s">
        <v>754</v>
      </c>
      <c r="E134" s="37">
        <f>VLOOKUP($C134,$D$60:$Z$63,E$32,FALSE)*$D$79*$A134/8760/1000*INDEX('Bulb Weighting'!$B$2:$C$17,MATCH(RIGHT('SC-New'!$D97,LEN($D134)-7),'Bulb Weighting'!$B$3:$B$17,0)+1,2)</f>
        <v>0</v>
      </c>
      <c r="F134" s="37">
        <f>VLOOKUP($C134,$D$60:$Z$63,F$32,FALSE)*$D$79*$A134/8760/1000*INDEX('Bulb Weighting'!$B$2:$C$17,MATCH(RIGHT('SC-New'!$D97,LEN($D134)-7),'Bulb Weighting'!$B$3:$B$17,0)+1,2)</f>
        <v>2.037133441451568E-3</v>
      </c>
      <c r="G134" s="37">
        <f>VLOOKUP($C134,$D$60:$Z$63,G$32,FALSE)*$D$79*$A134/8760/1000*INDEX('Bulb Weighting'!$B$2:$C$17,MATCH(RIGHT('SC-New'!$D97,LEN($D134)-7),'Bulb Weighting'!$B$3:$B$17,0)+1,2)</f>
        <v>2.5902885300579607E-3</v>
      </c>
      <c r="H134" s="37">
        <f>VLOOKUP($C134,$D$60:$Z$63,H$32,FALSE)*$D$79*$A134/8760/1000*INDEX('Bulb Weighting'!$B$2:$C$17,MATCH(RIGHT('SC-New'!$D97,LEN($D134)-7),'Bulb Weighting'!$B$3:$B$17,0)+1,2)</f>
        <v>3.0055737699397947E-3</v>
      </c>
      <c r="I134" s="37">
        <f>VLOOKUP($C134,$D$60:$Z$63,I$32,FALSE)*$D$79*$A134/8760/1000*INDEX('Bulb Weighting'!$B$2:$C$17,MATCH(RIGHT('SC-New'!$D97,LEN($D134)-7),'Bulb Weighting'!$B$3:$B$17,0)+1,2)</f>
        <v>3.3574120241908643E-3</v>
      </c>
      <c r="J134" s="37">
        <f>VLOOKUP($C134,$D$60:$Z$63,J$32,FALSE)*$D$79*$A134/8760/1000*INDEX('Bulb Weighting'!$B$2:$C$17,MATCH(RIGHT('SC-New'!$D97,LEN($D134)-7),'Bulb Weighting'!$B$3:$B$17,0)+1,2)</f>
        <v>3.6502332930026756E-3</v>
      </c>
      <c r="K134" s="37">
        <f>VLOOKUP($C134,$D$60:$Z$63,K$32,FALSE)*$D$79*$A134/8760/1000*INDEX('Bulb Weighting'!$B$2:$C$17,MATCH(RIGHT('SC-New'!$D97,LEN($D134)-7),'Bulb Weighting'!$B$3:$B$17,0)+1,2)</f>
        <v>3.8898065372864315E-3</v>
      </c>
      <c r="L134" s="37">
        <f>VLOOKUP($C134,$D$60:$Z$63,L$32,FALSE)*$D$79*$A134/8760/1000*INDEX('Bulb Weighting'!$B$2:$C$17,MATCH(RIGHT('SC-New'!$D97,LEN($D134)-7),'Bulb Weighting'!$B$3:$B$17,0)+1,2)</f>
        <v>4.0823913398554618E-3</v>
      </c>
      <c r="M134" s="37">
        <f>VLOOKUP($C134,$D$60:$Z$63,M$32,FALSE)*$D$79*$A134/8760/1000*INDEX('Bulb Weighting'!$B$2:$C$17,MATCH(RIGHT('SC-New'!$D97,LEN($D134)-7),'Bulb Weighting'!$B$3:$B$17,0)+1,2)</f>
        <v>4.3321755664063105E-3</v>
      </c>
      <c r="N134" s="37">
        <f>VLOOKUP($C134,$D$60:$Z$63,N$32,FALSE)*$D$79*$A134/8760/1000*INDEX('Bulb Weighting'!$B$2:$C$17,MATCH(RIGHT('SC-New'!$D97,LEN($D134)-7),'Bulb Weighting'!$B$3:$B$17,0)+1,2)</f>
        <v>4.4369286824872678E-3</v>
      </c>
      <c r="O134" s="37">
        <f>VLOOKUP($C134,$D$60:$Z$63,O$32,FALSE)*$D$79*$A134/8760/1000*INDEX('Bulb Weighting'!$B$2:$C$17,MATCH(RIGHT('SC-New'!$D97,LEN($D134)-7),'Bulb Weighting'!$B$3:$B$17,0)+1,2)</f>
        <v>4.517845052611635E-3</v>
      </c>
      <c r="P134" s="37">
        <f>VLOOKUP($C134,$D$60:$Z$63,P$32,FALSE)*$D$79*$A134/8760/1000*INDEX('Bulb Weighting'!$B$2:$C$17,MATCH(RIGHT('SC-New'!$D97,LEN($D134)-7),'Bulb Weighting'!$B$3:$B$17,0)+1,2)</f>
        <v>4.5682644362633985E-3</v>
      </c>
      <c r="Q134" s="37">
        <f>VLOOKUP($C134,$D$60:$Z$63,Q$32,FALSE)*$D$79*$A134/8760/1000*INDEX('Bulb Weighting'!$B$2:$C$17,MATCH(RIGHT('SC-New'!$D97,LEN($D134)-7),'Bulb Weighting'!$B$3:$B$17,0)+1,2)</f>
        <v>4.5899464788021422E-3</v>
      </c>
      <c r="R134" s="37">
        <f>VLOOKUP($C134,$D$60:$Z$63,R$32,FALSE)*$D$79*$A134/8760/1000*INDEX('Bulb Weighting'!$B$2:$C$17,MATCH(RIGHT('SC-New'!$D97,LEN($D134)-7),'Bulb Weighting'!$B$3:$B$17,0)+1,2)</f>
        <v>4.5950799231244052E-3</v>
      </c>
      <c r="S134" s="37">
        <f>VLOOKUP($C134,$D$60:$Z$63,S$32,FALSE)*$D$79*$A134/8760/1000*INDEX('Bulb Weighting'!$B$2:$C$17,MATCH(RIGHT('SC-New'!$D97,LEN($D134)-7),'Bulb Weighting'!$B$3:$B$17,0)+1,2)</f>
        <v>4.5879516882516239E-3</v>
      </c>
      <c r="T134" s="37">
        <f>VLOOKUP($C134,$D$60:$Z$63,T$32,FALSE)*$D$79*$A134/8760/1000*INDEX('Bulb Weighting'!$B$2:$C$17,MATCH(RIGHT('SC-New'!$D97,LEN($D134)-7),'Bulb Weighting'!$B$3:$B$17,0)+1,2)</f>
        <v>4.5708384477142639E-3</v>
      </c>
      <c r="U134" s="37">
        <f>VLOOKUP($C134,$D$60:$Z$63,U$32,FALSE)*$D$79*$A134/8760/1000*INDEX('Bulb Weighting'!$B$2:$C$17,MATCH(RIGHT('SC-New'!$D97,LEN($D134)-7),'Bulb Weighting'!$B$3:$B$17,0)+1,2)</f>
        <v>4.5461822781879737E-3</v>
      </c>
      <c r="V134" s="37">
        <f>VLOOKUP($C134,$D$60:$Z$63,V$32,FALSE)*$D$79*$A134/8760/1000*INDEX('Bulb Weighting'!$B$2:$C$17,MATCH(RIGHT('SC-New'!$D97,LEN($D134)-7),'Bulb Weighting'!$B$3:$B$17,0)+1,2)</f>
        <v>4.5157622855560809E-3</v>
      </c>
      <c r="W134" s="37">
        <f>VLOOKUP($C134,$D$60:$Z$63,W$32,FALSE)*$D$79*$A134/8760/1000*INDEX('Bulb Weighting'!$B$2:$C$17,MATCH(RIGHT('SC-New'!$D97,LEN($D134)-7),'Bulb Weighting'!$B$3:$B$17,0)+1,2)</f>
        <v>4.4810654667312598E-3</v>
      </c>
      <c r="X134" s="37">
        <f>VLOOKUP($C134,$D$60:$Z$63,X$32,FALSE)*$D$79*$A134/8760/1000*INDEX('Bulb Weighting'!$B$2:$C$17,MATCH(RIGHT('SC-New'!$D97,LEN($D134)-7),'Bulb Weighting'!$B$3:$B$17,0)+1,2)</f>
        <v>4.4437601586466225E-3</v>
      </c>
      <c r="Y134" s="32">
        <f>(VLOOKUP($C134,$D$43:$Z$46,$X$68+3,FALSE)+VLOOKUP($C134,$D$51:$Z$54,$X$68+3,FALSE))*$A134*$D$79/8760/1000*INDEX('Bulb Weighting'!$B$2:$C$17,MATCH(RIGHT('SC-New'!$D97,LEN($D134)-7),'Bulb Weighting'!$B$3:$B$17,0)+1,2)</f>
        <v>3.6455344854574231E-2</v>
      </c>
      <c r="Z134" s="32"/>
      <c r="AA134" s="32">
        <f t="shared" ref="AA134:AA136" si="43">SUM(E134:X134)</f>
        <v>7.6798639400567748E-2</v>
      </c>
      <c r="AB134" s="37"/>
      <c r="AC134" s="84"/>
    </row>
    <row r="135" spans="1:29" customFormat="1">
      <c r="A135" s="89">
        <f t="shared" si="28"/>
        <v>21.322455076849025</v>
      </c>
      <c r="B135" s="71">
        <f t="shared" si="29"/>
        <v>-49.256412709384371</v>
      </c>
      <c r="C135" s="1" t="s">
        <v>30</v>
      </c>
      <c r="D135" t="s">
        <v>755</v>
      </c>
      <c r="E135" s="37">
        <f>VLOOKUP($C135,$D$60:$Z$63,E$32,FALSE)*$D$79*$A135/8760/1000*INDEX('Bulb Weighting'!$B$2:$C$17,MATCH(RIGHT('SC-New'!$D98,LEN($D135)-7),'Bulb Weighting'!$B$3:$B$17,0)+1,2)</f>
        <v>0</v>
      </c>
      <c r="F135" s="37">
        <f>VLOOKUP($C135,$D$60:$Z$63,F$32,FALSE)*$D$79*$A135/8760/1000*INDEX('Bulb Weighting'!$B$2:$C$17,MATCH(RIGHT('SC-New'!$D98,LEN($D135)-7),'Bulb Weighting'!$B$3:$B$17,0)+1,2)</f>
        <v>2.6901134399283936E-2</v>
      </c>
      <c r="G135" s="37">
        <f>VLOOKUP($C135,$D$60:$Z$63,G$32,FALSE)*$D$79*$A135/8760/1000*INDEX('Bulb Weighting'!$B$2:$C$17,MATCH(RIGHT('SC-New'!$D98,LEN($D135)-7),'Bulb Weighting'!$B$3:$B$17,0)+1,2)</f>
        <v>3.4205761125967682E-2</v>
      </c>
      <c r="H135" s="37">
        <f>VLOOKUP($C135,$D$60:$Z$63,H$32,FALSE)*$D$79*$A135/8760/1000*INDEX('Bulb Weighting'!$B$2:$C$17,MATCH(RIGHT('SC-New'!$D98,LEN($D135)-7),'Bulb Weighting'!$B$3:$B$17,0)+1,2)</f>
        <v>3.9689763216738755E-2</v>
      </c>
      <c r="I135" s="37">
        <f>VLOOKUP($C135,$D$60:$Z$63,I$32,FALSE)*$D$79*$A135/8760/1000*INDEX('Bulb Weighting'!$B$2:$C$17,MATCH(RIGHT('SC-New'!$D98,LEN($D135)-7),'Bulb Weighting'!$B$3:$B$17,0)+1,2)</f>
        <v>4.4335923341464446E-2</v>
      </c>
      <c r="J135" s="37">
        <f>VLOOKUP($C135,$D$60:$Z$63,J$32,FALSE)*$D$79*$A135/8760/1000*INDEX('Bulb Weighting'!$B$2:$C$17,MATCH(RIGHT('SC-New'!$D98,LEN($D135)-7),'Bulb Weighting'!$B$3:$B$17,0)+1,2)</f>
        <v>4.8202741364766065E-2</v>
      </c>
      <c r="K135" s="37">
        <f>VLOOKUP($C135,$D$60:$Z$63,K$32,FALSE)*$D$79*$A135/8760/1000*INDEX('Bulb Weighting'!$B$2:$C$17,MATCH(RIGHT('SC-New'!$D98,LEN($D135)-7),'Bulb Weighting'!$B$3:$B$17,0)+1,2)</f>
        <v>5.1366398645045913E-2</v>
      </c>
      <c r="L135" s="37">
        <f>VLOOKUP($C135,$D$60:$Z$63,L$32,FALSE)*$D$79*$A135/8760/1000*INDEX('Bulb Weighting'!$B$2:$C$17,MATCH(RIGHT('SC-New'!$D98,LEN($D135)-7),'Bulb Weighting'!$B$3:$B$17,0)+1,2)</f>
        <v>5.3909555392537854E-2</v>
      </c>
      <c r="M135" s="37">
        <f>VLOOKUP($C135,$D$60:$Z$63,M$32,FALSE)*$D$79*$A135/8760/1000*INDEX('Bulb Weighting'!$B$2:$C$17,MATCH(RIGHT('SC-New'!$D98,LEN($D135)-7),'Bulb Weighting'!$B$3:$B$17,0)+1,2)</f>
        <v>5.7208052639962932E-2</v>
      </c>
      <c r="N135" s="37">
        <f>VLOOKUP($C135,$D$60:$Z$63,N$32,FALSE)*$D$79*$A135/8760/1000*INDEX('Bulb Weighting'!$B$2:$C$17,MATCH(RIGHT('SC-New'!$D98,LEN($D135)-7),'Bulb Weighting'!$B$3:$B$17,0)+1,2)</f>
        <v>5.8591358022466337E-2</v>
      </c>
      <c r="O135" s="37">
        <f>VLOOKUP($C135,$D$60:$Z$63,O$32,FALSE)*$D$79*$A135/8760/1000*INDEX('Bulb Weighting'!$B$2:$C$17,MATCH(RIGHT('SC-New'!$D98,LEN($D135)-7),'Bulb Weighting'!$B$3:$B$17,0)+1,2)</f>
        <v>5.9659889962262458E-2</v>
      </c>
      <c r="P135" s="37">
        <f>VLOOKUP($C135,$D$60:$Z$63,P$32,FALSE)*$D$79*$A135/8760/1000*INDEX('Bulb Weighting'!$B$2:$C$17,MATCH(RIGHT('SC-New'!$D98,LEN($D135)-7),'Bulb Weighting'!$B$3:$B$17,0)+1,2)</f>
        <v>6.0325697409308585E-2</v>
      </c>
      <c r="Q135" s="37">
        <f>VLOOKUP($C135,$D$60:$Z$63,Q$32,FALSE)*$D$79*$A135/8760/1000*INDEX('Bulb Weighting'!$B$2:$C$17,MATCH(RIGHT('SC-New'!$D98,LEN($D135)-7),'Bulb Weighting'!$B$3:$B$17,0)+1,2)</f>
        <v>6.06120171606402E-2</v>
      </c>
      <c r="R135" s="37">
        <f>VLOOKUP($C135,$D$60:$Z$63,R$32,FALSE)*$D$79*$A135/8760/1000*INDEX('Bulb Weighting'!$B$2:$C$17,MATCH(RIGHT('SC-New'!$D98,LEN($D135)-7),'Bulb Weighting'!$B$3:$B$17,0)+1,2)</f>
        <v>6.0679806276873083E-2</v>
      </c>
      <c r="S135" s="37">
        <f>VLOOKUP($C135,$D$60:$Z$63,S$32,FALSE)*$D$79*$A135/8760/1000*INDEX('Bulb Weighting'!$B$2:$C$17,MATCH(RIGHT('SC-New'!$D98,LEN($D135)-7),'Bulb Weighting'!$B$3:$B$17,0)+1,2)</f>
        <v>6.0585675180480233E-2</v>
      </c>
      <c r="T135" s="37">
        <f>VLOOKUP($C135,$D$60:$Z$63,T$32,FALSE)*$D$79*$A135/8760/1000*INDEX('Bulb Weighting'!$B$2:$C$17,MATCH(RIGHT('SC-New'!$D98,LEN($D135)-7),'Bulb Weighting'!$B$3:$B$17,0)+1,2)</f>
        <v>6.0359688225313082E-2</v>
      </c>
      <c r="U135" s="37">
        <f>VLOOKUP($C135,$D$60:$Z$63,U$32,FALSE)*$D$79*$A135/8760/1000*INDEX('Bulb Weighting'!$B$2:$C$17,MATCH(RIGHT('SC-New'!$D98,LEN($D135)-7),'Bulb Weighting'!$B$3:$B$17,0)+1,2)</f>
        <v>6.0034093977679698E-2</v>
      </c>
      <c r="V135" s="37">
        <f>VLOOKUP($C135,$D$60:$Z$63,V$32,FALSE)*$D$79*$A135/8760/1000*INDEX('Bulb Weighting'!$B$2:$C$17,MATCH(RIGHT('SC-New'!$D98,LEN($D135)-7),'Bulb Weighting'!$B$3:$B$17,0)+1,2)</f>
        <v>5.963238621835263E-2</v>
      </c>
      <c r="W135" s="37">
        <f>VLOOKUP($C135,$D$60:$Z$63,W$32,FALSE)*$D$79*$A135/8760/1000*INDEX('Bulb Weighting'!$B$2:$C$17,MATCH(RIGHT('SC-New'!$D98,LEN($D135)-7),'Bulb Weighting'!$B$3:$B$17,0)+1,2)</f>
        <v>5.9174201316253595E-2</v>
      </c>
      <c r="X135" s="37">
        <f>VLOOKUP($C135,$D$60:$Z$63,X$32,FALSE)*$D$79*$A135/8760/1000*INDEX('Bulb Weighting'!$B$2:$C$17,MATCH(RIGHT('SC-New'!$D98,LEN($D135)-7),'Bulb Weighting'!$B$3:$B$17,0)+1,2)</f>
        <v>5.8681570305357984E-2</v>
      </c>
      <c r="Y135" s="32">
        <f>(VLOOKUP($C135,$D$43:$Z$46,$X$68+3,FALSE)+VLOOKUP($C135,$D$51:$Z$54,$X$68+3,FALSE))*$A135*$D$79/8760/1000*INDEX('Bulb Weighting'!$B$2:$C$17,MATCH(RIGHT('SC-New'!$D98,LEN($D135)-7),'Bulb Weighting'!$B$3:$B$17,0)+1,2)</f>
        <v>0.4814069179515067</v>
      </c>
      <c r="Z135" s="32"/>
      <c r="AA135" s="32">
        <f t="shared" si="43"/>
        <v>1.0141557141807556</v>
      </c>
      <c r="AB135" s="37"/>
      <c r="AC135" s="84"/>
    </row>
    <row r="136" spans="1:29" customFormat="1">
      <c r="A136" s="89">
        <f t="shared" si="28"/>
        <v>16.258824982644914</v>
      </c>
      <c r="B136" s="71">
        <f t="shared" si="29"/>
        <v>-57.558538168362972</v>
      </c>
      <c r="C136" s="1" t="s">
        <v>30</v>
      </c>
      <c r="D136" t="s">
        <v>756</v>
      </c>
      <c r="E136" s="37">
        <f>VLOOKUP($C136,$D$60:$Z$63,E$32,FALSE)*$D$79*$A136/8760/1000*INDEX('Bulb Weighting'!$B$2:$C$17,MATCH(RIGHT('SC-New'!$D99,LEN($D136)-7),'Bulb Weighting'!$B$3:$B$17,0)+1,2)</f>
        <v>0</v>
      </c>
      <c r="F136" s="37">
        <f>VLOOKUP($C136,$D$60:$Z$63,F$32,FALSE)*$D$79*$A136/8760/1000*INDEX('Bulb Weighting'!$B$2:$C$17,MATCH(RIGHT('SC-New'!$D99,LEN($D136)-7),'Bulb Weighting'!$B$3:$B$17,0)+1,2)</f>
        <v>0.20727452975607402</v>
      </c>
      <c r="G136" s="37">
        <f>VLOOKUP($C136,$D$60:$Z$63,G$32,FALSE)*$D$79*$A136/8760/1000*INDEX('Bulb Weighting'!$B$2:$C$17,MATCH(RIGHT('SC-New'!$D99,LEN($D136)-7),'Bulb Weighting'!$B$3:$B$17,0)+1,2)</f>
        <v>0.26355702875200215</v>
      </c>
      <c r="H136" s="37">
        <f>VLOOKUP($C136,$D$60:$Z$63,H$32,FALSE)*$D$79*$A136/8760/1000*INDEX('Bulb Weighting'!$B$2:$C$17,MATCH(RIGHT('SC-New'!$D99,LEN($D136)-7),'Bulb Weighting'!$B$3:$B$17,0)+1,2)</f>
        <v>0.30581152767663333</v>
      </c>
      <c r="I136" s="37">
        <f>VLOOKUP($C136,$D$60:$Z$63,I$32,FALSE)*$D$79*$A136/8760/1000*INDEX('Bulb Weighting'!$B$2:$C$17,MATCH(RIGHT('SC-New'!$D99,LEN($D136)-7),'Bulb Weighting'!$B$3:$B$17,0)+1,2)</f>
        <v>0.34161041410015791</v>
      </c>
      <c r="J136" s="37">
        <f>VLOOKUP($C136,$D$60:$Z$63,J$32,FALSE)*$D$79*$A136/8760/1000*INDEX('Bulb Weighting'!$B$2:$C$17,MATCH(RIGHT('SC-New'!$D99,LEN($D136)-7),'Bulb Weighting'!$B$3:$B$17,0)+1,2)</f>
        <v>0.37140443228303022</v>
      </c>
      <c r="K136" s="37">
        <f>VLOOKUP($C136,$D$60:$Z$63,K$32,FALSE)*$D$79*$A136/8760/1000*INDEX('Bulb Weighting'!$B$2:$C$17,MATCH(RIGHT('SC-New'!$D99,LEN($D136)-7),'Bulb Weighting'!$B$3:$B$17,0)+1,2)</f>
        <v>0.39578056324265398</v>
      </c>
      <c r="L136" s="37">
        <f>VLOOKUP($C136,$D$60:$Z$63,L$32,FALSE)*$D$79*$A136/8760/1000*INDEX('Bulb Weighting'!$B$2:$C$17,MATCH(RIGHT('SC-New'!$D99,LEN($D136)-7),'Bulb Weighting'!$B$3:$B$17,0)+1,2)</f>
        <v>0.41537570786028805</v>
      </c>
      <c r="M136" s="37">
        <f>VLOOKUP($C136,$D$60:$Z$63,M$32,FALSE)*$D$79*$A136/8760/1000*INDEX('Bulb Weighting'!$B$2:$C$17,MATCH(RIGHT('SC-New'!$D99,LEN($D136)-7),'Bulb Weighting'!$B$3:$B$17,0)+1,2)</f>
        <v>0.44079078722883458</v>
      </c>
      <c r="N136" s="37">
        <f>VLOOKUP($C136,$D$60:$Z$63,N$32,FALSE)*$D$79*$A136/8760/1000*INDEX('Bulb Weighting'!$B$2:$C$17,MATCH(RIGHT('SC-New'!$D99,LEN($D136)-7),'Bulb Weighting'!$B$3:$B$17,0)+1,2)</f>
        <v>0.45144922149453126</v>
      </c>
      <c r="O136" s="37">
        <f>VLOOKUP($C136,$D$60:$Z$63,O$32,FALSE)*$D$79*$A136/8760/1000*INDEX('Bulb Weighting'!$B$2:$C$17,MATCH(RIGHT('SC-New'!$D99,LEN($D136)-7),'Bulb Weighting'!$B$3:$B$17,0)+1,2)</f>
        <v>0.45968231129897014</v>
      </c>
      <c r="P136" s="37">
        <f>VLOOKUP($C136,$D$60:$Z$63,P$32,FALSE)*$D$79*$A136/8760/1000*INDEX('Bulb Weighting'!$B$2:$C$17,MATCH(RIGHT('SC-New'!$D99,LEN($D136)-7),'Bulb Weighting'!$B$3:$B$17,0)+1,2)</f>
        <v>0.46481238958660748</v>
      </c>
      <c r="Q136" s="37">
        <f>VLOOKUP($C136,$D$60:$Z$63,Q$32,FALSE)*$D$79*$A136/8760/1000*INDEX('Bulb Weighting'!$B$2:$C$17,MATCH(RIGHT('SC-New'!$D99,LEN($D136)-7),'Bulb Weighting'!$B$3:$B$17,0)+1,2)</f>
        <v>0.46701849699220133</v>
      </c>
      <c r="R136" s="37">
        <f>VLOOKUP($C136,$D$60:$Z$63,R$32,FALSE)*$D$79*$A136/8760/1000*INDEX('Bulb Weighting'!$B$2:$C$17,MATCH(RIGHT('SC-New'!$D99,LEN($D136)-7),'Bulb Weighting'!$B$3:$B$17,0)+1,2)</f>
        <v>0.46754081538150027</v>
      </c>
      <c r="S136" s="37">
        <f>VLOOKUP($C136,$D$60:$Z$63,S$32,FALSE)*$D$79*$A136/8760/1000*INDEX('Bulb Weighting'!$B$2:$C$17,MATCH(RIGHT('SC-New'!$D99,LEN($D136)-7),'Bulb Weighting'!$B$3:$B$17,0)+1,2)</f>
        <v>0.46681553077265608</v>
      </c>
      <c r="T136" s="37">
        <f>VLOOKUP($C136,$D$60:$Z$63,T$32,FALSE)*$D$79*$A136/8760/1000*INDEX('Bulb Weighting'!$B$2:$C$17,MATCH(RIGHT('SC-New'!$D99,LEN($D136)-7),'Bulb Weighting'!$B$3:$B$17,0)+1,2)</f>
        <v>0.46507429045289755</v>
      </c>
      <c r="U136" s="37">
        <f>VLOOKUP($C136,$D$60:$Z$63,U$32,FALSE)*$D$79*$A136/8760/1000*INDEX('Bulb Weighting'!$B$2:$C$17,MATCH(RIGHT('SC-New'!$D99,LEN($D136)-7),'Bulb Weighting'!$B$3:$B$17,0)+1,2)</f>
        <v>0.46256557117110797</v>
      </c>
      <c r="V136" s="37">
        <f>VLOOKUP($C136,$D$60:$Z$63,V$32,FALSE)*$D$79*$A136/8760/1000*INDEX('Bulb Weighting'!$B$2:$C$17,MATCH(RIGHT('SC-New'!$D99,LEN($D136)-7),'Bulb Weighting'!$B$3:$B$17,0)+1,2)</f>
        <v>0.45947039363405578</v>
      </c>
      <c r="W136" s="37">
        <f>VLOOKUP($C136,$D$60:$Z$63,W$32,FALSE)*$D$79*$A136/8760/1000*INDEX('Bulb Weighting'!$B$2:$C$17,MATCH(RIGHT('SC-New'!$D99,LEN($D136)-7),'Bulb Weighting'!$B$3:$B$17,0)+1,2)</f>
        <v>0.45594005700533596</v>
      </c>
      <c r="X136" s="37">
        <f>VLOOKUP($C136,$D$60:$Z$63,X$32,FALSE)*$D$79*$A136/8760/1000*INDEX('Bulb Weighting'!$B$2:$C$17,MATCH(RIGHT('SC-New'!$D99,LEN($D136)-7),'Bulb Weighting'!$B$3:$B$17,0)+1,2)</f>
        <v>0.45214431145754358</v>
      </c>
      <c r="Y136" s="32">
        <f>(VLOOKUP($C136,$D$43:$Z$46,$X$68+3,FALSE)+VLOOKUP($C136,$D$51:$Z$54,$X$68+3,FALSE))*$A136*$D$79/8760/1000*INDEX('Bulb Weighting'!$B$2:$C$17,MATCH(RIGHT('SC-New'!$D99,LEN($D136)-7),'Bulb Weighting'!$B$3:$B$17,0)+1,2)</f>
        <v>3.7092633737548084</v>
      </c>
      <c r="Z136" s="32"/>
      <c r="AA136" s="32">
        <f t="shared" si="43"/>
        <v>7.8141183801470833</v>
      </c>
      <c r="AB136" s="37"/>
      <c r="AC136" s="84"/>
    </row>
    <row r="137" spans="1:29" customFormat="1">
      <c r="A137" s="89">
        <f t="shared" si="28"/>
        <v>87.041761167225999</v>
      </c>
      <c r="B137" s="71">
        <f t="shared" si="29"/>
        <v>-31.342168529326845</v>
      </c>
      <c r="C137" s="1" t="s">
        <v>30</v>
      </c>
      <c r="D137" t="s">
        <v>757</v>
      </c>
      <c r="E137" s="37">
        <f>VLOOKUP($C137,$D$60:$Z$63,E$32,FALSE)*$D$79*$A137/8760/1000*INDEX('Bulb Weighting'!$B$2:$C$17,MATCH(RIGHT('SC-New'!$D100,LEN($D137)-7),'Bulb Weighting'!$B$3:$B$17,0)+1,2)</f>
        <v>0</v>
      </c>
      <c r="F137" s="37">
        <f>VLOOKUP($C137,$D$60:$Z$63,F$32,FALSE)*$D$79*$A137/8760/1000*INDEX('Bulb Weighting'!$B$2:$C$17,MATCH(RIGHT('SC-New'!$D100,LEN($D137)-7),'Bulb Weighting'!$B$3:$B$17,0)+1,2)</f>
        <v>9.1187737796748131E-2</v>
      </c>
      <c r="G137" s="37">
        <f>VLOOKUP($C137,$D$60:$Z$63,G$32,FALSE)*$D$79*$A137/8760/1000*INDEX('Bulb Weighting'!$B$2:$C$17,MATCH(RIGHT('SC-New'!$D100,LEN($D137)-7),'Bulb Weighting'!$B$3:$B$17,0)+1,2)</f>
        <v>0.11594849237197848</v>
      </c>
      <c r="H137" s="37">
        <f>VLOOKUP($C137,$D$60:$Z$63,H$32,FALSE)*$D$79*$A137/8760/1000*INDEX('Bulb Weighting'!$B$2:$C$17,MATCH(RIGHT('SC-New'!$D100,LEN($D137)-7),'Bulb Weighting'!$B$3:$B$17,0)+1,2)</f>
        <v>0.13453781047684479</v>
      </c>
      <c r="I137" s="37">
        <f>VLOOKUP($C137,$D$60:$Z$63,I$32,FALSE)*$D$79*$A137/8760/1000*INDEX('Bulb Weighting'!$B$2:$C$17,MATCH(RIGHT('SC-New'!$D100,LEN($D137)-7),'Bulb Weighting'!$B$3:$B$17,0)+1,2)</f>
        <v>0.15028706569139327</v>
      </c>
      <c r="J137" s="37">
        <f>VLOOKUP($C137,$D$60:$Z$63,J$32,FALSE)*$D$79*$A137/8760/1000*INDEX('Bulb Weighting'!$B$2:$C$17,MATCH(RIGHT('SC-New'!$D100,LEN($D137)-7),'Bulb Weighting'!$B$3:$B$17,0)+1,2)</f>
        <v>0.16339455709985801</v>
      </c>
      <c r="K137" s="37">
        <f>VLOOKUP($C137,$D$60:$Z$63,K$32,FALSE)*$D$79*$A137/8760/1000*INDEX('Bulb Weighting'!$B$2:$C$17,MATCH(RIGHT('SC-New'!$D100,LEN($D137)-7),'Bulb Weighting'!$B$3:$B$17,0)+1,2)</f>
        <v>0.17411851937858666</v>
      </c>
      <c r="L137" s="37">
        <f>VLOOKUP($C137,$D$60:$Z$63,L$32,FALSE)*$D$79*$A137/8760/1000*INDEX('Bulb Weighting'!$B$2:$C$17,MATCH(RIGHT('SC-New'!$D100,LEN($D137)-7),'Bulb Weighting'!$B$3:$B$17,0)+1,2)</f>
        <v>0.18273914879979428</v>
      </c>
      <c r="M137" s="37">
        <f>VLOOKUP($C137,$D$60:$Z$63,M$32,FALSE)*$D$79*$A137/8760/1000*INDEX('Bulb Weighting'!$B$2:$C$17,MATCH(RIGHT('SC-New'!$D100,LEN($D137)-7),'Bulb Weighting'!$B$3:$B$17,0)+1,2)</f>
        <v>0.19392018293973368</v>
      </c>
      <c r="N137" s="37">
        <f>VLOOKUP($C137,$D$60:$Z$63,N$32,FALSE)*$D$79*$A137/8760/1000*INDEX('Bulb Weighting'!$B$2:$C$17,MATCH(RIGHT('SC-New'!$D100,LEN($D137)-7),'Bulb Weighting'!$B$3:$B$17,0)+1,2)</f>
        <v>0.19860922268951869</v>
      </c>
      <c r="O137" s="37">
        <f>VLOOKUP($C137,$D$60:$Z$63,O$32,FALSE)*$D$79*$A137/8760/1000*INDEX('Bulb Weighting'!$B$2:$C$17,MATCH(RIGHT('SC-New'!$D100,LEN($D137)-7),'Bulb Weighting'!$B$3:$B$17,0)+1,2)</f>
        <v>0.20223126363795446</v>
      </c>
      <c r="P137" s="37">
        <f>VLOOKUP($C137,$D$60:$Z$63,P$32,FALSE)*$D$79*$A137/8760/1000*INDEX('Bulb Weighting'!$B$2:$C$17,MATCH(RIGHT('SC-New'!$D100,LEN($D137)-7),'Bulb Weighting'!$B$3:$B$17,0)+1,2)</f>
        <v>0.20448817496381957</v>
      </c>
      <c r="Q137" s="37">
        <f>VLOOKUP($C137,$D$60:$Z$63,Q$32,FALSE)*$D$79*$A137/8760/1000*INDEX('Bulb Weighting'!$B$2:$C$17,MATCH(RIGHT('SC-New'!$D100,LEN($D137)-7),'Bulb Weighting'!$B$3:$B$17,0)+1,2)</f>
        <v>0.2054587232694387</v>
      </c>
      <c r="R137" s="37">
        <f>VLOOKUP($C137,$D$60:$Z$63,R$32,FALSE)*$D$79*$A137/8760/1000*INDEX('Bulb Weighting'!$B$2:$C$17,MATCH(RIGHT('SC-New'!$D100,LEN($D137)-7),'Bulb Weighting'!$B$3:$B$17,0)+1,2)</f>
        <v>0.20568851046223019</v>
      </c>
      <c r="S137" s="37">
        <f>VLOOKUP($C137,$D$60:$Z$63,S$32,FALSE)*$D$79*$A137/8760/1000*INDEX('Bulb Weighting'!$B$2:$C$17,MATCH(RIGHT('SC-New'!$D100,LEN($D137)-7),'Bulb Weighting'!$B$3:$B$17,0)+1,2)</f>
        <v>0.20536943091677354</v>
      </c>
      <c r="T137" s="37">
        <f>VLOOKUP($C137,$D$60:$Z$63,T$32,FALSE)*$D$79*$A137/8760/1000*INDEX('Bulb Weighting'!$B$2:$C$17,MATCH(RIGHT('SC-New'!$D100,LEN($D137)-7),'Bulb Weighting'!$B$3:$B$17,0)+1,2)</f>
        <v>0.2046033948490226</v>
      </c>
      <c r="U137" s="37">
        <f>VLOOKUP($C137,$D$60:$Z$63,U$32,FALSE)*$D$79*$A137/8760/1000*INDEX('Bulb Weighting'!$B$2:$C$17,MATCH(RIGHT('SC-New'!$D100,LEN($D137)-7),'Bulb Weighting'!$B$3:$B$17,0)+1,2)</f>
        <v>0.20349971637804654</v>
      </c>
      <c r="V137" s="37">
        <f>VLOOKUP($C137,$D$60:$Z$63,V$32,FALSE)*$D$79*$A137/8760/1000*INDEX('Bulb Weighting'!$B$2:$C$17,MATCH(RIGHT('SC-New'!$D100,LEN($D137)-7),'Bulb Weighting'!$B$3:$B$17,0)+1,2)</f>
        <v>0.20213803321313836</v>
      </c>
      <c r="W137" s="37">
        <f>VLOOKUP($C137,$D$60:$Z$63,W$32,FALSE)*$D$79*$A137/8760/1000*INDEX('Bulb Weighting'!$B$2:$C$17,MATCH(RIGHT('SC-New'!$D100,LEN($D137)-7),'Bulb Weighting'!$B$3:$B$17,0)+1,2)</f>
        <v>0.20058490745662214</v>
      </c>
      <c r="X137" s="37">
        <f>VLOOKUP($C137,$D$60:$Z$63,X$32,FALSE)*$D$79*$A137/8760/1000*INDEX('Bulb Weighting'!$B$2:$C$17,MATCH(RIGHT('SC-New'!$D100,LEN($D137)-7),'Bulb Weighting'!$B$3:$B$17,0)+1,2)</f>
        <v>0.19891501849263504</v>
      </c>
      <c r="Y137" s="32">
        <f>(VLOOKUP($C137,$D$43:$Z$46,$X$68+3,FALSE)+VLOOKUP($C137,$D$51:$Z$54,$X$68+3,FALSE))*$A137*$D$79/8760/1000*INDEX('Bulb Weighting'!$B$2:$C$17,MATCH(RIGHT('SC-New'!$D100,LEN($D137)-7),'Bulb Weighting'!$B$3:$B$17,0)+1,2)</f>
        <v>1.6318422545359696</v>
      </c>
      <c r="Z137" s="32"/>
      <c r="AA137" s="32">
        <f>SUM(E137:X137)</f>
        <v>3.4377199108841365</v>
      </c>
      <c r="AB137" s="37"/>
      <c r="AC137" s="84"/>
    </row>
    <row r="138" spans="1:29" customFormat="1">
      <c r="A138" s="89">
        <f t="shared" si="28"/>
        <v>50.673589083344737</v>
      </c>
      <c r="B138" s="71">
        <f t="shared" si="29"/>
        <v>-6.4266835469852737</v>
      </c>
      <c r="C138" s="1" t="s">
        <v>30</v>
      </c>
      <c r="D138" t="s">
        <v>758</v>
      </c>
      <c r="E138" s="37">
        <f>VLOOKUP($C138,$D$60:$Z$63,E$32,FALSE)*$D$79*$A138/8760/1000*INDEX('Bulb Weighting'!$B$2:$C$17,MATCH(RIGHT('SC-New'!$D101,LEN($D138)-7),'Bulb Weighting'!$B$3:$B$17,0)+1,2)</f>
        <v>0</v>
      </c>
      <c r="F138" s="37">
        <f>VLOOKUP($C138,$D$60:$Z$63,F$32,FALSE)*$D$79*$A138/8760/1000*INDEX('Bulb Weighting'!$B$2:$C$17,MATCH(RIGHT('SC-New'!$D101,LEN($D138)-7),'Bulb Weighting'!$B$3:$B$17,0)+1,2)</f>
        <v>8.3301136407711745E-4</v>
      </c>
      <c r="G138" s="37">
        <f>VLOOKUP($C138,$D$60:$Z$63,G$32,FALSE)*$D$79*$A138/8760/1000*INDEX('Bulb Weighting'!$B$2:$C$17,MATCH(RIGHT('SC-New'!$D101,LEN($D138)-7),'Bulb Weighting'!$B$3:$B$17,0)+1,2)</f>
        <v>1.0592039470126149E-3</v>
      </c>
      <c r="H138" s="37">
        <f>VLOOKUP($C138,$D$60:$Z$63,H$32,FALSE)*$D$79*$A138/8760/1000*INDEX('Bulb Weighting'!$B$2:$C$17,MATCH(RIGHT('SC-New'!$D101,LEN($D138)-7),'Bulb Weighting'!$B$3:$B$17,0)+1,2)</f>
        <v>1.2290196876587262E-3</v>
      </c>
      <c r="I138" s="37">
        <f>VLOOKUP($C138,$D$60:$Z$63,I$32,FALSE)*$D$79*$A138/8760/1000*INDEX('Bulb Weighting'!$B$2:$C$17,MATCH(RIGHT('SC-New'!$D101,LEN($D138)-7),'Bulb Weighting'!$B$3:$B$17,0)+1,2)</f>
        <v>1.3728910993907708E-3</v>
      </c>
      <c r="J138" s="37">
        <f>VLOOKUP($C138,$D$60:$Z$63,J$32,FALSE)*$D$79*$A138/8760/1000*INDEX('Bulb Weighting'!$B$2:$C$17,MATCH(RIGHT('SC-New'!$D101,LEN($D138)-7),'Bulb Weighting'!$B$3:$B$17,0)+1,2)</f>
        <v>1.4926296690889395E-3</v>
      </c>
      <c r="K138" s="37">
        <f>VLOOKUP($C138,$D$60:$Z$63,K$32,FALSE)*$D$79*$A138/8760/1000*INDEX('Bulb Weighting'!$B$2:$C$17,MATCH(RIGHT('SC-New'!$D101,LEN($D138)-7),'Bulb Weighting'!$B$3:$B$17,0)+1,2)</f>
        <v>1.5905944027467356E-3</v>
      </c>
      <c r="L138" s="37">
        <f>VLOOKUP($C138,$D$60:$Z$63,L$32,FALSE)*$D$79*$A138/8760/1000*INDEX('Bulb Weighting'!$B$2:$C$17,MATCH(RIGHT('SC-New'!$D101,LEN($D138)-7),'Bulb Weighting'!$B$3:$B$17,0)+1,2)</f>
        <v>1.6693449282764912E-3</v>
      </c>
      <c r="M138" s="37">
        <f>VLOOKUP($C138,$D$60:$Z$63,M$32,FALSE)*$D$79*$A138/8760/1000*INDEX('Bulb Weighting'!$B$2:$C$17,MATCH(RIGHT('SC-New'!$D101,LEN($D138)-7),'Bulb Weighting'!$B$3:$B$17,0)+1,2)</f>
        <v>1.771485070424374E-3</v>
      </c>
      <c r="N138" s="37">
        <f>VLOOKUP($C138,$D$60:$Z$63,N$32,FALSE)*$D$79*$A138/8760/1000*INDEX('Bulb Weighting'!$B$2:$C$17,MATCH(RIGHT('SC-New'!$D101,LEN($D138)-7),'Bulb Weighting'!$B$3:$B$17,0)+1,2)</f>
        <v>1.8143200336832117E-3</v>
      </c>
      <c r="O138" s="37">
        <f>VLOOKUP($C138,$D$60:$Z$63,O$32,FALSE)*$D$79*$A138/8760/1000*INDEX('Bulb Weighting'!$B$2:$C$17,MATCH(RIGHT('SC-New'!$D101,LEN($D138)-7),'Bulb Weighting'!$B$3:$B$17,0)+1,2)</f>
        <v>1.8474078297411069E-3</v>
      </c>
      <c r="P138" s="37">
        <f>VLOOKUP($C138,$D$60:$Z$63,P$32,FALSE)*$D$79*$A138/8760/1000*INDEX('Bulb Weighting'!$B$2:$C$17,MATCH(RIGHT('SC-New'!$D101,LEN($D138)-7),'Bulb Weighting'!$B$3:$B$17,0)+1,2)</f>
        <v>1.8680249963425035E-3</v>
      </c>
      <c r="Q138" s="37">
        <f>VLOOKUP($C138,$D$60:$Z$63,Q$32,FALSE)*$D$79*$A138/8760/1000*INDEX('Bulb Weighting'!$B$2:$C$17,MATCH(RIGHT('SC-New'!$D101,LEN($D138)-7),'Bulb Weighting'!$B$3:$B$17,0)+1,2)</f>
        <v>1.8768910762289083E-3</v>
      </c>
      <c r="R138" s="37">
        <f>VLOOKUP($C138,$D$60:$Z$63,R$32,FALSE)*$D$79*$A138/8760/1000*INDEX('Bulb Weighting'!$B$2:$C$17,MATCH(RIGHT('SC-New'!$D101,LEN($D138)-7),'Bulb Weighting'!$B$3:$B$17,0)+1,2)</f>
        <v>1.878990210910167E-3</v>
      </c>
      <c r="S138" s="37">
        <f>VLOOKUP($C138,$D$60:$Z$63,S$32,FALSE)*$D$79*$A138/8760/1000*INDEX('Bulb Weighting'!$B$2:$C$17,MATCH(RIGHT('SC-New'!$D101,LEN($D138)-7),'Bulb Weighting'!$B$3:$B$17,0)+1,2)</f>
        <v>1.8760753794445331E-3</v>
      </c>
      <c r="T138" s="37">
        <f>VLOOKUP($C138,$D$60:$Z$63,T$32,FALSE)*$D$79*$A138/8760/1000*INDEX('Bulb Weighting'!$B$2:$C$17,MATCH(RIGHT('SC-New'!$D101,LEN($D138)-7),'Bulb Weighting'!$B$3:$B$17,0)+1,2)</f>
        <v>1.8690775443721049E-3</v>
      </c>
      <c r="U138" s="37">
        <f>VLOOKUP($C138,$D$60:$Z$63,U$32,FALSE)*$D$79*$A138/8760/1000*INDEX('Bulb Weighting'!$B$2:$C$17,MATCH(RIGHT('SC-New'!$D101,LEN($D138)-7),'Bulb Weighting'!$B$3:$B$17,0)+1,2)</f>
        <v>1.8589953038118713E-3</v>
      </c>
      <c r="V138" s="37">
        <f>VLOOKUP($C138,$D$60:$Z$63,V$32,FALSE)*$D$79*$A138/8760/1000*INDEX('Bulb Weighting'!$B$2:$C$17,MATCH(RIGHT('SC-New'!$D101,LEN($D138)-7),'Bulb Weighting'!$B$3:$B$17,0)+1,2)</f>
        <v>1.8465561581762016E-3</v>
      </c>
      <c r="W138" s="37">
        <f>VLOOKUP($C138,$D$60:$Z$63,W$32,FALSE)*$D$79*$A138/8760/1000*INDEX('Bulb Weighting'!$B$2:$C$17,MATCH(RIGHT('SC-New'!$D101,LEN($D138)-7),'Bulb Weighting'!$B$3:$B$17,0)+1,2)</f>
        <v>1.8323681605761004E-3</v>
      </c>
      <c r="X138" s="37">
        <f>VLOOKUP($C138,$D$60:$Z$63,X$32,FALSE)*$D$79*$A138/8760/1000*INDEX('Bulb Weighting'!$B$2:$C$17,MATCH(RIGHT('SC-New'!$D101,LEN($D138)-7),'Bulb Weighting'!$B$3:$B$17,0)+1,2)</f>
        <v>1.8171135165048911E-3</v>
      </c>
      <c r="Y138" s="32">
        <f>(VLOOKUP($C138,$D$43:$Z$46,$X$68+3,FALSE)+VLOOKUP($C138,$D$51:$Z$54,$X$68+3,FALSE))*$A138*$D$79/8760/1000*INDEX('Bulb Weighting'!$B$2:$C$17,MATCH(RIGHT('SC-New'!$D101,LEN($D138)-7),'Bulb Weighting'!$B$3:$B$17,0)+1,2)</f>
        <v>1.4907082632530917E-2</v>
      </c>
      <c r="Z138" s="32"/>
      <c r="AA138" s="32">
        <f t="shared" ref="AA138:AA140" si="44">SUM(E138:X138)</f>
        <v>3.140400037846737E-2</v>
      </c>
      <c r="AB138" s="37"/>
      <c r="AC138" s="84"/>
    </row>
    <row r="139" spans="1:29" customFormat="1">
      <c r="A139" s="89">
        <f t="shared" si="28"/>
        <v>54.583633546821666</v>
      </c>
      <c r="B139" s="71">
        <f t="shared" si="29"/>
        <v>-12.334283459818346</v>
      </c>
      <c r="C139" s="1" t="s">
        <v>30</v>
      </c>
      <c r="D139" t="s">
        <v>759</v>
      </c>
      <c r="E139" s="37">
        <f>VLOOKUP($C139,$D$60:$Z$63,E$32,FALSE)*$D$79*$A139/8760/1000*INDEX('Bulb Weighting'!$B$2:$C$17,MATCH(RIGHT('SC-New'!$D102,LEN($D139)-7),'Bulb Weighting'!$B$3:$B$17,0)+1,2)</f>
        <v>0</v>
      </c>
      <c r="F139" s="37">
        <f>VLOOKUP($C139,$D$60:$Z$63,F$32,FALSE)*$D$79*$A139/8760/1000*INDEX('Bulb Weighting'!$B$2:$C$17,MATCH(RIGHT('SC-New'!$D102,LEN($D139)-7),'Bulb Weighting'!$B$3:$B$17,0)+1,2)</f>
        <v>1.1075599354890497E-2</v>
      </c>
      <c r="G139" s="37">
        <f>VLOOKUP($C139,$D$60:$Z$63,G$32,FALSE)*$D$79*$A139/8760/1000*INDEX('Bulb Weighting'!$B$2:$C$17,MATCH(RIGHT('SC-New'!$D102,LEN($D139)-7),'Bulb Weighting'!$B$3:$B$17,0)+1,2)</f>
        <v>1.4083023423368738E-2</v>
      </c>
      <c r="H139" s="37">
        <f>VLOOKUP($C139,$D$60:$Z$63,H$32,FALSE)*$D$79*$A139/8760/1000*INDEX('Bulb Weighting'!$B$2:$C$17,MATCH(RIGHT('SC-New'!$D102,LEN($D139)-7),'Bulb Weighting'!$B$3:$B$17,0)+1,2)</f>
        <v>1.6340869100701177E-2</v>
      </c>
      <c r="I139" s="37">
        <f>VLOOKUP($C139,$D$60:$Z$63,I$32,FALSE)*$D$79*$A139/8760/1000*INDEX('Bulb Weighting'!$B$2:$C$17,MATCH(RIGHT('SC-New'!$D102,LEN($D139)-7),'Bulb Weighting'!$B$3:$B$17,0)+1,2)</f>
        <v>1.8253762710180321E-2</v>
      </c>
      <c r="J139" s="37">
        <f>VLOOKUP($C139,$D$60:$Z$63,J$32,FALSE)*$D$79*$A139/8760/1000*INDEX('Bulb Weighting'!$B$2:$C$17,MATCH(RIGHT('SC-New'!$D102,LEN($D139)-7),'Bulb Weighting'!$B$3:$B$17,0)+1,2)</f>
        <v>1.9845789520971553E-2</v>
      </c>
      <c r="K139" s="37">
        <f>VLOOKUP($C139,$D$60:$Z$63,K$32,FALSE)*$D$79*$A139/8760/1000*INDEX('Bulb Weighting'!$B$2:$C$17,MATCH(RIGHT('SC-New'!$D102,LEN($D139)-7),'Bulb Weighting'!$B$3:$B$17,0)+1,2)</f>
        <v>2.1148314537667308E-2</v>
      </c>
      <c r="L139" s="37">
        <f>VLOOKUP($C139,$D$60:$Z$63,L$32,FALSE)*$D$79*$A139/8760/1000*INDEX('Bulb Weighting'!$B$2:$C$17,MATCH(RIGHT('SC-New'!$D102,LEN($D139)-7),'Bulb Weighting'!$B$3:$B$17,0)+1,2)</f>
        <v>2.2195370205054223E-2</v>
      </c>
      <c r="M139" s="37">
        <f>VLOOKUP($C139,$D$60:$Z$63,M$32,FALSE)*$D$79*$A139/8760/1000*INDEX('Bulb Weighting'!$B$2:$C$17,MATCH(RIGHT('SC-New'!$D102,LEN($D139)-7),'Bulb Weighting'!$B$3:$B$17,0)+1,2)</f>
        <v>2.3553410852836777E-2</v>
      </c>
      <c r="N139" s="37">
        <f>VLOOKUP($C139,$D$60:$Z$63,N$32,FALSE)*$D$79*$A139/8760/1000*INDEX('Bulb Weighting'!$B$2:$C$17,MATCH(RIGHT('SC-New'!$D102,LEN($D139)-7),'Bulb Weighting'!$B$3:$B$17,0)+1,2)</f>
        <v>2.412293836698054E-2</v>
      </c>
      <c r="O139" s="37">
        <f>VLOOKUP($C139,$D$60:$Z$63,O$32,FALSE)*$D$79*$A139/8760/1000*INDEX('Bulb Weighting'!$B$2:$C$17,MATCH(RIGHT('SC-New'!$D102,LEN($D139)-7),'Bulb Weighting'!$B$3:$B$17,0)+1,2)</f>
        <v>2.4562868947134837E-2</v>
      </c>
      <c r="P139" s="37">
        <f>VLOOKUP($C139,$D$60:$Z$63,P$32,FALSE)*$D$79*$A139/8760/1000*INDEX('Bulb Weighting'!$B$2:$C$17,MATCH(RIGHT('SC-New'!$D102,LEN($D139)-7),'Bulb Weighting'!$B$3:$B$17,0)+1,2)</f>
        <v>2.4836991830636049E-2</v>
      </c>
      <c r="Q139" s="37">
        <f>VLOOKUP($C139,$D$60:$Z$63,Q$32,FALSE)*$D$79*$A139/8760/1000*INDEX('Bulb Weighting'!$B$2:$C$17,MATCH(RIGHT('SC-New'!$D102,LEN($D139)-7),'Bulb Weighting'!$B$3:$B$17,0)+1,2)</f>
        <v>2.4954873954344009E-2</v>
      </c>
      <c r="R139" s="37">
        <f>VLOOKUP($C139,$D$60:$Z$63,R$32,FALSE)*$D$79*$A139/8760/1000*INDEX('Bulb Weighting'!$B$2:$C$17,MATCH(RIGHT('SC-New'!$D102,LEN($D139)-7),'Bulb Weighting'!$B$3:$B$17,0)+1,2)</f>
        <v>2.4982783747324246E-2</v>
      </c>
      <c r="S139" s="37">
        <f>VLOOKUP($C139,$D$60:$Z$63,S$32,FALSE)*$D$79*$A139/8760/1000*INDEX('Bulb Weighting'!$B$2:$C$17,MATCH(RIGHT('SC-New'!$D102,LEN($D139)-7),'Bulb Weighting'!$B$3:$B$17,0)+1,2)</f>
        <v>2.4944028567151933E-2</v>
      </c>
      <c r="T139" s="37">
        <f>VLOOKUP($C139,$D$60:$Z$63,T$32,FALSE)*$D$79*$A139/8760/1000*INDEX('Bulb Weighting'!$B$2:$C$17,MATCH(RIGHT('SC-New'!$D102,LEN($D139)-7),'Bulb Weighting'!$B$3:$B$17,0)+1,2)</f>
        <v>2.4850986357938278E-2</v>
      </c>
      <c r="U139" s="37">
        <f>VLOOKUP($C139,$D$60:$Z$63,U$32,FALSE)*$D$79*$A139/8760/1000*INDEX('Bulb Weighting'!$B$2:$C$17,MATCH(RIGHT('SC-New'!$D102,LEN($D139)-7),'Bulb Weighting'!$B$3:$B$17,0)+1,2)</f>
        <v>2.4716934336729075E-2</v>
      </c>
      <c r="V139" s="37">
        <f>VLOOKUP($C139,$D$60:$Z$63,V$32,FALSE)*$D$79*$A139/8760/1000*INDEX('Bulb Weighting'!$B$2:$C$17,MATCH(RIGHT('SC-New'!$D102,LEN($D139)-7),'Bulb Weighting'!$B$3:$B$17,0)+1,2)</f>
        <v>2.4551545244432066E-2</v>
      </c>
      <c r="W139" s="37">
        <f>VLOOKUP($C139,$D$60:$Z$63,W$32,FALSE)*$D$79*$A139/8760/1000*INDEX('Bulb Weighting'!$B$2:$C$17,MATCH(RIGHT('SC-New'!$D102,LEN($D139)-7),'Bulb Weighting'!$B$3:$B$17,0)+1,2)</f>
        <v>2.4362903667806076E-2</v>
      </c>
      <c r="X139" s="37">
        <f>VLOOKUP($C139,$D$60:$Z$63,X$32,FALSE)*$D$79*$A139/8760/1000*INDEX('Bulb Weighting'!$B$2:$C$17,MATCH(RIGHT('SC-New'!$D102,LEN($D139)-7),'Bulb Weighting'!$B$3:$B$17,0)+1,2)</f>
        <v>2.4160080113026186E-2</v>
      </c>
      <c r="Y139" s="32">
        <f>(VLOOKUP($C139,$D$43:$Z$46,$X$68+3,FALSE)+VLOOKUP($C139,$D$51:$Z$54,$X$68+3,FALSE))*$A139*$D$79/8760/1000*INDEX('Bulb Weighting'!$B$2:$C$17,MATCH(RIGHT('SC-New'!$D102,LEN($D139)-7),'Bulb Weighting'!$B$3:$B$17,0)+1,2)</f>
        <v>0.19820242785172124</v>
      </c>
      <c r="Z139" s="32"/>
      <c r="AA139" s="32">
        <f t="shared" si="44"/>
        <v>0.4175430748391738</v>
      </c>
      <c r="AB139" s="37"/>
      <c r="AC139" s="84"/>
    </row>
    <row r="140" spans="1:29" customFormat="1">
      <c r="A140" s="89">
        <f t="shared" si="28"/>
        <v>48.844129164687544</v>
      </c>
      <c r="B140" s="71">
        <f t="shared" si="29"/>
        <v>-29.993229849727555</v>
      </c>
      <c r="C140" s="1" t="s">
        <v>30</v>
      </c>
      <c r="D140" t="s">
        <v>760</v>
      </c>
      <c r="E140" s="37">
        <f>VLOOKUP($C140,$D$60:$Z$63,E$32,FALSE)*$D$79*$A140/8760/1000*INDEX('Bulb Weighting'!$B$2:$C$17,MATCH(RIGHT('SC-New'!$D103,LEN($D140)-7),'Bulb Weighting'!$B$3:$B$17,0)+1,2)</f>
        <v>0</v>
      </c>
      <c r="F140" s="37">
        <f>VLOOKUP($C140,$D$60:$Z$63,F$32,FALSE)*$D$79*$A140/8760/1000*INDEX('Bulb Weighting'!$B$2:$C$17,MATCH(RIGHT('SC-New'!$D103,LEN($D140)-7),'Bulb Weighting'!$B$3:$B$17,0)+1,2)</f>
        <v>3.8324744705035912E-2</v>
      </c>
      <c r="G140" s="37">
        <f>VLOOKUP($C140,$D$60:$Z$63,G$32,FALSE)*$D$79*$A140/8760/1000*INDEX('Bulb Weighting'!$B$2:$C$17,MATCH(RIGHT('SC-New'!$D103,LEN($D140)-7),'Bulb Weighting'!$B$3:$B$17,0)+1,2)</f>
        <v>4.8731293005585957E-2</v>
      </c>
      <c r="H140" s="37">
        <f>VLOOKUP($C140,$D$60:$Z$63,H$32,FALSE)*$D$79*$A140/8760/1000*INDEX('Bulb Weighting'!$B$2:$C$17,MATCH(RIGHT('SC-New'!$D103,LEN($D140)-7),'Bulb Weighting'!$B$3:$B$17,0)+1,2)</f>
        <v>5.6544085468950588E-2</v>
      </c>
      <c r="I140" s="37">
        <f>VLOOKUP($C140,$D$60:$Z$63,I$32,FALSE)*$D$79*$A140/8760/1000*INDEX('Bulb Weighting'!$B$2:$C$17,MATCH(RIGHT('SC-New'!$D103,LEN($D140)-7),'Bulb Weighting'!$B$3:$B$17,0)+1,2)</f>
        <v>6.3163245017983191E-2</v>
      </c>
      <c r="J140" s="37">
        <f>VLOOKUP($C140,$D$60:$Z$63,J$32,FALSE)*$D$79*$A140/8760/1000*INDEX('Bulb Weighting'!$B$2:$C$17,MATCH(RIGHT('SC-New'!$D103,LEN($D140)-7),'Bulb Weighting'!$B$3:$B$17,0)+1,2)</f>
        <v>6.8672113579593408E-2</v>
      </c>
      <c r="K140" s="37">
        <f>VLOOKUP($C140,$D$60:$Z$63,K$32,FALSE)*$D$79*$A140/8760/1000*INDEX('Bulb Weighting'!$B$2:$C$17,MATCH(RIGHT('SC-New'!$D103,LEN($D140)-7),'Bulb Weighting'!$B$3:$B$17,0)+1,2)</f>
        <v>7.3179223049452083E-2</v>
      </c>
      <c r="L140" s="37">
        <f>VLOOKUP($C140,$D$60:$Z$63,L$32,FALSE)*$D$79*$A140/8760/1000*INDEX('Bulb Weighting'!$B$2:$C$17,MATCH(RIGHT('SC-New'!$D103,LEN($D140)-7),'Bulb Weighting'!$B$3:$B$17,0)+1,2)</f>
        <v>7.6802335429988419E-2</v>
      </c>
      <c r="M140" s="37">
        <f>VLOOKUP($C140,$D$60:$Z$63,M$32,FALSE)*$D$79*$A140/8760/1000*INDEX('Bulb Weighting'!$B$2:$C$17,MATCH(RIGHT('SC-New'!$D103,LEN($D140)-7),'Bulb Weighting'!$B$3:$B$17,0)+1,2)</f>
        <v>8.1501544877497625E-2</v>
      </c>
      <c r="N140" s="37">
        <f>VLOOKUP($C140,$D$60:$Z$63,N$32,FALSE)*$D$79*$A140/8760/1000*INDEX('Bulb Weighting'!$B$2:$C$17,MATCH(RIGHT('SC-New'!$D103,LEN($D140)-7),'Bulb Weighting'!$B$3:$B$17,0)+1,2)</f>
        <v>8.3472273131803373E-2</v>
      </c>
      <c r="O140" s="37">
        <f>VLOOKUP($C140,$D$60:$Z$63,O$32,FALSE)*$D$79*$A140/8760/1000*INDEX('Bulb Weighting'!$B$2:$C$17,MATCH(RIGHT('SC-New'!$D103,LEN($D140)-7),'Bulb Weighting'!$B$3:$B$17,0)+1,2)</f>
        <v>8.4994558890985089E-2</v>
      </c>
      <c r="P140" s="37">
        <f>VLOOKUP($C140,$D$60:$Z$63,P$32,FALSE)*$D$79*$A140/8760/1000*INDEX('Bulb Weighting'!$B$2:$C$17,MATCH(RIGHT('SC-New'!$D103,LEN($D140)-7),'Bulb Weighting'!$B$3:$B$17,0)+1,2)</f>
        <v>8.5943102549108058E-2</v>
      </c>
      <c r="Q140" s="37">
        <f>VLOOKUP($C140,$D$60:$Z$63,Q$32,FALSE)*$D$79*$A140/8760/1000*INDEX('Bulb Weighting'!$B$2:$C$17,MATCH(RIGHT('SC-New'!$D103,LEN($D140)-7),'Bulb Weighting'!$B$3:$B$17,0)+1,2)</f>
        <v>8.6351008446715311E-2</v>
      </c>
      <c r="R140" s="37">
        <f>VLOOKUP($C140,$D$60:$Z$63,R$32,FALSE)*$D$79*$A140/8760/1000*INDEX('Bulb Weighting'!$B$2:$C$17,MATCH(RIGHT('SC-New'!$D103,LEN($D140)-7),'Bulb Weighting'!$B$3:$B$17,0)+1,2)</f>
        <v>8.6447584320983067E-2</v>
      </c>
      <c r="S140" s="37">
        <f>VLOOKUP($C140,$D$60:$Z$63,S$32,FALSE)*$D$79*$A140/8760/1000*INDEX('Bulb Weighting'!$B$2:$C$17,MATCH(RIGHT('SC-New'!$D103,LEN($D140)-7),'Bulb Weighting'!$B$3:$B$17,0)+1,2)</f>
        <v>8.6313480302003226E-2</v>
      </c>
      <c r="T140" s="37">
        <f>VLOOKUP($C140,$D$60:$Z$63,T$32,FALSE)*$D$79*$A140/8760/1000*INDEX('Bulb Weighting'!$B$2:$C$17,MATCH(RIGHT('SC-New'!$D103,LEN($D140)-7),'Bulb Weighting'!$B$3:$B$17,0)+1,2)</f>
        <v>8.5991527620198113E-2</v>
      </c>
      <c r="U140" s="37">
        <f>VLOOKUP($C140,$D$60:$Z$63,U$32,FALSE)*$D$79*$A140/8760/1000*INDEX('Bulb Weighting'!$B$2:$C$17,MATCH(RIGHT('SC-New'!$D103,LEN($D140)-7),'Bulb Weighting'!$B$3:$B$17,0)+1,2)</f>
        <v>8.5527669247805083E-2</v>
      </c>
      <c r="V140" s="37">
        <f>VLOOKUP($C140,$D$60:$Z$63,V$32,FALSE)*$D$79*$A140/8760/1000*INDEX('Bulb Weighting'!$B$2:$C$17,MATCH(RIGHT('SC-New'!$D103,LEN($D140)-7),'Bulb Weighting'!$B$3:$B$17,0)+1,2)</f>
        <v>8.4955375637664532E-2</v>
      </c>
      <c r="W140" s="37">
        <f>VLOOKUP($C140,$D$60:$Z$63,W$32,FALSE)*$D$79*$A140/8760/1000*INDEX('Bulb Weighting'!$B$2:$C$17,MATCH(RIGHT('SC-New'!$D103,LEN($D140)-7),'Bulb Weighting'!$B$3:$B$17,0)+1,2)</f>
        <v>8.4302621774574107E-2</v>
      </c>
      <c r="X140" s="37">
        <f>VLOOKUP($C140,$D$60:$Z$63,X$32,FALSE)*$D$79*$A140/8760/1000*INDEX('Bulb Weighting'!$B$2:$C$17,MATCH(RIGHT('SC-New'!$D103,LEN($D140)-7),'Bulb Weighting'!$B$3:$B$17,0)+1,2)</f>
        <v>8.3600794206779794E-2</v>
      </c>
      <c r="Y140" s="32">
        <f>(VLOOKUP($C140,$D$43:$Z$46,$X$68+3,FALSE)+VLOOKUP($C140,$D$51:$Z$54,$X$68+3,FALSE))*$A140*$D$79/8760/1000*INDEX('Bulb Weighting'!$B$2:$C$17,MATCH(RIGHT('SC-New'!$D103,LEN($D140)-7),'Bulb Weighting'!$B$3:$B$17,0)+1,2)</f>
        <v>0.68583714559712994</v>
      </c>
      <c r="Z140" s="32"/>
      <c r="AA140" s="32">
        <f t="shared" si="44"/>
        <v>1.4448185812627068</v>
      </c>
      <c r="AB140" s="37"/>
      <c r="AC140" s="84"/>
    </row>
    <row r="141" spans="1:29" customForma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ustomFormat="1">
      <c r="A142" s="1"/>
      <c r="B142" s="85">
        <f>SUMPRODUCT(B81:B84,AA81:AA84)/SUM(AA81:AA84)</f>
        <v>-18.053302459690123</v>
      </c>
      <c r="C142" s="1"/>
      <c r="D142" s="84"/>
      <c r="E142" s="37">
        <f>SUM(E81:E140)</f>
        <v>0</v>
      </c>
      <c r="F142" s="37">
        <f t="shared" ref="F142:X142" si="45">SUM(F81:F140)</f>
        <v>16.878204904338542</v>
      </c>
      <c r="G142" s="37">
        <f t="shared" si="45"/>
        <v>21.632314753884216</v>
      </c>
      <c r="H142" s="37">
        <f t="shared" si="45"/>
        <v>25.300677060776962</v>
      </c>
      <c r="I142" s="37">
        <f t="shared" si="45"/>
        <v>28.487943953119487</v>
      </c>
      <c r="J142" s="37">
        <f t="shared" si="45"/>
        <v>31.219834719410844</v>
      </c>
      <c r="K142" s="37">
        <f t="shared" si="45"/>
        <v>33.534611437183159</v>
      </c>
      <c r="L142" s="37">
        <f t="shared" si="45"/>
        <v>35.476190860024396</v>
      </c>
      <c r="M142" s="37">
        <f t="shared" si="45"/>
        <v>41.488040017727954</v>
      </c>
      <c r="N142" s="37">
        <f t="shared" si="45"/>
        <v>42.097512974524548</v>
      </c>
      <c r="O142" s="37">
        <f t="shared" si="45"/>
        <v>42.638920907515214</v>
      </c>
      <c r="P142" s="37">
        <f t="shared" si="45"/>
        <v>43.051219560358717</v>
      </c>
      <c r="Q142" s="37">
        <f t="shared" si="45"/>
        <v>43.296955323288813</v>
      </c>
      <c r="R142" s="37">
        <f t="shared" si="45"/>
        <v>43.395361564712992</v>
      </c>
      <c r="S142" s="37">
        <f t="shared" si="45"/>
        <v>43.456257260870096</v>
      </c>
      <c r="T142" s="37">
        <f t="shared" si="45"/>
        <v>43.494413169353535</v>
      </c>
      <c r="U142" s="37">
        <f t="shared" si="45"/>
        <v>43.476319742102035</v>
      </c>
      <c r="V142" s="37">
        <f t="shared" si="45"/>
        <v>43.45577876160236</v>
      </c>
      <c r="W142" s="37">
        <f t="shared" si="45"/>
        <v>43.391524603517276</v>
      </c>
      <c r="X142" s="37">
        <f t="shared" si="45"/>
        <v>43.296638973623722</v>
      </c>
      <c r="Y142" s="37">
        <f>SUM(Y81:Y140)</f>
        <v>370.46819560473205</v>
      </c>
      <c r="Z142" s="31"/>
      <c r="AA142" s="1"/>
      <c r="AB142" s="31"/>
      <c r="AC142" s="37"/>
    </row>
    <row r="143" spans="1:29" customFormat="1">
      <c r="A143" s="1"/>
      <c r="B143" s="1"/>
      <c r="C143" s="1"/>
      <c r="D143" s="1"/>
      <c r="E143" s="37">
        <f>E142</f>
        <v>0</v>
      </c>
      <c r="F143" s="37">
        <f>F142+E143</f>
        <v>16.878204904338542</v>
      </c>
      <c r="G143" s="37">
        <f t="shared" ref="G143:X143" si="46">G142+F143</f>
        <v>38.510519658222762</v>
      </c>
      <c r="H143" s="37">
        <f t="shared" si="46"/>
        <v>63.811196718999724</v>
      </c>
      <c r="I143" s="37">
        <f t="shared" si="46"/>
        <v>92.299140672119208</v>
      </c>
      <c r="J143" s="37">
        <f t="shared" si="46"/>
        <v>123.51897539153005</v>
      </c>
      <c r="K143" s="37">
        <f t="shared" si="46"/>
        <v>157.05358682871321</v>
      </c>
      <c r="L143" s="37">
        <f t="shared" si="46"/>
        <v>192.5297776887376</v>
      </c>
      <c r="M143" s="37">
        <f t="shared" si="46"/>
        <v>234.01781770646556</v>
      </c>
      <c r="N143" s="37">
        <f t="shared" si="46"/>
        <v>276.1153306809901</v>
      </c>
      <c r="O143" s="37">
        <f t="shared" si="46"/>
        <v>318.75425158850533</v>
      </c>
      <c r="P143" s="37">
        <f t="shared" si="46"/>
        <v>361.80547114886406</v>
      </c>
      <c r="Q143" s="37">
        <f t="shared" si="46"/>
        <v>405.10242647215284</v>
      </c>
      <c r="R143" s="37">
        <f t="shared" si="46"/>
        <v>448.49778803686581</v>
      </c>
      <c r="S143" s="37">
        <f t="shared" si="46"/>
        <v>491.95404529773589</v>
      </c>
      <c r="T143" s="37">
        <f t="shared" si="46"/>
        <v>535.44845846708938</v>
      </c>
      <c r="U143" s="37">
        <f t="shared" si="46"/>
        <v>578.92477820919146</v>
      </c>
      <c r="V143" s="37">
        <f t="shared" si="46"/>
        <v>622.3805569707938</v>
      </c>
      <c r="W143" s="37">
        <f t="shared" si="46"/>
        <v>665.77208157431107</v>
      </c>
      <c r="X143" s="37">
        <f t="shared" si="46"/>
        <v>709.06872054793484</v>
      </c>
      <c r="Y143" s="1"/>
      <c r="Z143" s="1"/>
      <c r="AA143" s="1"/>
      <c r="AB143" s="1"/>
      <c r="AC143" s="1"/>
    </row>
    <row r="144" spans="1:29" customForma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ustomFormat="1" ht="15">
      <c r="A145" s="63" t="s">
        <v>77</v>
      </c>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ustomFormat="1" ht="15">
      <c r="A146" s="1"/>
      <c r="B146" s="1"/>
      <c r="C146" s="1"/>
      <c r="D146" s="1"/>
      <c r="E146" s="74">
        <f t="shared" ref="E146:X146" si="47">E11</f>
        <v>2016</v>
      </c>
      <c r="F146" s="67">
        <f t="shared" si="47"/>
        <v>2017</v>
      </c>
      <c r="G146" s="67">
        <f t="shared" si="47"/>
        <v>2018</v>
      </c>
      <c r="H146" s="67">
        <f t="shared" si="47"/>
        <v>2019</v>
      </c>
      <c r="I146" s="67">
        <f t="shared" si="47"/>
        <v>2020</v>
      </c>
      <c r="J146" s="67">
        <f t="shared" si="47"/>
        <v>2021</v>
      </c>
      <c r="K146" s="67">
        <f t="shared" si="47"/>
        <v>2022</v>
      </c>
      <c r="L146" s="67">
        <f t="shared" si="47"/>
        <v>2023</v>
      </c>
      <c r="M146" s="67">
        <f t="shared" si="47"/>
        <v>2024</v>
      </c>
      <c r="N146" s="67">
        <f t="shared" si="47"/>
        <v>2025</v>
      </c>
      <c r="O146" s="67">
        <f t="shared" si="47"/>
        <v>2026</v>
      </c>
      <c r="P146" s="67">
        <f t="shared" si="47"/>
        <v>2027</v>
      </c>
      <c r="Q146" s="67">
        <f t="shared" si="47"/>
        <v>2028</v>
      </c>
      <c r="R146" s="67">
        <f t="shared" si="47"/>
        <v>2029</v>
      </c>
      <c r="S146" s="67">
        <f t="shared" si="47"/>
        <v>2030</v>
      </c>
      <c r="T146" s="67">
        <f t="shared" si="47"/>
        <v>2031</v>
      </c>
      <c r="U146" s="67">
        <f t="shared" si="47"/>
        <v>2032</v>
      </c>
      <c r="V146" s="67">
        <f t="shared" si="47"/>
        <v>2033</v>
      </c>
      <c r="W146" s="67">
        <f t="shared" si="47"/>
        <v>2034</v>
      </c>
      <c r="X146" s="67">
        <f t="shared" si="47"/>
        <v>2035</v>
      </c>
      <c r="Y146" s="68" t="s">
        <v>159</v>
      </c>
      <c r="Z146" s="1"/>
      <c r="AA146" s="1"/>
      <c r="AB146" s="1"/>
      <c r="AC146" s="1"/>
    </row>
    <row r="147" spans="1:29" customFormat="1" ht="15">
      <c r="A147" s="1"/>
      <c r="B147" s="1"/>
      <c r="C147" s="72" t="s">
        <v>74</v>
      </c>
      <c r="D147" s="72" t="s">
        <v>74</v>
      </c>
      <c r="E147" s="75" t="str">
        <f>CONCATENATE($E$78,"_",E$11)</f>
        <v>aMW_2016</v>
      </c>
      <c r="F147" s="69" t="str">
        <f t="shared" ref="F147:X147" si="48">CONCATENATE($E$78,"_",F$11)</f>
        <v>aMW_2017</v>
      </c>
      <c r="G147" s="69" t="str">
        <f t="shared" si="48"/>
        <v>aMW_2018</v>
      </c>
      <c r="H147" s="69" t="str">
        <f t="shared" si="48"/>
        <v>aMW_2019</v>
      </c>
      <c r="I147" s="69" t="str">
        <f t="shared" si="48"/>
        <v>aMW_2020</v>
      </c>
      <c r="J147" s="69" t="str">
        <f t="shared" si="48"/>
        <v>aMW_2021</v>
      </c>
      <c r="K147" s="69" t="str">
        <f t="shared" si="48"/>
        <v>aMW_2022</v>
      </c>
      <c r="L147" s="69" t="str">
        <f t="shared" si="48"/>
        <v>aMW_2023</v>
      </c>
      <c r="M147" s="69" t="str">
        <f t="shared" si="48"/>
        <v>aMW_2024</v>
      </c>
      <c r="N147" s="69" t="str">
        <f t="shared" si="48"/>
        <v>aMW_2025</v>
      </c>
      <c r="O147" s="69" t="str">
        <f t="shared" si="48"/>
        <v>aMW_2026</v>
      </c>
      <c r="P147" s="69" t="str">
        <f t="shared" si="48"/>
        <v>aMW_2027</v>
      </c>
      <c r="Q147" s="69" t="str">
        <f t="shared" si="48"/>
        <v>aMW_2028</v>
      </c>
      <c r="R147" s="69" t="str">
        <f t="shared" si="48"/>
        <v>aMW_2029</v>
      </c>
      <c r="S147" s="69" t="str">
        <f t="shared" si="48"/>
        <v>aMW_2030</v>
      </c>
      <c r="T147" s="69" t="str">
        <f t="shared" si="48"/>
        <v>aMW_2031</v>
      </c>
      <c r="U147" s="69" t="str">
        <f t="shared" si="48"/>
        <v>aMW_2032</v>
      </c>
      <c r="V147" s="69" t="str">
        <f t="shared" si="48"/>
        <v>aMW_2033</v>
      </c>
      <c r="W147" s="69" t="str">
        <f t="shared" si="48"/>
        <v>aMW_2034</v>
      </c>
      <c r="X147" s="69" t="str">
        <f t="shared" si="48"/>
        <v>aMW_2035</v>
      </c>
      <c r="Y147" s="70" t="s">
        <v>159</v>
      </c>
      <c r="Z147" s="1"/>
      <c r="AA147" s="1"/>
      <c r="AB147" s="1"/>
      <c r="AC147" s="1"/>
    </row>
    <row r="148" spans="1:29" customFormat="1">
      <c r="A148" s="1"/>
      <c r="B148" s="1" t="s">
        <v>78</v>
      </c>
      <c r="C148" s="73" t="s">
        <v>79</v>
      </c>
      <c r="D148" s="73" t="s">
        <v>80</v>
      </c>
      <c r="E148" s="37">
        <f>DSUM($B$80:$Y$140,E$80,$C$147:$D148)</f>
        <v>0</v>
      </c>
      <c r="F148" s="37">
        <f>DSUM($B$80:$Y$140,F$80,$C$147:$D148)</f>
        <v>10.118956342312961</v>
      </c>
      <c r="G148" s="37">
        <f>DSUM($B$80:$Y$140,G$80,$C$147:$D148)</f>
        <v>12.969178287523908</v>
      </c>
      <c r="H148" s="37">
        <f>DSUM($B$80:$Y$140,H$80,$C$147:$D148)</f>
        <v>15.168464185616807</v>
      </c>
      <c r="I148" s="37">
        <f>DSUM($B$80:$Y$140,I$80,$C$147:$D148)</f>
        <v>17.079319914511476</v>
      </c>
      <c r="J148" s="37">
        <f>DSUM($B$80:$Y$140,J$80,$C$147:$D148)</f>
        <v>18.717164907669748</v>
      </c>
      <c r="K148" s="37">
        <f>DSUM($B$80:$Y$140,K$80,$C$147:$D148)</f>
        <v>20.104938351711752</v>
      </c>
      <c r="L148" s="37">
        <f>DSUM($B$80:$Y$140,L$80,$C$147:$D148)</f>
        <v>21.268969569854708</v>
      </c>
      <c r="M148" s="37">
        <f>DSUM($B$80:$Y$140,M$80,$C$147:$D148)</f>
        <v>24.873241440480971</v>
      </c>
      <c r="N148" s="37">
        <f>DSUM($B$80:$Y$140,N$80,$C$147:$D148)</f>
        <v>25.238637540160962</v>
      </c>
      <c r="O148" s="37">
        <f>DSUM($B$80:$Y$140,O$80,$C$147:$D148)</f>
        <v>25.563226752601814</v>
      </c>
      <c r="P148" s="37">
        <f>DSUM($B$80:$Y$140,P$80,$C$147:$D148)</f>
        <v>25.810411337204471</v>
      </c>
      <c r="Q148" s="37">
        <f>DSUM($B$80:$Y$140,Q$80,$C$147:$D148)</f>
        <v>25.957736806407393</v>
      </c>
      <c r="R148" s="37">
        <f>DSUM($B$80:$Y$140,R$80,$C$147:$D148)</f>
        <v>26.016734103005351</v>
      </c>
      <c r="S148" s="37">
        <f>DSUM($B$80:$Y$140,S$80,$C$147:$D148)</f>
        <v>26.053242777615043</v>
      </c>
      <c r="T148" s="37">
        <f>DSUM($B$80:$Y$140,T$80,$C$147:$D148)</f>
        <v>26.07611831291835</v>
      </c>
      <c r="U148" s="37">
        <f>DSUM($B$80:$Y$140,U$80,$C$147:$D148)</f>
        <v>26.065270796758981</v>
      </c>
      <c r="V148" s="37">
        <f>DSUM($B$80:$Y$140,V$80,$C$147:$D148)</f>
        <v>26.052955903908561</v>
      </c>
      <c r="W148" s="37">
        <f>DSUM($B$80:$Y$140,W$80,$C$147:$D148)</f>
        <v>26.014433737353507</v>
      </c>
      <c r="X148" s="37">
        <f>DSUM($B$80:$Y$140,X$80,$C$147:$D148)</f>
        <v>25.957547145927045</v>
      </c>
      <c r="Y148" s="37">
        <f>DSUM($B$80:$Y$140,Y$80,$C$147:$D148)</f>
        <v>222.10605445227938</v>
      </c>
      <c r="Z148" s="1"/>
      <c r="AA148" s="1"/>
      <c r="AB148" s="1"/>
      <c r="AC148" s="1"/>
    </row>
    <row r="149" spans="1:29" customFormat="1">
      <c r="A149" s="1"/>
      <c r="B149" s="1" t="s">
        <v>785</v>
      </c>
      <c r="C149" s="73" t="s">
        <v>82</v>
      </c>
      <c r="D149" s="73" t="s">
        <v>83</v>
      </c>
      <c r="E149" s="37">
        <f>DSUM($B$80:$Y$140,E$80,$C$147:$D149)</f>
        <v>0</v>
      </c>
      <c r="F149" s="37">
        <f>DSUM($B$80:$Y$140,F$80,$C$147:$D149)</f>
        <v>10.118956342312961</v>
      </c>
      <c r="G149" s="37">
        <f>DSUM($B$80:$Y$140,G$80,$C$147:$D149)</f>
        <v>12.969178287523908</v>
      </c>
      <c r="H149" s="37">
        <f>DSUM($B$80:$Y$140,H$80,$C$147:$D149)</f>
        <v>15.168464185616807</v>
      </c>
      <c r="I149" s="37">
        <f>DSUM($B$80:$Y$140,I$80,$C$147:$D149)</f>
        <v>17.079319914511476</v>
      </c>
      <c r="J149" s="37">
        <f>DSUM($B$80:$Y$140,J$80,$C$147:$D149)</f>
        <v>18.717164907669748</v>
      </c>
      <c r="K149" s="37">
        <f>DSUM($B$80:$Y$140,K$80,$C$147:$D149)</f>
        <v>20.104938351711752</v>
      </c>
      <c r="L149" s="37">
        <f>DSUM($B$80:$Y$140,L$80,$C$147:$D149)</f>
        <v>21.268969569854708</v>
      </c>
      <c r="M149" s="37">
        <f>DSUM($B$80:$Y$140,M$80,$C$147:$D149)</f>
        <v>24.873241440480971</v>
      </c>
      <c r="N149" s="37">
        <f>DSUM($B$80:$Y$140,N$80,$C$147:$D149)</f>
        <v>25.238637540160962</v>
      </c>
      <c r="O149" s="37">
        <f>DSUM($B$80:$Y$140,O$80,$C$147:$D149)</f>
        <v>25.563226752601814</v>
      </c>
      <c r="P149" s="37">
        <f>DSUM($B$80:$Y$140,P$80,$C$147:$D149)</f>
        <v>25.810411337204471</v>
      </c>
      <c r="Q149" s="37">
        <f>DSUM($B$80:$Y$140,Q$80,$C$147:$D149)</f>
        <v>25.957736806407393</v>
      </c>
      <c r="R149" s="37">
        <f>DSUM($B$80:$Y$140,R$80,$C$147:$D149)</f>
        <v>26.016734103005351</v>
      </c>
      <c r="S149" s="37">
        <f>DSUM($B$80:$Y$140,S$80,$C$147:$D149)</f>
        <v>26.053242777615043</v>
      </c>
      <c r="T149" s="37">
        <f>DSUM($B$80:$Y$140,T$80,$C$147:$D149)</f>
        <v>26.07611831291835</v>
      </c>
      <c r="U149" s="37">
        <f>DSUM($B$80:$Y$140,U$80,$C$147:$D149)</f>
        <v>26.065270796758981</v>
      </c>
      <c r="V149" s="37">
        <f>DSUM($B$80:$Y$140,V$80,$C$147:$D149)</f>
        <v>26.052955903908561</v>
      </c>
      <c r="W149" s="37">
        <f>DSUM($B$80:$Y$140,W$80,$C$147:$D149)</f>
        <v>26.014433737353507</v>
      </c>
      <c r="X149" s="37">
        <f>DSUM($B$80:$Y$140,X$80,$C$147:$D149)</f>
        <v>25.957547145927045</v>
      </c>
      <c r="Y149" s="37">
        <f>DSUM($B$80:$Y$140,Y$80,$C$147:$D149)</f>
        <v>222.10605445227938</v>
      </c>
      <c r="Z149" s="1"/>
      <c r="AA149" s="1"/>
      <c r="AB149" s="1"/>
      <c r="AC149" s="1"/>
    </row>
    <row r="150" spans="1:29" customFormat="1">
      <c r="A150" s="1"/>
      <c r="B150" s="1" t="s">
        <v>84</v>
      </c>
      <c r="C150" s="73" t="s">
        <v>85</v>
      </c>
      <c r="D150" s="73" t="s">
        <v>86</v>
      </c>
      <c r="E150" s="37">
        <f>DSUM($B$80:$Y$140,E$80,$C$147:$D150)</f>
        <v>0</v>
      </c>
      <c r="F150" s="37">
        <f>DSUM($B$80:$Y$140,F$80,$C$147:$D150)</f>
        <v>10.302862841597808</v>
      </c>
      <c r="G150" s="37">
        <f>DSUM($B$80:$Y$140,G$80,$C$147:$D150)</f>
        <v>13.204886012389377</v>
      </c>
      <c r="H150" s="37">
        <f>DSUM($B$80:$Y$140,H$80,$C$147:$D150)</f>
        <v>15.444142729286334</v>
      </c>
      <c r="I150" s="37">
        <f>DSUM($B$80:$Y$140,I$80,$C$147:$D150)</f>
        <v>17.389727216350462</v>
      </c>
      <c r="J150" s="37">
        <f>DSUM($B$80:$Y$140,J$80,$C$147:$D150)</f>
        <v>19.05733914681662</v>
      </c>
      <c r="K150" s="37">
        <f>DSUM($B$80:$Y$140,K$80,$C$147:$D150)</f>
        <v>20.470334614480471</v>
      </c>
      <c r="L150" s="37">
        <f>DSUM($B$80:$Y$140,L$80,$C$147:$D150)</f>
        <v>21.655521463613926</v>
      </c>
      <c r="M150" s="37">
        <f>DSUM($B$80:$Y$140,M$80,$C$147:$D150)</f>
        <v>25.325299004960989</v>
      </c>
      <c r="N150" s="37">
        <f>DSUM($B$80:$Y$140,N$80,$C$147:$D150)</f>
        <v>25.697335978983279</v>
      </c>
      <c r="O150" s="37">
        <f>DSUM($B$80:$Y$140,O$80,$C$147:$D150)</f>
        <v>26.0278244229008</v>
      </c>
      <c r="P150" s="37">
        <f>DSUM($B$80:$Y$140,P$80,$C$147:$D150)</f>
        <v>26.279501452187837</v>
      </c>
      <c r="Q150" s="37">
        <f>DSUM($B$80:$Y$140,Q$80,$C$147:$D150)</f>
        <v>26.429504481247726</v>
      </c>
      <c r="R150" s="37">
        <f>DSUM($B$80:$Y$140,R$80,$C$147:$D150)</f>
        <v>26.489574021456345</v>
      </c>
      <c r="S150" s="37">
        <f>DSUM($B$80:$Y$140,S$80,$C$147:$D150)</f>
        <v>26.52674622126704</v>
      </c>
      <c r="T150" s="37">
        <f>DSUM($B$80:$Y$140,T$80,$C$147:$D150)</f>
        <v>26.55003750691797</v>
      </c>
      <c r="U150" s="37">
        <f>DSUM($B$80:$Y$140,U$80,$C$147:$D150)</f>
        <v>26.538992843082962</v>
      </c>
      <c r="V150" s="37">
        <f>DSUM($B$80:$Y$140,V$80,$C$147:$D150)</f>
        <v>26.526454133787784</v>
      </c>
      <c r="W150" s="37">
        <f>DSUM($B$80:$Y$140,W$80,$C$147:$D150)</f>
        <v>26.487231847916433</v>
      </c>
      <c r="X150" s="37">
        <f>DSUM($B$80:$Y$140,X$80,$C$147:$D150)</f>
        <v>26.42931137379184</v>
      </c>
      <c r="Y150" s="37">
        <f>DSUM($B$80:$Y$140,Y$80,$C$147:$D150)</f>
        <v>226.14271056210819</v>
      </c>
      <c r="Z150" s="1"/>
      <c r="AA150" s="1"/>
      <c r="AB150" s="1"/>
      <c r="AC150" s="1"/>
    </row>
    <row r="151" spans="1:29" customFormat="1">
      <c r="A151" s="1"/>
      <c r="B151" s="1" t="s">
        <v>87</v>
      </c>
      <c r="C151" s="73" t="s">
        <v>88</v>
      </c>
      <c r="D151" s="73" t="s">
        <v>89</v>
      </c>
      <c r="E151" s="37">
        <f>DSUM($B$80:$Y$140,E$80,$C$147:$D151)</f>
        <v>0</v>
      </c>
      <c r="F151" s="37">
        <f>DSUM($B$80:$Y$140,F$80,$C$147:$D151)</f>
        <v>10.302862841597808</v>
      </c>
      <c r="G151" s="37">
        <f>DSUM($B$80:$Y$140,G$80,$C$147:$D151)</f>
        <v>13.204886012389377</v>
      </c>
      <c r="H151" s="37">
        <f>DSUM($B$80:$Y$140,H$80,$C$147:$D151)</f>
        <v>15.444142729286334</v>
      </c>
      <c r="I151" s="37">
        <f>DSUM($B$80:$Y$140,I$80,$C$147:$D151)</f>
        <v>17.389727216350462</v>
      </c>
      <c r="J151" s="37">
        <f>DSUM($B$80:$Y$140,J$80,$C$147:$D151)</f>
        <v>19.05733914681662</v>
      </c>
      <c r="K151" s="37">
        <f>DSUM($B$80:$Y$140,K$80,$C$147:$D151)</f>
        <v>20.470334614480471</v>
      </c>
      <c r="L151" s="37">
        <f>DSUM($B$80:$Y$140,L$80,$C$147:$D151)</f>
        <v>21.655521463613926</v>
      </c>
      <c r="M151" s="37">
        <f>DSUM($B$80:$Y$140,M$80,$C$147:$D151)</f>
        <v>25.325299004960989</v>
      </c>
      <c r="N151" s="37">
        <f>DSUM($B$80:$Y$140,N$80,$C$147:$D151)</f>
        <v>25.697335978983279</v>
      </c>
      <c r="O151" s="37">
        <f>DSUM($B$80:$Y$140,O$80,$C$147:$D151)</f>
        <v>26.0278244229008</v>
      </c>
      <c r="P151" s="37">
        <f>DSUM($B$80:$Y$140,P$80,$C$147:$D151)</f>
        <v>26.279501452187837</v>
      </c>
      <c r="Q151" s="37">
        <f>DSUM($B$80:$Y$140,Q$80,$C$147:$D151)</f>
        <v>26.429504481247726</v>
      </c>
      <c r="R151" s="37">
        <f>DSUM($B$80:$Y$140,R$80,$C$147:$D151)</f>
        <v>26.489574021456345</v>
      </c>
      <c r="S151" s="37">
        <f>DSUM($B$80:$Y$140,S$80,$C$147:$D151)</f>
        <v>26.52674622126704</v>
      </c>
      <c r="T151" s="37">
        <f>DSUM($B$80:$Y$140,T$80,$C$147:$D151)</f>
        <v>26.55003750691797</v>
      </c>
      <c r="U151" s="37">
        <f>DSUM($B$80:$Y$140,U$80,$C$147:$D151)</f>
        <v>26.538992843082962</v>
      </c>
      <c r="V151" s="37">
        <f>DSUM($B$80:$Y$140,V$80,$C$147:$D151)</f>
        <v>26.526454133787784</v>
      </c>
      <c r="W151" s="37">
        <f>DSUM($B$80:$Y$140,W$80,$C$147:$D151)</f>
        <v>26.487231847916433</v>
      </c>
      <c r="X151" s="37">
        <f>DSUM($B$80:$Y$140,X$80,$C$147:$D151)</f>
        <v>26.42931137379184</v>
      </c>
      <c r="Y151" s="37">
        <f>DSUM($B$80:$Y$140,Y$80,$C$147:$D151)</f>
        <v>226.14271056210819</v>
      </c>
      <c r="Z151" s="1"/>
      <c r="AA151" s="1"/>
      <c r="AB151" s="1"/>
      <c r="AC151" s="1"/>
    </row>
    <row r="152" spans="1:29" customFormat="1">
      <c r="A152" s="1"/>
      <c r="B152" s="1" t="s">
        <v>90</v>
      </c>
      <c r="C152" s="73" t="s">
        <v>91</v>
      </c>
      <c r="D152" s="73" t="s">
        <v>92</v>
      </c>
      <c r="E152" s="37">
        <f>DSUM($B$80:$Y$140,E$80,$C$147:$D152)</f>
        <v>0</v>
      </c>
      <c r="F152" s="37">
        <f>DSUM($B$80:$Y$140,F$80,$C$147:$D152)</f>
        <v>15.841742046321817</v>
      </c>
      <c r="G152" s="37">
        <f>DSUM($B$80:$Y$140,G$80,$C$147:$D152)</f>
        <v>20.303909813761415</v>
      </c>
      <c r="H152" s="37">
        <f>DSUM($B$80:$Y$140,H$80,$C$147:$D152)</f>
        <v>23.747004012914495</v>
      </c>
      <c r="I152" s="37">
        <f>DSUM($B$80:$Y$140,I$80,$C$147:$D152)</f>
        <v>26.738546077218562</v>
      </c>
      <c r="J152" s="37">
        <f>DSUM($B$80:$Y$140,J$80,$C$147:$D152)</f>
        <v>29.302675915883544</v>
      </c>
      <c r="K152" s="37">
        <f>DSUM($B$80:$Y$140,K$80,$C$147:$D152)</f>
        <v>31.475305995066577</v>
      </c>
      <c r="L152" s="37">
        <f>DSUM($B$80:$Y$140,L$80,$C$147:$D152)</f>
        <v>33.297656212606043</v>
      </c>
      <c r="M152" s="37">
        <f>DSUM($B$80:$Y$140,M$80,$C$147:$D152)</f>
        <v>38.940327581837749</v>
      </c>
      <c r="N152" s="37">
        <f>DSUM($B$80:$Y$140,N$80,$C$147:$D152)</f>
        <v>39.512373804792347</v>
      </c>
      <c r="O152" s="37">
        <f>DSUM($B$80:$Y$140,O$80,$C$147:$D152)</f>
        <v>40.020534765325877</v>
      </c>
      <c r="P152" s="37">
        <f>DSUM($B$80:$Y$140,P$80,$C$147:$D152)</f>
        <v>40.40751483467637</v>
      </c>
      <c r="Q152" s="37">
        <f>DSUM($B$80:$Y$140,Q$80,$C$147:$D152)</f>
        <v>40.638160367774141</v>
      </c>
      <c r="R152" s="37">
        <f>DSUM($B$80:$Y$140,R$80,$C$147:$D152)</f>
        <v>40.730523643443895</v>
      </c>
      <c r="S152" s="37">
        <f>DSUM($B$80:$Y$140,S$80,$C$147:$D152)</f>
        <v>40.787679834858778</v>
      </c>
      <c r="T152" s="37">
        <f>DSUM($B$80:$Y$140,T$80,$C$147:$D152)</f>
        <v>40.823492651634226</v>
      </c>
      <c r="U152" s="37">
        <f>DSUM($B$80:$Y$140,U$80,$C$147:$D152)</f>
        <v>40.806510312050335</v>
      </c>
      <c r="V152" s="37">
        <f>DSUM($B$80:$Y$140,V$80,$C$147:$D152)</f>
        <v>40.787230719445638</v>
      </c>
      <c r="W152" s="37">
        <f>DSUM($B$80:$Y$140,W$80,$C$147:$D152)</f>
        <v>40.726922303736934</v>
      </c>
      <c r="X152" s="37">
        <f>DSUM($B$80:$Y$140,X$80,$C$147:$D152)</f>
        <v>40.637863444622717</v>
      </c>
      <c r="Y152" s="37">
        <f>DSUM($B$80:$Y$140,Y$80,$C$147:$D152)</f>
        <v>347.71835182708742</v>
      </c>
      <c r="Z152" s="1"/>
      <c r="AA152" s="1"/>
      <c r="AB152" s="1"/>
      <c r="AC152" s="1"/>
    </row>
    <row r="153" spans="1:29" customFormat="1">
      <c r="A153" s="1"/>
      <c r="B153" s="1" t="s">
        <v>93</v>
      </c>
      <c r="C153" s="73" t="s">
        <v>94</v>
      </c>
      <c r="D153" s="73" t="s">
        <v>95</v>
      </c>
      <c r="E153" s="37">
        <f>DSUM($B$80:$Y$140,E$80,$C$147:$D153)</f>
        <v>0</v>
      </c>
      <c r="F153" s="37">
        <f>DSUM($B$80:$Y$140,F$80,$C$147:$D153)</f>
        <v>15.841742046321817</v>
      </c>
      <c r="G153" s="37">
        <f>DSUM($B$80:$Y$140,G$80,$C$147:$D153)</f>
        <v>20.303909813761415</v>
      </c>
      <c r="H153" s="37">
        <f>DSUM($B$80:$Y$140,H$80,$C$147:$D153)</f>
        <v>23.747004012914495</v>
      </c>
      <c r="I153" s="37">
        <f>DSUM($B$80:$Y$140,I$80,$C$147:$D153)</f>
        <v>26.738546077218562</v>
      </c>
      <c r="J153" s="37">
        <f>DSUM($B$80:$Y$140,J$80,$C$147:$D153)</f>
        <v>29.302675915883544</v>
      </c>
      <c r="K153" s="37">
        <f>DSUM($B$80:$Y$140,K$80,$C$147:$D153)</f>
        <v>31.475305995066577</v>
      </c>
      <c r="L153" s="37">
        <f>DSUM($B$80:$Y$140,L$80,$C$147:$D153)</f>
        <v>33.297656212606043</v>
      </c>
      <c r="M153" s="37">
        <f>DSUM($B$80:$Y$140,M$80,$C$147:$D153)</f>
        <v>38.940327581837749</v>
      </c>
      <c r="N153" s="37">
        <f>DSUM($B$80:$Y$140,N$80,$C$147:$D153)</f>
        <v>39.512373804792347</v>
      </c>
      <c r="O153" s="37">
        <f>DSUM($B$80:$Y$140,O$80,$C$147:$D153)</f>
        <v>40.020534765325877</v>
      </c>
      <c r="P153" s="37">
        <f>DSUM($B$80:$Y$140,P$80,$C$147:$D153)</f>
        <v>40.40751483467637</v>
      </c>
      <c r="Q153" s="37">
        <f>DSUM($B$80:$Y$140,Q$80,$C$147:$D153)</f>
        <v>40.638160367774141</v>
      </c>
      <c r="R153" s="37">
        <f>DSUM($B$80:$Y$140,R$80,$C$147:$D153)</f>
        <v>40.730523643443895</v>
      </c>
      <c r="S153" s="37">
        <f>DSUM($B$80:$Y$140,S$80,$C$147:$D153)</f>
        <v>40.787679834858778</v>
      </c>
      <c r="T153" s="37">
        <f>DSUM($B$80:$Y$140,T$80,$C$147:$D153)</f>
        <v>40.823492651634226</v>
      </c>
      <c r="U153" s="37">
        <f>DSUM($B$80:$Y$140,U$80,$C$147:$D153)</f>
        <v>40.806510312050335</v>
      </c>
      <c r="V153" s="37">
        <f>DSUM($B$80:$Y$140,V$80,$C$147:$D153)</f>
        <v>40.787230719445638</v>
      </c>
      <c r="W153" s="37">
        <f>DSUM($B$80:$Y$140,W$80,$C$147:$D153)</f>
        <v>40.726922303736934</v>
      </c>
      <c r="X153" s="37">
        <f>DSUM($B$80:$Y$140,X$80,$C$147:$D153)</f>
        <v>40.637863444622717</v>
      </c>
      <c r="Y153" s="37">
        <f>DSUM($B$80:$Y$140,Y$80,$C$147:$D153)</f>
        <v>347.71835182708742</v>
      </c>
      <c r="Z153" s="1"/>
      <c r="AA153" s="1"/>
      <c r="AB153" s="1"/>
      <c r="AC153" s="1"/>
    </row>
    <row r="154" spans="1:29" customFormat="1">
      <c r="A154" s="1"/>
      <c r="B154" s="1" t="s">
        <v>96</v>
      </c>
      <c r="C154" s="73" t="s">
        <v>97</v>
      </c>
      <c r="D154" s="73" t="s">
        <v>98</v>
      </c>
      <c r="E154" s="37">
        <f>DSUM($B$80:$Y$140,E$80,$C$147:$D154)</f>
        <v>0</v>
      </c>
      <c r="F154" s="37">
        <f>DSUM($B$80:$Y$140,F$80,$C$147:$D154)</f>
        <v>15.841742046321817</v>
      </c>
      <c r="G154" s="37">
        <f>DSUM($B$80:$Y$140,G$80,$C$147:$D154)</f>
        <v>20.303909813761415</v>
      </c>
      <c r="H154" s="37">
        <f>DSUM($B$80:$Y$140,H$80,$C$147:$D154)</f>
        <v>23.747004012914495</v>
      </c>
      <c r="I154" s="37">
        <f>DSUM($B$80:$Y$140,I$80,$C$147:$D154)</f>
        <v>26.738546077218562</v>
      </c>
      <c r="J154" s="37">
        <f>DSUM($B$80:$Y$140,J$80,$C$147:$D154)</f>
        <v>29.302675915883544</v>
      </c>
      <c r="K154" s="37">
        <f>DSUM($B$80:$Y$140,K$80,$C$147:$D154)</f>
        <v>31.475305995066577</v>
      </c>
      <c r="L154" s="37">
        <f>DSUM($B$80:$Y$140,L$80,$C$147:$D154)</f>
        <v>33.297656212606043</v>
      </c>
      <c r="M154" s="37">
        <f>DSUM($B$80:$Y$140,M$80,$C$147:$D154)</f>
        <v>38.940327581837749</v>
      </c>
      <c r="N154" s="37">
        <f>DSUM($B$80:$Y$140,N$80,$C$147:$D154)</f>
        <v>39.512373804792347</v>
      </c>
      <c r="O154" s="37">
        <f>DSUM($B$80:$Y$140,O$80,$C$147:$D154)</f>
        <v>40.020534765325877</v>
      </c>
      <c r="P154" s="37">
        <f>DSUM($B$80:$Y$140,P$80,$C$147:$D154)</f>
        <v>40.40751483467637</v>
      </c>
      <c r="Q154" s="37">
        <f>DSUM($B$80:$Y$140,Q$80,$C$147:$D154)</f>
        <v>40.638160367774141</v>
      </c>
      <c r="R154" s="37">
        <f>DSUM($B$80:$Y$140,R$80,$C$147:$D154)</f>
        <v>40.730523643443895</v>
      </c>
      <c r="S154" s="37">
        <f>DSUM($B$80:$Y$140,S$80,$C$147:$D154)</f>
        <v>40.787679834858778</v>
      </c>
      <c r="T154" s="37">
        <f>DSUM($B$80:$Y$140,T$80,$C$147:$D154)</f>
        <v>40.823492651634226</v>
      </c>
      <c r="U154" s="37">
        <f>DSUM($B$80:$Y$140,U$80,$C$147:$D154)</f>
        <v>40.806510312050335</v>
      </c>
      <c r="V154" s="37">
        <f>DSUM($B$80:$Y$140,V$80,$C$147:$D154)</f>
        <v>40.787230719445638</v>
      </c>
      <c r="W154" s="37">
        <f>DSUM($B$80:$Y$140,W$80,$C$147:$D154)</f>
        <v>40.726922303736934</v>
      </c>
      <c r="X154" s="37">
        <f>DSUM($B$80:$Y$140,X$80,$C$147:$D154)</f>
        <v>40.637863444622717</v>
      </c>
      <c r="Y154" s="37">
        <f>DSUM($B$80:$Y$140,Y$80,$C$147:$D154)</f>
        <v>347.71835182708742</v>
      </c>
      <c r="Z154" s="1"/>
      <c r="AA154" s="1"/>
      <c r="AB154" s="1"/>
      <c r="AC154" s="1"/>
    </row>
    <row r="155" spans="1:29" customFormat="1">
      <c r="A155" s="1"/>
      <c r="B155" s="1" t="s">
        <v>99</v>
      </c>
      <c r="C155" s="73" t="s">
        <v>100</v>
      </c>
      <c r="D155" s="73" t="s">
        <v>101</v>
      </c>
      <c r="E155" s="37">
        <f>DSUM($B$80:$Y$140,E$80,$C$147:$D155)</f>
        <v>0</v>
      </c>
      <c r="F155" s="37">
        <f>DSUM($B$80:$Y$140,F$80,$C$147:$D155)</f>
        <v>16.873565046934534</v>
      </c>
      <c r="G155" s="37">
        <f>DSUM($B$80:$Y$140,G$80,$C$147:$D155)</f>
        <v>21.626367980732361</v>
      </c>
      <c r="H155" s="37">
        <f>DSUM($B$80:$Y$140,H$80,$C$147:$D155)</f>
        <v>25.293721846377558</v>
      </c>
      <c r="I155" s="37">
        <f>DSUM($B$80:$Y$140,I$80,$C$147:$D155)</f>
        <v>28.480112551710096</v>
      </c>
      <c r="J155" s="37">
        <f>DSUM($B$80:$Y$140,J$80,$C$147:$D155)</f>
        <v>31.211252314937397</v>
      </c>
      <c r="K155" s="37">
        <f>DSUM($B$80:$Y$140,K$80,$C$147:$D155)</f>
        <v>33.525392695258347</v>
      </c>
      <c r="L155" s="37">
        <f>DSUM($B$80:$Y$140,L$80,$C$147:$D155)</f>
        <v>35.46643837344417</v>
      </c>
      <c r="M155" s="37">
        <f>DSUM($B$80:$Y$140,M$80,$C$147:$D155)</f>
        <v>41.476634859967106</v>
      </c>
      <c r="N155" s="37">
        <f>DSUM($B$80:$Y$140,N$80,$C$147:$D155)</f>
        <v>42.08594027124407</v>
      </c>
      <c r="O155" s="37">
        <f>DSUM($B$80:$Y$140,O$80,$C$147:$D155)</f>
        <v>42.627199369946922</v>
      </c>
      <c r="P155" s="37">
        <f>DSUM($B$80:$Y$140,P$80,$C$147:$D155)</f>
        <v>43.039384680941112</v>
      </c>
      <c r="Q155" s="37">
        <f>DSUM($B$80:$Y$140,Q$80,$C$147:$D155)</f>
        <v>43.285052890543966</v>
      </c>
      <c r="R155" s="37">
        <f>DSUM($B$80:$Y$140,R$80,$C$147:$D155)</f>
        <v>43.38343207986572</v>
      </c>
      <c r="S155" s="37">
        <f>DSUM($B$80:$Y$140,S$80,$C$147:$D155)</f>
        <v>43.444311035655687</v>
      </c>
      <c r="T155" s="37">
        <f>DSUM($B$80:$Y$140,T$80,$C$147:$D155)</f>
        <v>43.48245645499199</v>
      </c>
      <c r="U155" s="37">
        <f>DSUM($B$80:$Y$140,U$80,$C$147:$D155)</f>
        <v>43.464368001665328</v>
      </c>
      <c r="V155" s="37">
        <f>DSUM($B$80:$Y$140,V$80,$C$147:$D155)</f>
        <v>43.443832667928504</v>
      </c>
      <c r="W155" s="37">
        <f>DSUM($B$80:$Y$140,W$80,$C$147:$D155)</f>
        <v>43.379596173459483</v>
      </c>
      <c r="X155" s="37">
        <f>DSUM($B$80:$Y$140,X$80,$C$147:$D155)</f>
        <v>43.284736627844133</v>
      </c>
      <c r="Y155" s="37">
        <f>DSUM($B$80:$Y$140,Y$80,$C$147:$D155)</f>
        <v>370.36635304445582</v>
      </c>
      <c r="Z155" s="1"/>
      <c r="AA155" s="1"/>
      <c r="AB155" s="1"/>
      <c r="AC155" s="1"/>
    </row>
    <row r="156" spans="1:29" customFormat="1">
      <c r="A156" s="1"/>
      <c r="B156" s="1" t="s">
        <v>102</v>
      </c>
      <c r="C156" s="73" t="s">
        <v>103</v>
      </c>
      <c r="D156" s="73" t="s">
        <v>104</v>
      </c>
      <c r="E156" s="37">
        <f>DSUM($B$80:$Y$140,E$80,$C$147:$D156)</f>
        <v>0</v>
      </c>
      <c r="F156" s="37">
        <f>DSUM($B$80:$Y$140,F$80,$C$147:$D156)</f>
        <v>16.873565046934534</v>
      </c>
      <c r="G156" s="37">
        <f>DSUM($B$80:$Y$140,G$80,$C$147:$D156)</f>
        <v>21.626367980732361</v>
      </c>
      <c r="H156" s="37">
        <f>DSUM($B$80:$Y$140,H$80,$C$147:$D156)</f>
        <v>25.293721846377558</v>
      </c>
      <c r="I156" s="37">
        <f>DSUM($B$80:$Y$140,I$80,$C$147:$D156)</f>
        <v>28.480112551710096</v>
      </c>
      <c r="J156" s="37">
        <f>DSUM($B$80:$Y$140,J$80,$C$147:$D156)</f>
        <v>31.211252314937397</v>
      </c>
      <c r="K156" s="37">
        <f>DSUM($B$80:$Y$140,K$80,$C$147:$D156)</f>
        <v>33.525392695258347</v>
      </c>
      <c r="L156" s="37">
        <f>DSUM($B$80:$Y$140,L$80,$C$147:$D156)</f>
        <v>35.46643837344417</v>
      </c>
      <c r="M156" s="37">
        <f>DSUM($B$80:$Y$140,M$80,$C$147:$D156)</f>
        <v>41.476634859967106</v>
      </c>
      <c r="N156" s="37">
        <f>DSUM($B$80:$Y$140,N$80,$C$147:$D156)</f>
        <v>42.08594027124407</v>
      </c>
      <c r="O156" s="37">
        <f>DSUM($B$80:$Y$140,O$80,$C$147:$D156)</f>
        <v>42.627199369946922</v>
      </c>
      <c r="P156" s="37">
        <f>DSUM($B$80:$Y$140,P$80,$C$147:$D156)</f>
        <v>43.039384680941112</v>
      </c>
      <c r="Q156" s="37">
        <f>DSUM($B$80:$Y$140,Q$80,$C$147:$D156)</f>
        <v>43.285052890543966</v>
      </c>
      <c r="R156" s="37">
        <f>DSUM($B$80:$Y$140,R$80,$C$147:$D156)</f>
        <v>43.38343207986572</v>
      </c>
      <c r="S156" s="37">
        <f>DSUM($B$80:$Y$140,S$80,$C$147:$D156)</f>
        <v>43.444311035655687</v>
      </c>
      <c r="T156" s="37">
        <f>DSUM($B$80:$Y$140,T$80,$C$147:$D156)</f>
        <v>43.48245645499199</v>
      </c>
      <c r="U156" s="37">
        <f>DSUM($B$80:$Y$140,U$80,$C$147:$D156)</f>
        <v>43.464368001665328</v>
      </c>
      <c r="V156" s="37">
        <f>DSUM($B$80:$Y$140,V$80,$C$147:$D156)</f>
        <v>43.443832667928504</v>
      </c>
      <c r="W156" s="37">
        <f>DSUM($B$80:$Y$140,W$80,$C$147:$D156)</f>
        <v>43.379596173459483</v>
      </c>
      <c r="X156" s="37">
        <f>DSUM($B$80:$Y$140,X$80,$C$147:$D156)</f>
        <v>43.284736627844133</v>
      </c>
      <c r="Y156" s="37">
        <f>DSUM($B$80:$Y$140,Y$80,$C$147:$D156)</f>
        <v>370.36635304445582</v>
      </c>
      <c r="Z156" s="1"/>
      <c r="AA156" s="1"/>
      <c r="AB156" s="1"/>
      <c r="AC156" s="1"/>
    </row>
    <row r="157" spans="1:29" customFormat="1">
      <c r="A157" s="1"/>
      <c r="B157" s="1" t="s">
        <v>105</v>
      </c>
      <c r="C157" s="73" t="s">
        <v>106</v>
      </c>
      <c r="D157" s="73" t="s">
        <v>107</v>
      </c>
      <c r="E157" s="37">
        <f>DSUM($B$80:$Y$140,E$80,$C$147:$D157)</f>
        <v>0</v>
      </c>
      <c r="F157" s="37">
        <f>DSUM($B$80:$Y$140,F$80,$C$147:$D157)</f>
        <v>16.873565046934534</v>
      </c>
      <c r="G157" s="37">
        <f>DSUM($B$80:$Y$140,G$80,$C$147:$D157)</f>
        <v>21.626367980732361</v>
      </c>
      <c r="H157" s="37">
        <f>DSUM($B$80:$Y$140,H$80,$C$147:$D157)</f>
        <v>25.293721846377558</v>
      </c>
      <c r="I157" s="37">
        <f>DSUM($B$80:$Y$140,I$80,$C$147:$D157)</f>
        <v>28.480112551710096</v>
      </c>
      <c r="J157" s="37">
        <f>DSUM($B$80:$Y$140,J$80,$C$147:$D157)</f>
        <v>31.211252314937397</v>
      </c>
      <c r="K157" s="37">
        <f>DSUM($B$80:$Y$140,K$80,$C$147:$D157)</f>
        <v>33.525392695258347</v>
      </c>
      <c r="L157" s="37">
        <f>DSUM($B$80:$Y$140,L$80,$C$147:$D157)</f>
        <v>35.46643837344417</v>
      </c>
      <c r="M157" s="37">
        <f>DSUM($B$80:$Y$140,M$80,$C$147:$D157)</f>
        <v>41.476634859967106</v>
      </c>
      <c r="N157" s="37">
        <f>DSUM($B$80:$Y$140,N$80,$C$147:$D157)</f>
        <v>42.08594027124407</v>
      </c>
      <c r="O157" s="37">
        <f>DSUM($B$80:$Y$140,O$80,$C$147:$D157)</f>
        <v>42.627199369946922</v>
      </c>
      <c r="P157" s="37">
        <f>DSUM($B$80:$Y$140,P$80,$C$147:$D157)</f>
        <v>43.039384680941112</v>
      </c>
      <c r="Q157" s="37">
        <f>DSUM($B$80:$Y$140,Q$80,$C$147:$D157)</f>
        <v>43.285052890543966</v>
      </c>
      <c r="R157" s="37">
        <f>DSUM($B$80:$Y$140,R$80,$C$147:$D157)</f>
        <v>43.38343207986572</v>
      </c>
      <c r="S157" s="37">
        <f>DSUM($B$80:$Y$140,S$80,$C$147:$D157)</f>
        <v>43.444311035655687</v>
      </c>
      <c r="T157" s="37">
        <f>DSUM($B$80:$Y$140,T$80,$C$147:$D157)</f>
        <v>43.48245645499199</v>
      </c>
      <c r="U157" s="37">
        <f>DSUM($B$80:$Y$140,U$80,$C$147:$D157)</f>
        <v>43.464368001665328</v>
      </c>
      <c r="V157" s="37">
        <f>DSUM($B$80:$Y$140,V$80,$C$147:$D157)</f>
        <v>43.443832667928504</v>
      </c>
      <c r="W157" s="37">
        <f>DSUM($B$80:$Y$140,W$80,$C$147:$D157)</f>
        <v>43.379596173459483</v>
      </c>
      <c r="X157" s="37">
        <f>DSUM($B$80:$Y$140,X$80,$C$147:$D157)</f>
        <v>43.284736627844133</v>
      </c>
      <c r="Y157" s="37">
        <f>DSUM($B$80:$Y$140,Y$80,$C$147:$D157)</f>
        <v>370.36635304445582</v>
      </c>
      <c r="Z157" s="1"/>
      <c r="AA157" s="1"/>
      <c r="AB157" s="1"/>
      <c r="AC157" s="1"/>
    </row>
    <row r="158" spans="1:29" customFormat="1">
      <c r="A158" s="1"/>
      <c r="B158" s="1" t="s">
        <v>108</v>
      </c>
      <c r="C158" s="73" t="s">
        <v>109</v>
      </c>
      <c r="D158" s="73" t="s">
        <v>110</v>
      </c>
      <c r="E158" s="37">
        <f>DSUM($B$80:$Y$140,E$80,$C$147:$D158)</f>
        <v>0</v>
      </c>
      <c r="F158" s="37">
        <f>DSUM($B$80:$Y$140,F$80,$C$147:$D158)</f>
        <v>16.873565046934534</v>
      </c>
      <c r="G158" s="37">
        <f>DSUM($B$80:$Y$140,G$80,$C$147:$D158)</f>
        <v>21.626367980732361</v>
      </c>
      <c r="H158" s="37">
        <f>DSUM($B$80:$Y$140,H$80,$C$147:$D158)</f>
        <v>25.293721846377558</v>
      </c>
      <c r="I158" s="37">
        <f>DSUM($B$80:$Y$140,I$80,$C$147:$D158)</f>
        <v>28.480112551710096</v>
      </c>
      <c r="J158" s="37">
        <f>DSUM($B$80:$Y$140,J$80,$C$147:$D158)</f>
        <v>31.211252314937397</v>
      </c>
      <c r="K158" s="37">
        <f>DSUM($B$80:$Y$140,K$80,$C$147:$D158)</f>
        <v>33.525392695258347</v>
      </c>
      <c r="L158" s="37">
        <f>DSUM($B$80:$Y$140,L$80,$C$147:$D158)</f>
        <v>35.46643837344417</v>
      </c>
      <c r="M158" s="37">
        <f>DSUM($B$80:$Y$140,M$80,$C$147:$D158)</f>
        <v>41.476634859967106</v>
      </c>
      <c r="N158" s="37">
        <f>DSUM($B$80:$Y$140,N$80,$C$147:$D158)</f>
        <v>42.08594027124407</v>
      </c>
      <c r="O158" s="37">
        <f>DSUM($B$80:$Y$140,O$80,$C$147:$D158)</f>
        <v>42.627199369946922</v>
      </c>
      <c r="P158" s="37">
        <f>DSUM($B$80:$Y$140,P$80,$C$147:$D158)</f>
        <v>43.039384680941112</v>
      </c>
      <c r="Q158" s="37">
        <f>DSUM($B$80:$Y$140,Q$80,$C$147:$D158)</f>
        <v>43.285052890543966</v>
      </c>
      <c r="R158" s="37">
        <f>DSUM($B$80:$Y$140,R$80,$C$147:$D158)</f>
        <v>43.38343207986572</v>
      </c>
      <c r="S158" s="37">
        <f>DSUM($B$80:$Y$140,S$80,$C$147:$D158)</f>
        <v>43.444311035655687</v>
      </c>
      <c r="T158" s="37">
        <f>DSUM($B$80:$Y$140,T$80,$C$147:$D158)</f>
        <v>43.48245645499199</v>
      </c>
      <c r="U158" s="37">
        <f>DSUM($B$80:$Y$140,U$80,$C$147:$D158)</f>
        <v>43.464368001665328</v>
      </c>
      <c r="V158" s="37">
        <f>DSUM($B$80:$Y$140,V$80,$C$147:$D158)</f>
        <v>43.443832667928504</v>
      </c>
      <c r="W158" s="37">
        <f>DSUM($B$80:$Y$140,W$80,$C$147:$D158)</f>
        <v>43.379596173459483</v>
      </c>
      <c r="X158" s="37">
        <f>DSUM($B$80:$Y$140,X$80,$C$147:$D158)</f>
        <v>43.284736627844133</v>
      </c>
      <c r="Y158" s="37">
        <f>DSUM($B$80:$Y$140,Y$80,$C$147:$D158)</f>
        <v>370.36635304445582</v>
      </c>
      <c r="Z158" s="1"/>
      <c r="AA158" s="1"/>
      <c r="AB158" s="1"/>
      <c r="AC158" s="1"/>
    </row>
    <row r="159" spans="1:29" customFormat="1">
      <c r="A159" s="1"/>
      <c r="B159" s="1" t="s">
        <v>111</v>
      </c>
      <c r="C159" s="73" t="s">
        <v>112</v>
      </c>
      <c r="D159" s="73" t="s">
        <v>113</v>
      </c>
      <c r="E159" s="37">
        <f>DSUM($B$80:$Y$140,E$80,$C$147:$D159)</f>
        <v>0</v>
      </c>
      <c r="F159" s="37">
        <f>DSUM($B$80:$Y$140,F$80,$C$147:$D159)</f>
        <v>16.873565046934534</v>
      </c>
      <c r="G159" s="37">
        <f>DSUM($B$80:$Y$140,G$80,$C$147:$D159)</f>
        <v>21.626367980732361</v>
      </c>
      <c r="H159" s="37">
        <f>DSUM($B$80:$Y$140,H$80,$C$147:$D159)</f>
        <v>25.293721846377558</v>
      </c>
      <c r="I159" s="37">
        <f>DSUM($B$80:$Y$140,I$80,$C$147:$D159)</f>
        <v>28.480112551710096</v>
      </c>
      <c r="J159" s="37">
        <f>DSUM($B$80:$Y$140,J$80,$C$147:$D159)</f>
        <v>31.211252314937397</v>
      </c>
      <c r="K159" s="37">
        <f>DSUM($B$80:$Y$140,K$80,$C$147:$D159)</f>
        <v>33.525392695258347</v>
      </c>
      <c r="L159" s="37">
        <f>DSUM($B$80:$Y$140,L$80,$C$147:$D159)</f>
        <v>35.46643837344417</v>
      </c>
      <c r="M159" s="37">
        <f>DSUM($B$80:$Y$140,M$80,$C$147:$D159)</f>
        <v>41.476634859967106</v>
      </c>
      <c r="N159" s="37">
        <f>DSUM($B$80:$Y$140,N$80,$C$147:$D159)</f>
        <v>42.08594027124407</v>
      </c>
      <c r="O159" s="37">
        <f>DSUM($B$80:$Y$140,O$80,$C$147:$D159)</f>
        <v>42.627199369946922</v>
      </c>
      <c r="P159" s="37">
        <f>DSUM($B$80:$Y$140,P$80,$C$147:$D159)</f>
        <v>43.039384680941112</v>
      </c>
      <c r="Q159" s="37">
        <f>DSUM($B$80:$Y$140,Q$80,$C$147:$D159)</f>
        <v>43.285052890543966</v>
      </c>
      <c r="R159" s="37">
        <f>DSUM($B$80:$Y$140,R$80,$C$147:$D159)</f>
        <v>43.38343207986572</v>
      </c>
      <c r="S159" s="37">
        <f>DSUM($B$80:$Y$140,S$80,$C$147:$D159)</f>
        <v>43.444311035655687</v>
      </c>
      <c r="T159" s="37">
        <f>DSUM($B$80:$Y$140,T$80,$C$147:$D159)</f>
        <v>43.48245645499199</v>
      </c>
      <c r="U159" s="37">
        <f>DSUM($B$80:$Y$140,U$80,$C$147:$D159)</f>
        <v>43.464368001665328</v>
      </c>
      <c r="V159" s="37">
        <f>DSUM($B$80:$Y$140,V$80,$C$147:$D159)</f>
        <v>43.443832667928504</v>
      </c>
      <c r="W159" s="37">
        <f>DSUM($B$80:$Y$140,W$80,$C$147:$D159)</f>
        <v>43.379596173459483</v>
      </c>
      <c r="X159" s="37">
        <f>DSUM($B$80:$Y$140,X$80,$C$147:$D159)</f>
        <v>43.284736627844133</v>
      </c>
      <c r="Y159" s="37">
        <f>DSUM($B$80:$Y$140,Y$80,$C$147:$D159)</f>
        <v>370.36635304445582</v>
      </c>
      <c r="Z159" s="1"/>
      <c r="AA159" s="1"/>
      <c r="AB159" s="1"/>
      <c r="AC159" s="1"/>
    </row>
    <row r="160" spans="1:29" customFormat="1">
      <c r="A160" s="1"/>
      <c r="B160" s="1" t="s">
        <v>114</v>
      </c>
      <c r="C160" s="73" t="s">
        <v>115</v>
      </c>
      <c r="D160" s="73" t="s">
        <v>116</v>
      </c>
      <c r="E160" s="37">
        <f>DSUM($B$80:$Y$140,E$80,$C$147:$D160)</f>
        <v>0</v>
      </c>
      <c r="F160" s="37">
        <f>DSUM($B$80:$Y$140,F$80,$C$147:$D160)</f>
        <v>16.873565046934534</v>
      </c>
      <c r="G160" s="37">
        <f>DSUM($B$80:$Y$140,G$80,$C$147:$D160)</f>
        <v>21.626367980732361</v>
      </c>
      <c r="H160" s="37">
        <f>DSUM($B$80:$Y$140,H$80,$C$147:$D160)</f>
        <v>25.293721846377558</v>
      </c>
      <c r="I160" s="37">
        <f>DSUM($B$80:$Y$140,I$80,$C$147:$D160)</f>
        <v>28.480112551710096</v>
      </c>
      <c r="J160" s="37">
        <f>DSUM($B$80:$Y$140,J$80,$C$147:$D160)</f>
        <v>31.211252314937397</v>
      </c>
      <c r="K160" s="37">
        <f>DSUM($B$80:$Y$140,K$80,$C$147:$D160)</f>
        <v>33.525392695258347</v>
      </c>
      <c r="L160" s="37">
        <f>DSUM($B$80:$Y$140,L$80,$C$147:$D160)</f>
        <v>35.46643837344417</v>
      </c>
      <c r="M160" s="37">
        <f>DSUM($B$80:$Y$140,M$80,$C$147:$D160)</f>
        <v>41.476634859967106</v>
      </c>
      <c r="N160" s="37">
        <f>DSUM($B$80:$Y$140,N$80,$C$147:$D160)</f>
        <v>42.08594027124407</v>
      </c>
      <c r="O160" s="37">
        <f>DSUM($B$80:$Y$140,O$80,$C$147:$D160)</f>
        <v>42.627199369946922</v>
      </c>
      <c r="P160" s="37">
        <f>DSUM($B$80:$Y$140,P$80,$C$147:$D160)</f>
        <v>43.039384680941112</v>
      </c>
      <c r="Q160" s="37">
        <f>DSUM($B$80:$Y$140,Q$80,$C$147:$D160)</f>
        <v>43.285052890543966</v>
      </c>
      <c r="R160" s="37">
        <f>DSUM($B$80:$Y$140,R$80,$C$147:$D160)</f>
        <v>43.38343207986572</v>
      </c>
      <c r="S160" s="37">
        <f>DSUM($B$80:$Y$140,S$80,$C$147:$D160)</f>
        <v>43.444311035655687</v>
      </c>
      <c r="T160" s="37">
        <f>DSUM($B$80:$Y$140,T$80,$C$147:$D160)</f>
        <v>43.48245645499199</v>
      </c>
      <c r="U160" s="37">
        <f>DSUM($B$80:$Y$140,U$80,$C$147:$D160)</f>
        <v>43.464368001665328</v>
      </c>
      <c r="V160" s="37">
        <f>DSUM($B$80:$Y$140,V$80,$C$147:$D160)</f>
        <v>43.443832667928504</v>
      </c>
      <c r="W160" s="37">
        <f>DSUM($B$80:$Y$140,W$80,$C$147:$D160)</f>
        <v>43.379596173459483</v>
      </c>
      <c r="X160" s="37">
        <f>DSUM($B$80:$Y$140,X$80,$C$147:$D160)</f>
        <v>43.284736627844133</v>
      </c>
      <c r="Y160" s="37">
        <f>DSUM($B$80:$Y$140,Y$80,$C$147:$D160)</f>
        <v>370.36635304445582</v>
      </c>
      <c r="Z160" s="1"/>
      <c r="AA160" s="1"/>
      <c r="AB160" s="1"/>
      <c r="AC160" s="1"/>
    </row>
    <row r="161" spans="1:29" customFormat="1">
      <c r="A161" s="1"/>
      <c r="B161" s="1" t="s">
        <v>117</v>
      </c>
      <c r="C161" s="73" t="s">
        <v>118</v>
      </c>
      <c r="D161" s="73" t="s">
        <v>119</v>
      </c>
      <c r="E161" s="37">
        <f>DSUM($B$80:$Y$140,E$80,$C$147:$D161)</f>
        <v>0</v>
      </c>
      <c r="F161" s="37">
        <f>DSUM($B$80:$Y$140,F$80,$C$147:$D161)</f>
        <v>16.873565046934534</v>
      </c>
      <c r="G161" s="37">
        <f>DSUM($B$80:$Y$140,G$80,$C$147:$D161)</f>
        <v>21.626367980732361</v>
      </c>
      <c r="H161" s="37">
        <f>DSUM($B$80:$Y$140,H$80,$C$147:$D161)</f>
        <v>25.293721846377558</v>
      </c>
      <c r="I161" s="37">
        <f>DSUM($B$80:$Y$140,I$80,$C$147:$D161)</f>
        <v>28.480112551710096</v>
      </c>
      <c r="J161" s="37">
        <f>DSUM($B$80:$Y$140,J$80,$C$147:$D161)</f>
        <v>31.211252314937397</v>
      </c>
      <c r="K161" s="37">
        <f>DSUM($B$80:$Y$140,K$80,$C$147:$D161)</f>
        <v>33.525392695258347</v>
      </c>
      <c r="L161" s="37">
        <f>DSUM($B$80:$Y$140,L$80,$C$147:$D161)</f>
        <v>35.46643837344417</v>
      </c>
      <c r="M161" s="37">
        <f>DSUM($B$80:$Y$140,M$80,$C$147:$D161)</f>
        <v>41.476634859967106</v>
      </c>
      <c r="N161" s="37">
        <f>DSUM($B$80:$Y$140,N$80,$C$147:$D161)</f>
        <v>42.08594027124407</v>
      </c>
      <c r="O161" s="37">
        <f>DSUM($B$80:$Y$140,O$80,$C$147:$D161)</f>
        <v>42.627199369946922</v>
      </c>
      <c r="P161" s="37">
        <f>DSUM($B$80:$Y$140,P$80,$C$147:$D161)</f>
        <v>43.039384680941112</v>
      </c>
      <c r="Q161" s="37">
        <f>DSUM($B$80:$Y$140,Q$80,$C$147:$D161)</f>
        <v>43.285052890543966</v>
      </c>
      <c r="R161" s="37">
        <f>DSUM($B$80:$Y$140,R$80,$C$147:$D161)</f>
        <v>43.38343207986572</v>
      </c>
      <c r="S161" s="37">
        <f>DSUM($B$80:$Y$140,S$80,$C$147:$D161)</f>
        <v>43.444311035655687</v>
      </c>
      <c r="T161" s="37">
        <f>DSUM($B$80:$Y$140,T$80,$C$147:$D161)</f>
        <v>43.48245645499199</v>
      </c>
      <c r="U161" s="37">
        <f>DSUM($B$80:$Y$140,U$80,$C$147:$D161)</f>
        <v>43.464368001665328</v>
      </c>
      <c r="V161" s="37">
        <f>DSUM($B$80:$Y$140,V$80,$C$147:$D161)</f>
        <v>43.443832667928504</v>
      </c>
      <c r="W161" s="37">
        <f>DSUM($B$80:$Y$140,W$80,$C$147:$D161)</f>
        <v>43.379596173459483</v>
      </c>
      <c r="X161" s="37">
        <f>DSUM($B$80:$Y$140,X$80,$C$147:$D161)</f>
        <v>43.284736627844133</v>
      </c>
      <c r="Y161" s="37">
        <f>DSUM($B$80:$Y$140,Y$80,$C$147:$D161)</f>
        <v>370.36635304445582</v>
      </c>
      <c r="Z161" s="1"/>
      <c r="AA161" s="1"/>
      <c r="AB161" s="1"/>
      <c r="AC161" s="1"/>
    </row>
    <row r="162" spans="1:29" customFormat="1">
      <c r="A162" s="1"/>
      <c r="B162" s="1" t="s">
        <v>120</v>
      </c>
      <c r="C162" s="73" t="s">
        <v>121</v>
      </c>
      <c r="D162" s="73" t="s">
        <v>122</v>
      </c>
      <c r="E162" s="37">
        <f>DSUM($B$80:$Y$140,E$80,$C$147:$D162)</f>
        <v>0</v>
      </c>
      <c r="F162" s="37">
        <f>DSUM($B$80:$Y$140,F$80,$C$147:$D162)</f>
        <v>16.873565046934534</v>
      </c>
      <c r="G162" s="37">
        <f>DSUM($B$80:$Y$140,G$80,$C$147:$D162)</f>
        <v>21.626367980732361</v>
      </c>
      <c r="H162" s="37">
        <f>DSUM($B$80:$Y$140,H$80,$C$147:$D162)</f>
        <v>25.293721846377558</v>
      </c>
      <c r="I162" s="37">
        <f>DSUM($B$80:$Y$140,I$80,$C$147:$D162)</f>
        <v>28.480112551710096</v>
      </c>
      <c r="J162" s="37">
        <f>DSUM($B$80:$Y$140,J$80,$C$147:$D162)</f>
        <v>31.211252314937397</v>
      </c>
      <c r="K162" s="37">
        <f>DSUM($B$80:$Y$140,K$80,$C$147:$D162)</f>
        <v>33.525392695258347</v>
      </c>
      <c r="L162" s="37">
        <f>DSUM($B$80:$Y$140,L$80,$C$147:$D162)</f>
        <v>35.46643837344417</v>
      </c>
      <c r="M162" s="37">
        <f>DSUM($B$80:$Y$140,M$80,$C$147:$D162)</f>
        <v>41.476634859967106</v>
      </c>
      <c r="N162" s="37">
        <f>DSUM($B$80:$Y$140,N$80,$C$147:$D162)</f>
        <v>42.08594027124407</v>
      </c>
      <c r="O162" s="37">
        <f>DSUM($B$80:$Y$140,O$80,$C$147:$D162)</f>
        <v>42.627199369946922</v>
      </c>
      <c r="P162" s="37">
        <f>DSUM($B$80:$Y$140,P$80,$C$147:$D162)</f>
        <v>43.039384680941112</v>
      </c>
      <c r="Q162" s="37">
        <f>DSUM($B$80:$Y$140,Q$80,$C$147:$D162)</f>
        <v>43.285052890543966</v>
      </c>
      <c r="R162" s="37">
        <f>DSUM($B$80:$Y$140,R$80,$C$147:$D162)</f>
        <v>43.38343207986572</v>
      </c>
      <c r="S162" s="37">
        <f>DSUM($B$80:$Y$140,S$80,$C$147:$D162)</f>
        <v>43.444311035655687</v>
      </c>
      <c r="T162" s="37">
        <f>DSUM($B$80:$Y$140,T$80,$C$147:$D162)</f>
        <v>43.48245645499199</v>
      </c>
      <c r="U162" s="37">
        <f>DSUM($B$80:$Y$140,U$80,$C$147:$D162)</f>
        <v>43.464368001665328</v>
      </c>
      <c r="V162" s="37">
        <f>DSUM($B$80:$Y$140,V$80,$C$147:$D162)</f>
        <v>43.443832667928504</v>
      </c>
      <c r="W162" s="37">
        <f>DSUM($B$80:$Y$140,W$80,$C$147:$D162)</f>
        <v>43.379596173459483</v>
      </c>
      <c r="X162" s="37">
        <f>DSUM($B$80:$Y$140,X$80,$C$147:$D162)</f>
        <v>43.284736627844133</v>
      </c>
      <c r="Y162" s="37">
        <f>DSUM($B$80:$Y$140,Y$80,$C$147:$D162)</f>
        <v>370.36635304445582</v>
      </c>
      <c r="Z162" s="1"/>
      <c r="AA162" s="1"/>
      <c r="AB162" s="1"/>
      <c r="AC162" s="1"/>
    </row>
    <row r="163" spans="1:29" customFormat="1">
      <c r="A163" s="1"/>
      <c r="B163" s="1" t="s">
        <v>123</v>
      </c>
      <c r="C163" s="73" t="s">
        <v>124</v>
      </c>
      <c r="D163" s="73" t="s">
        <v>125</v>
      </c>
      <c r="E163" s="37">
        <f>DSUM($B$80:$Y$140,E$80,$C$147:$D163)</f>
        <v>0</v>
      </c>
      <c r="F163" s="37">
        <f>DSUM($B$80:$Y$140,F$80,$C$147:$D163)</f>
        <v>16.873565046934534</v>
      </c>
      <c r="G163" s="37">
        <f>DSUM($B$80:$Y$140,G$80,$C$147:$D163)</f>
        <v>21.626367980732361</v>
      </c>
      <c r="H163" s="37">
        <f>DSUM($B$80:$Y$140,H$80,$C$147:$D163)</f>
        <v>25.293721846377558</v>
      </c>
      <c r="I163" s="37">
        <f>DSUM($B$80:$Y$140,I$80,$C$147:$D163)</f>
        <v>28.480112551710096</v>
      </c>
      <c r="J163" s="37">
        <f>DSUM($B$80:$Y$140,J$80,$C$147:$D163)</f>
        <v>31.211252314937397</v>
      </c>
      <c r="K163" s="37">
        <f>DSUM($B$80:$Y$140,K$80,$C$147:$D163)</f>
        <v>33.525392695258347</v>
      </c>
      <c r="L163" s="37">
        <f>DSUM($B$80:$Y$140,L$80,$C$147:$D163)</f>
        <v>35.46643837344417</v>
      </c>
      <c r="M163" s="37">
        <f>DSUM($B$80:$Y$140,M$80,$C$147:$D163)</f>
        <v>41.476634859967106</v>
      </c>
      <c r="N163" s="37">
        <f>DSUM($B$80:$Y$140,N$80,$C$147:$D163)</f>
        <v>42.08594027124407</v>
      </c>
      <c r="O163" s="37">
        <f>DSUM($B$80:$Y$140,O$80,$C$147:$D163)</f>
        <v>42.627199369946922</v>
      </c>
      <c r="P163" s="37">
        <f>DSUM($B$80:$Y$140,P$80,$C$147:$D163)</f>
        <v>43.039384680941112</v>
      </c>
      <c r="Q163" s="37">
        <f>DSUM($B$80:$Y$140,Q$80,$C$147:$D163)</f>
        <v>43.285052890543966</v>
      </c>
      <c r="R163" s="37">
        <f>DSUM($B$80:$Y$140,R$80,$C$147:$D163)</f>
        <v>43.38343207986572</v>
      </c>
      <c r="S163" s="37">
        <f>DSUM($B$80:$Y$140,S$80,$C$147:$D163)</f>
        <v>43.444311035655687</v>
      </c>
      <c r="T163" s="37">
        <f>DSUM($B$80:$Y$140,T$80,$C$147:$D163)</f>
        <v>43.48245645499199</v>
      </c>
      <c r="U163" s="37">
        <f>DSUM($B$80:$Y$140,U$80,$C$147:$D163)</f>
        <v>43.464368001665328</v>
      </c>
      <c r="V163" s="37">
        <f>DSUM($B$80:$Y$140,V$80,$C$147:$D163)</f>
        <v>43.443832667928504</v>
      </c>
      <c r="W163" s="37">
        <f>DSUM($B$80:$Y$140,W$80,$C$147:$D163)</f>
        <v>43.379596173459483</v>
      </c>
      <c r="X163" s="37">
        <f>DSUM($B$80:$Y$140,X$80,$C$147:$D163)</f>
        <v>43.284736627844133</v>
      </c>
      <c r="Y163" s="37">
        <f>DSUM($B$80:$Y$140,Y$80,$C$147:$D163)</f>
        <v>370.36635304445582</v>
      </c>
      <c r="Z163" s="1"/>
      <c r="AA163" s="1"/>
      <c r="AB163" s="1"/>
      <c r="AC163" s="1"/>
    </row>
    <row r="164" spans="1:29" customFormat="1">
      <c r="A164" s="1"/>
      <c r="B164" s="1" t="s">
        <v>126</v>
      </c>
      <c r="C164" s="73" t="s">
        <v>127</v>
      </c>
      <c r="D164" s="73" t="s">
        <v>128</v>
      </c>
      <c r="E164" s="37">
        <f>DSUM($B$80:$Y$140,E$80,$C$147:$D164)</f>
        <v>0</v>
      </c>
      <c r="F164" s="37">
        <f>DSUM($B$80:$Y$140,F$80,$C$147:$D164)</f>
        <v>16.873565046934534</v>
      </c>
      <c r="G164" s="37">
        <f>DSUM($B$80:$Y$140,G$80,$C$147:$D164)</f>
        <v>21.626367980732361</v>
      </c>
      <c r="H164" s="37">
        <f>DSUM($B$80:$Y$140,H$80,$C$147:$D164)</f>
        <v>25.293721846377558</v>
      </c>
      <c r="I164" s="37">
        <f>DSUM($B$80:$Y$140,I$80,$C$147:$D164)</f>
        <v>28.480112551710096</v>
      </c>
      <c r="J164" s="37">
        <f>DSUM($B$80:$Y$140,J$80,$C$147:$D164)</f>
        <v>31.211252314937397</v>
      </c>
      <c r="K164" s="37">
        <f>DSUM($B$80:$Y$140,K$80,$C$147:$D164)</f>
        <v>33.525392695258347</v>
      </c>
      <c r="L164" s="37">
        <f>DSUM($B$80:$Y$140,L$80,$C$147:$D164)</f>
        <v>35.46643837344417</v>
      </c>
      <c r="M164" s="37">
        <f>DSUM($B$80:$Y$140,M$80,$C$147:$D164)</f>
        <v>41.476634859967106</v>
      </c>
      <c r="N164" s="37">
        <f>DSUM($B$80:$Y$140,N$80,$C$147:$D164)</f>
        <v>42.08594027124407</v>
      </c>
      <c r="O164" s="37">
        <f>DSUM($B$80:$Y$140,O$80,$C$147:$D164)</f>
        <v>42.627199369946922</v>
      </c>
      <c r="P164" s="37">
        <f>DSUM($B$80:$Y$140,P$80,$C$147:$D164)</f>
        <v>43.039384680941112</v>
      </c>
      <c r="Q164" s="37">
        <f>DSUM($B$80:$Y$140,Q$80,$C$147:$D164)</f>
        <v>43.285052890543966</v>
      </c>
      <c r="R164" s="37">
        <f>DSUM($B$80:$Y$140,R$80,$C$147:$D164)</f>
        <v>43.38343207986572</v>
      </c>
      <c r="S164" s="37">
        <f>DSUM($B$80:$Y$140,S$80,$C$147:$D164)</f>
        <v>43.444311035655687</v>
      </c>
      <c r="T164" s="37">
        <f>DSUM($B$80:$Y$140,T$80,$C$147:$D164)</f>
        <v>43.48245645499199</v>
      </c>
      <c r="U164" s="37">
        <f>DSUM($B$80:$Y$140,U$80,$C$147:$D164)</f>
        <v>43.464368001665328</v>
      </c>
      <c r="V164" s="37">
        <f>DSUM($B$80:$Y$140,V$80,$C$147:$D164)</f>
        <v>43.443832667928504</v>
      </c>
      <c r="W164" s="37">
        <f>DSUM($B$80:$Y$140,W$80,$C$147:$D164)</f>
        <v>43.379596173459483</v>
      </c>
      <c r="X164" s="37">
        <f>DSUM($B$80:$Y$140,X$80,$C$147:$D164)</f>
        <v>43.284736627844133</v>
      </c>
      <c r="Y164" s="37">
        <f>DSUM($B$80:$Y$140,Y$80,$C$147:$D164)</f>
        <v>370.36635304445582</v>
      </c>
      <c r="Z164" s="1"/>
      <c r="AA164" s="1"/>
      <c r="AB164" s="1"/>
      <c r="AC164" s="1"/>
    </row>
    <row r="165" spans="1:29" customFormat="1">
      <c r="A165" s="1"/>
      <c r="B165" s="1" t="s">
        <v>129</v>
      </c>
      <c r="C165" s="73" t="s">
        <v>130</v>
      </c>
      <c r="D165" s="73" t="s">
        <v>131</v>
      </c>
      <c r="E165" s="37">
        <f>DSUM($B$80:$Y$140,E$80,$C$147:$D165)</f>
        <v>0</v>
      </c>
      <c r="F165" s="37">
        <f>DSUM($B$80:$Y$140,F$80,$C$147:$D165)</f>
        <v>16.873565046934534</v>
      </c>
      <c r="G165" s="37">
        <f>DSUM($B$80:$Y$140,G$80,$C$147:$D165)</f>
        <v>21.626367980732361</v>
      </c>
      <c r="H165" s="37">
        <f>DSUM($B$80:$Y$140,H$80,$C$147:$D165)</f>
        <v>25.293721846377558</v>
      </c>
      <c r="I165" s="37">
        <f>DSUM($B$80:$Y$140,I$80,$C$147:$D165)</f>
        <v>28.480112551710096</v>
      </c>
      <c r="J165" s="37">
        <f>DSUM($B$80:$Y$140,J$80,$C$147:$D165)</f>
        <v>31.211252314937397</v>
      </c>
      <c r="K165" s="37">
        <f>DSUM($B$80:$Y$140,K$80,$C$147:$D165)</f>
        <v>33.525392695258347</v>
      </c>
      <c r="L165" s="37">
        <f>DSUM($B$80:$Y$140,L$80,$C$147:$D165)</f>
        <v>35.46643837344417</v>
      </c>
      <c r="M165" s="37">
        <f>DSUM($B$80:$Y$140,M$80,$C$147:$D165)</f>
        <v>41.476634859967106</v>
      </c>
      <c r="N165" s="37">
        <f>DSUM($B$80:$Y$140,N$80,$C$147:$D165)</f>
        <v>42.08594027124407</v>
      </c>
      <c r="O165" s="37">
        <f>DSUM($B$80:$Y$140,O$80,$C$147:$D165)</f>
        <v>42.627199369946922</v>
      </c>
      <c r="P165" s="37">
        <f>DSUM($B$80:$Y$140,P$80,$C$147:$D165)</f>
        <v>43.039384680941112</v>
      </c>
      <c r="Q165" s="37">
        <f>DSUM($B$80:$Y$140,Q$80,$C$147:$D165)</f>
        <v>43.285052890543966</v>
      </c>
      <c r="R165" s="37">
        <f>DSUM($B$80:$Y$140,R$80,$C$147:$D165)</f>
        <v>43.38343207986572</v>
      </c>
      <c r="S165" s="37">
        <f>DSUM($B$80:$Y$140,S$80,$C$147:$D165)</f>
        <v>43.444311035655687</v>
      </c>
      <c r="T165" s="37">
        <f>DSUM($B$80:$Y$140,T$80,$C$147:$D165)</f>
        <v>43.48245645499199</v>
      </c>
      <c r="U165" s="37">
        <f>DSUM($B$80:$Y$140,U$80,$C$147:$D165)</f>
        <v>43.464368001665328</v>
      </c>
      <c r="V165" s="37">
        <f>DSUM($B$80:$Y$140,V$80,$C$147:$D165)</f>
        <v>43.443832667928504</v>
      </c>
      <c r="W165" s="37">
        <f>DSUM($B$80:$Y$140,W$80,$C$147:$D165)</f>
        <v>43.379596173459483</v>
      </c>
      <c r="X165" s="37">
        <f>DSUM($B$80:$Y$140,X$80,$C$147:$D165)</f>
        <v>43.284736627844133</v>
      </c>
      <c r="Y165" s="37">
        <f>DSUM($B$80:$Y$140,Y$80,$C$147:$D165)</f>
        <v>370.36635304445582</v>
      </c>
      <c r="Z165" s="1"/>
      <c r="AA165" s="1"/>
      <c r="AB165" s="1"/>
      <c r="AC165" s="1"/>
    </row>
    <row r="166" spans="1:29" customFormat="1">
      <c r="A166" s="1"/>
      <c r="B166" s="1" t="s">
        <v>132</v>
      </c>
      <c r="C166" s="73" t="s">
        <v>133</v>
      </c>
      <c r="D166" s="73" t="s">
        <v>134</v>
      </c>
      <c r="E166" s="37">
        <f>DSUM($B$80:$Y$140,E$80,$C$147:$D166)</f>
        <v>0</v>
      </c>
      <c r="F166" s="37">
        <f>DSUM($B$80:$Y$140,F$80,$C$147:$D166)</f>
        <v>16.873565046934534</v>
      </c>
      <c r="G166" s="37">
        <f>DSUM($B$80:$Y$140,G$80,$C$147:$D166)</f>
        <v>21.626367980732361</v>
      </c>
      <c r="H166" s="37">
        <f>DSUM($B$80:$Y$140,H$80,$C$147:$D166)</f>
        <v>25.293721846377558</v>
      </c>
      <c r="I166" s="37">
        <f>DSUM($B$80:$Y$140,I$80,$C$147:$D166)</f>
        <v>28.480112551710096</v>
      </c>
      <c r="J166" s="37">
        <f>DSUM($B$80:$Y$140,J$80,$C$147:$D166)</f>
        <v>31.211252314937397</v>
      </c>
      <c r="K166" s="37">
        <f>DSUM($B$80:$Y$140,K$80,$C$147:$D166)</f>
        <v>33.525392695258347</v>
      </c>
      <c r="L166" s="37">
        <f>DSUM($B$80:$Y$140,L$80,$C$147:$D166)</f>
        <v>35.46643837344417</v>
      </c>
      <c r="M166" s="37">
        <f>DSUM($B$80:$Y$140,M$80,$C$147:$D166)</f>
        <v>41.476634859967106</v>
      </c>
      <c r="N166" s="37">
        <f>DSUM($B$80:$Y$140,N$80,$C$147:$D166)</f>
        <v>42.08594027124407</v>
      </c>
      <c r="O166" s="37">
        <f>DSUM($B$80:$Y$140,O$80,$C$147:$D166)</f>
        <v>42.627199369946922</v>
      </c>
      <c r="P166" s="37">
        <f>DSUM($B$80:$Y$140,P$80,$C$147:$D166)</f>
        <v>43.039384680941112</v>
      </c>
      <c r="Q166" s="37">
        <f>DSUM($B$80:$Y$140,Q$80,$C$147:$D166)</f>
        <v>43.285052890543966</v>
      </c>
      <c r="R166" s="37">
        <f>DSUM($B$80:$Y$140,R$80,$C$147:$D166)</f>
        <v>43.38343207986572</v>
      </c>
      <c r="S166" s="37">
        <f>DSUM($B$80:$Y$140,S$80,$C$147:$D166)</f>
        <v>43.444311035655687</v>
      </c>
      <c r="T166" s="37">
        <f>DSUM($B$80:$Y$140,T$80,$C$147:$D166)</f>
        <v>43.48245645499199</v>
      </c>
      <c r="U166" s="37">
        <f>DSUM($B$80:$Y$140,U$80,$C$147:$D166)</f>
        <v>43.464368001665328</v>
      </c>
      <c r="V166" s="37">
        <f>DSUM($B$80:$Y$140,V$80,$C$147:$D166)</f>
        <v>43.443832667928504</v>
      </c>
      <c r="W166" s="37">
        <f>DSUM($B$80:$Y$140,W$80,$C$147:$D166)</f>
        <v>43.379596173459483</v>
      </c>
      <c r="X166" s="37">
        <f>DSUM($B$80:$Y$140,X$80,$C$147:$D166)</f>
        <v>43.284736627844133</v>
      </c>
      <c r="Y166" s="37">
        <f>DSUM($B$80:$Y$140,Y$80,$C$147:$D166)</f>
        <v>370.36635304445582</v>
      </c>
      <c r="Z166" s="1"/>
      <c r="AA166" s="1"/>
      <c r="AB166" s="1"/>
      <c r="AC166" s="1"/>
    </row>
    <row r="167" spans="1:29" customFormat="1">
      <c r="A167" s="1"/>
      <c r="B167" s="1" t="s">
        <v>135</v>
      </c>
      <c r="C167" s="73" t="s">
        <v>136</v>
      </c>
      <c r="D167" s="73" t="s">
        <v>137</v>
      </c>
      <c r="E167" s="37">
        <f>DSUM($B$80:$Y$140,E$80,$C$147:$D167)</f>
        <v>0</v>
      </c>
      <c r="F167" s="37">
        <f>DSUM($B$80:$Y$140,F$80,$C$147:$D167)</f>
        <v>16.873565046934534</v>
      </c>
      <c r="G167" s="37">
        <f>DSUM($B$80:$Y$140,G$80,$C$147:$D167)</f>
        <v>21.626367980732361</v>
      </c>
      <c r="H167" s="37">
        <f>DSUM($B$80:$Y$140,H$80,$C$147:$D167)</f>
        <v>25.293721846377558</v>
      </c>
      <c r="I167" s="37">
        <f>DSUM($B$80:$Y$140,I$80,$C$147:$D167)</f>
        <v>28.480112551710096</v>
      </c>
      <c r="J167" s="37">
        <f>DSUM($B$80:$Y$140,J$80,$C$147:$D167)</f>
        <v>31.211252314937397</v>
      </c>
      <c r="K167" s="37">
        <f>DSUM($B$80:$Y$140,K$80,$C$147:$D167)</f>
        <v>33.525392695258347</v>
      </c>
      <c r="L167" s="37">
        <f>DSUM($B$80:$Y$140,L$80,$C$147:$D167)</f>
        <v>35.46643837344417</v>
      </c>
      <c r="M167" s="37">
        <f>DSUM($B$80:$Y$140,M$80,$C$147:$D167)</f>
        <v>41.476634859967106</v>
      </c>
      <c r="N167" s="37">
        <f>DSUM($B$80:$Y$140,N$80,$C$147:$D167)</f>
        <v>42.08594027124407</v>
      </c>
      <c r="O167" s="37">
        <f>DSUM($B$80:$Y$140,O$80,$C$147:$D167)</f>
        <v>42.627199369946922</v>
      </c>
      <c r="P167" s="37">
        <f>DSUM($B$80:$Y$140,P$80,$C$147:$D167)</f>
        <v>43.039384680941112</v>
      </c>
      <c r="Q167" s="37">
        <f>DSUM($B$80:$Y$140,Q$80,$C$147:$D167)</f>
        <v>43.285052890543966</v>
      </c>
      <c r="R167" s="37">
        <f>DSUM($B$80:$Y$140,R$80,$C$147:$D167)</f>
        <v>43.38343207986572</v>
      </c>
      <c r="S167" s="37">
        <f>DSUM($B$80:$Y$140,S$80,$C$147:$D167)</f>
        <v>43.444311035655687</v>
      </c>
      <c r="T167" s="37">
        <f>DSUM($B$80:$Y$140,T$80,$C$147:$D167)</f>
        <v>43.48245645499199</v>
      </c>
      <c r="U167" s="37">
        <f>DSUM($B$80:$Y$140,U$80,$C$147:$D167)</f>
        <v>43.464368001665328</v>
      </c>
      <c r="V167" s="37">
        <f>DSUM($B$80:$Y$140,V$80,$C$147:$D167)</f>
        <v>43.443832667928504</v>
      </c>
      <c r="W167" s="37">
        <f>DSUM($B$80:$Y$140,W$80,$C$147:$D167)</f>
        <v>43.379596173459483</v>
      </c>
      <c r="X167" s="37">
        <f>DSUM($B$80:$Y$140,X$80,$C$147:$D167)</f>
        <v>43.284736627844133</v>
      </c>
      <c r="Y167" s="37">
        <f>DSUM($B$80:$Y$140,Y$80,$C$147:$D167)</f>
        <v>370.36635304445582</v>
      </c>
      <c r="Z167" s="1"/>
      <c r="AA167" s="1"/>
      <c r="AB167" s="1"/>
      <c r="AC167" s="1"/>
    </row>
    <row r="168" spans="1:29" customFormat="1">
      <c r="A168" s="1"/>
      <c r="B168" s="1" t="s">
        <v>138</v>
      </c>
      <c r="C168" s="73" t="s">
        <v>139</v>
      </c>
      <c r="D168" s="73" t="s">
        <v>140</v>
      </c>
      <c r="E168" s="37">
        <f>DSUM($B$80:$Y$140,E$80,$C$147:$D168)</f>
        <v>0</v>
      </c>
      <c r="F168" s="37">
        <f>DSUM($B$80:$Y$140,F$80,$C$147:$D168)</f>
        <v>16.873565046934534</v>
      </c>
      <c r="G168" s="37">
        <f>DSUM($B$80:$Y$140,G$80,$C$147:$D168)</f>
        <v>21.626367980732361</v>
      </c>
      <c r="H168" s="37">
        <f>DSUM($B$80:$Y$140,H$80,$C$147:$D168)</f>
        <v>25.293721846377558</v>
      </c>
      <c r="I168" s="37">
        <f>DSUM($B$80:$Y$140,I$80,$C$147:$D168)</f>
        <v>28.480112551710096</v>
      </c>
      <c r="J168" s="37">
        <f>DSUM($B$80:$Y$140,J$80,$C$147:$D168)</f>
        <v>31.211252314937397</v>
      </c>
      <c r="K168" s="37">
        <f>DSUM($B$80:$Y$140,K$80,$C$147:$D168)</f>
        <v>33.525392695258347</v>
      </c>
      <c r="L168" s="37">
        <f>DSUM($B$80:$Y$140,L$80,$C$147:$D168)</f>
        <v>35.46643837344417</v>
      </c>
      <c r="M168" s="37">
        <f>DSUM($B$80:$Y$140,M$80,$C$147:$D168)</f>
        <v>41.476634859967106</v>
      </c>
      <c r="N168" s="37">
        <f>DSUM($B$80:$Y$140,N$80,$C$147:$D168)</f>
        <v>42.08594027124407</v>
      </c>
      <c r="O168" s="37">
        <f>DSUM($B$80:$Y$140,O$80,$C$147:$D168)</f>
        <v>42.627199369946922</v>
      </c>
      <c r="P168" s="37">
        <f>DSUM($B$80:$Y$140,P$80,$C$147:$D168)</f>
        <v>43.039384680941112</v>
      </c>
      <c r="Q168" s="37">
        <f>DSUM($B$80:$Y$140,Q$80,$C$147:$D168)</f>
        <v>43.285052890543966</v>
      </c>
      <c r="R168" s="37">
        <f>DSUM($B$80:$Y$140,R$80,$C$147:$D168)</f>
        <v>43.38343207986572</v>
      </c>
      <c r="S168" s="37">
        <f>DSUM($B$80:$Y$140,S$80,$C$147:$D168)</f>
        <v>43.444311035655687</v>
      </c>
      <c r="T168" s="37">
        <f>DSUM($B$80:$Y$140,T$80,$C$147:$D168)</f>
        <v>43.48245645499199</v>
      </c>
      <c r="U168" s="37">
        <f>DSUM($B$80:$Y$140,U$80,$C$147:$D168)</f>
        <v>43.464368001665328</v>
      </c>
      <c r="V168" s="37">
        <f>DSUM($B$80:$Y$140,V$80,$C$147:$D168)</f>
        <v>43.443832667928504</v>
      </c>
      <c r="W168" s="37">
        <f>DSUM($B$80:$Y$140,W$80,$C$147:$D168)</f>
        <v>43.379596173459483</v>
      </c>
      <c r="X168" s="37">
        <f>DSUM($B$80:$Y$140,X$80,$C$147:$D168)</f>
        <v>43.284736627844133</v>
      </c>
      <c r="Y168" s="37">
        <f>DSUM($B$80:$Y$140,Y$80,$C$147:$D168)</f>
        <v>370.36635304445582</v>
      </c>
      <c r="Z168" s="1"/>
      <c r="AA168" s="1"/>
      <c r="AB168" s="1"/>
      <c r="AC168" s="1"/>
    </row>
    <row r="169" spans="1:29" customFormat="1">
      <c r="A169" s="1"/>
      <c r="B169" s="1" t="s">
        <v>365</v>
      </c>
      <c r="C169" s="73" t="s">
        <v>142</v>
      </c>
      <c r="D169" s="73" t="s">
        <v>366</v>
      </c>
      <c r="E169" s="37">
        <f>DSUM($B$80:$Y$140,E$80,$C$147:$D169)</f>
        <v>0</v>
      </c>
      <c r="F169" s="37">
        <f>DSUM($B$80:$Y$140,F$80,$C$147:$D169)</f>
        <v>16.873565046934534</v>
      </c>
      <c r="G169" s="37">
        <f>DSUM($B$80:$Y$140,G$80,$C$147:$D169)</f>
        <v>21.626367980732361</v>
      </c>
      <c r="H169" s="37">
        <f>DSUM($B$80:$Y$140,H$80,$C$147:$D169)</f>
        <v>25.293721846377558</v>
      </c>
      <c r="I169" s="37">
        <f>DSUM($B$80:$Y$140,I$80,$C$147:$D169)</f>
        <v>28.480112551710096</v>
      </c>
      <c r="J169" s="37">
        <f>DSUM($B$80:$Y$140,J$80,$C$147:$D169)</f>
        <v>31.211252314937397</v>
      </c>
      <c r="K169" s="37">
        <f>DSUM($B$80:$Y$140,K$80,$C$147:$D169)</f>
        <v>33.525392695258347</v>
      </c>
      <c r="L169" s="37">
        <f>DSUM($B$80:$Y$140,L$80,$C$147:$D169)</f>
        <v>35.46643837344417</v>
      </c>
      <c r="M169" s="37">
        <f>DSUM($B$80:$Y$140,M$80,$C$147:$D169)</f>
        <v>41.476634859967106</v>
      </c>
      <c r="N169" s="37">
        <f>DSUM($B$80:$Y$140,N$80,$C$147:$D169)</f>
        <v>42.08594027124407</v>
      </c>
      <c r="O169" s="37">
        <f>DSUM($B$80:$Y$140,O$80,$C$147:$D169)</f>
        <v>42.627199369946922</v>
      </c>
      <c r="P169" s="37">
        <f>DSUM($B$80:$Y$140,P$80,$C$147:$D169)</f>
        <v>43.039384680941112</v>
      </c>
      <c r="Q169" s="37">
        <f>DSUM($B$80:$Y$140,Q$80,$C$147:$D169)</f>
        <v>43.285052890543966</v>
      </c>
      <c r="R169" s="37">
        <f>DSUM($B$80:$Y$140,R$80,$C$147:$D169)</f>
        <v>43.38343207986572</v>
      </c>
      <c r="S169" s="37">
        <f>DSUM($B$80:$Y$140,S$80,$C$147:$D169)</f>
        <v>43.444311035655687</v>
      </c>
      <c r="T169" s="37">
        <f>DSUM($B$80:$Y$140,T$80,$C$147:$D169)</f>
        <v>43.48245645499199</v>
      </c>
      <c r="U169" s="37">
        <f>DSUM($B$80:$Y$140,U$80,$C$147:$D169)</f>
        <v>43.464368001665328</v>
      </c>
      <c r="V169" s="37">
        <f>DSUM($B$80:$Y$140,V$80,$C$147:$D169)</f>
        <v>43.443832667928504</v>
      </c>
      <c r="W169" s="37">
        <f>DSUM($B$80:$Y$140,W$80,$C$147:$D169)</f>
        <v>43.379596173459483</v>
      </c>
      <c r="X169" s="37">
        <f>DSUM($B$80:$Y$140,X$80,$C$147:$D169)</f>
        <v>43.284736627844133</v>
      </c>
      <c r="Y169" s="37">
        <f>DSUM($B$80:$Y$140,Y$80,$C$147:$D169)</f>
        <v>370.36635304445582</v>
      </c>
      <c r="Z169" s="1"/>
      <c r="AA169" s="1"/>
      <c r="AB169" s="1"/>
      <c r="AC169" s="1"/>
    </row>
    <row r="170" spans="1:29" customFormat="1">
      <c r="A170" s="1"/>
      <c r="B170" s="1" t="s">
        <v>367</v>
      </c>
      <c r="C170" s="73" t="s">
        <v>368</v>
      </c>
      <c r="D170" s="73" t="s">
        <v>369</v>
      </c>
      <c r="E170" s="37">
        <f>DSUM($B$80:$Y$140,E$80,$C$147:$D170)</f>
        <v>0</v>
      </c>
      <c r="F170" s="37">
        <f>DSUM($B$80:$Y$140,F$80,$C$147:$D170)</f>
        <v>16.873565046934534</v>
      </c>
      <c r="G170" s="37">
        <f>DSUM($B$80:$Y$140,G$80,$C$147:$D170)</f>
        <v>21.626367980732361</v>
      </c>
      <c r="H170" s="37">
        <f>DSUM($B$80:$Y$140,H$80,$C$147:$D170)</f>
        <v>25.293721846377558</v>
      </c>
      <c r="I170" s="37">
        <f>DSUM($B$80:$Y$140,I$80,$C$147:$D170)</f>
        <v>28.480112551710096</v>
      </c>
      <c r="J170" s="37">
        <f>DSUM($B$80:$Y$140,J$80,$C$147:$D170)</f>
        <v>31.211252314937397</v>
      </c>
      <c r="K170" s="37">
        <f>DSUM($B$80:$Y$140,K$80,$C$147:$D170)</f>
        <v>33.525392695258347</v>
      </c>
      <c r="L170" s="37">
        <f>DSUM($B$80:$Y$140,L$80,$C$147:$D170)</f>
        <v>35.46643837344417</v>
      </c>
      <c r="M170" s="37">
        <f>DSUM($B$80:$Y$140,M$80,$C$147:$D170)</f>
        <v>41.476634859967106</v>
      </c>
      <c r="N170" s="37">
        <f>DSUM($B$80:$Y$140,N$80,$C$147:$D170)</f>
        <v>42.08594027124407</v>
      </c>
      <c r="O170" s="37">
        <f>DSUM($B$80:$Y$140,O$80,$C$147:$D170)</f>
        <v>42.627199369946922</v>
      </c>
      <c r="P170" s="37">
        <f>DSUM($B$80:$Y$140,P$80,$C$147:$D170)</f>
        <v>43.039384680941112</v>
      </c>
      <c r="Q170" s="37">
        <f>DSUM($B$80:$Y$140,Q$80,$C$147:$D170)</f>
        <v>43.285052890543966</v>
      </c>
      <c r="R170" s="37">
        <f>DSUM($B$80:$Y$140,R$80,$C$147:$D170)</f>
        <v>43.38343207986572</v>
      </c>
      <c r="S170" s="37">
        <f>DSUM($B$80:$Y$140,S$80,$C$147:$D170)</f>
        <v>43.444311035655687</v>
      </c>
      <c r="T170" s="37">
        <f>DSUM($B$80:$Y$140,T$80,$C$147:$D170)</f>
        <v>43.48245645499199</v>
      </c>
      <c r="U170" s="37">
        <f>DSUM($B$80:$Y$140,U$80,$C$147:$D170)</f>
        <v>43.464368001665328</v>
      </c>
      <c r="V170" s="37">
        <f>DSUM($B$80:$Y$140,V$80,$C$147:$D170)</f>
        <v>43.443832667928504</v>
      </c>
      <c r="W170" s="37">
        <f>DSUM($B$80:$Y$140,W$80,$C$147:$D170)</f>
        <v>43.379596173459483</v>
      </c>
      <c r="X170" s="37">
        <f>DSUM($B$80:$Y$140,X$80,$C$147:$D170)</f>
        <v>43.284736627844133</v>
      </c>
      <c r="Y170" s="37">
        <f>DSUM($B$80:$Y$140,Y$80,$C$147:$D170)</f>
        <v>370.36635304445582</v>
      </c>
      <c r="Z170" s="1"/>
      <c r="AA170" s="1"/>
      <c r="AB170" s="1"/>
      <c r="AC170" s="1"/>
    </row>
    <row r="171" spans="1:29" customFormat="1">
      <c r="A171" s="1"/>
      <c r="B171" s="1" t="s">
        <v>370</v>
      </c>
      <c r="C171" s="73" t="s">
        <v>371</v>
      </c>
      <c r="D171" s="73" t="s">
        <v>372</v>
      </c>
      <c r="E171" s="37">
        <f>DSUM($B$80:$Y$140,E$80,$C$147:$D171)</f>
        <v>0</v>
      </c>
      <c r="F171" s="37">
        <f>DSUM($B$80:$Y$140,F$80,$C$147:$D171)</f>
        <v>16.873565046934534</v>
      </c>
      <c r="G171" s="37">
        <f>DSUM($B$80:$Y$140,G$80,$C$147:$D171)</f>
        <v>21.626367980732361</v>
      </c>
      <c r="H171" s="37">
        <f>DSUM($B$80:$Y$140,H$80,$C$147:$D171)</f>
        <v>25.293721846377558</v>
      </c>
      <c r="I171" s="37">
        <f>DSUM($B$80:$Y$140,I$80,$C$147:$D171)</f>
        <v>28.480112551710096</v>
      </c>
      <c r="J171" s="37">
        <f>DSUM($B$80:$Y$140,J$80,$C$147:$D171)</f>
        <v>31.211252314937397</v>
      </c>
      <c r="K171" s="37">
        <f>DSUM($B$80:$Y$140,K$80,$C$147:$D171)</f>
        <v>33.525392695258347</v>
      </c>
      <c r="L171" s="37">
        <f>DSUM($B$80:$Y$140,L$80,$C$147:$D171)</f>
        <v>35.46643837344417</v>
      </c>
      <c r="M171" s="37">
        <f>DSUM($B$80:$Y$140,M$80,$C$147:$D171)</f>
        <v>41.476634859967106</v>
      </c>
      <c r="N171" s="37">
        <f>DSUM($B$80:$Y$140,N$80,$C$147:$D171)</f>
        <v>42.08594027124407</v>
      </c>
      <c r="O171" s="37">
        <f>DSUM($B$80:$Y$140,O$80,$C$147:$D171)</f>
        <v>42.627199369946922</v>
      </c>
      <c r="P171" s="37">
        <f>DSUM($B$80:$Y$140,P$80,$C$147:$D171)</f>
        <v>43.039384680941112</v>
      </c>
      <c r="Q171" s="37">
        <f>DSUM($B$80:$Y$140,Q$80,$C$147:$D171)</f>
        <v>43.285052890543966</v>
      </c>
      <c r="R171" s="37">
        <f>DSUM($B$80:$Y$140,R$80,$C$147:$D171)</f>
        <v>43.38343207986572</v>
      </c>
      <c r="S171" s="37">
        <f>DSUM($B$80:$Y$140,S$80,$C$147:$D171)</f>
        <v>43.444311035655687</v>
      </c>
      <c r="T171" s="37">
        <f>DSUM($B$80:$Y$140,T$80,$C$147:$D171)</f>
        <v>43.48245645499199</v>
      </c>
      <c r="U171" s="37">
        <f>DSUM($B$80:$Y$140,U$80,$C$147:$D171)</f>
        <v>43.464368001665328</v>
      </c>
      <c r="V171" s="37">
        <f>DSUM($B$80:$Y$140,V$80,$C$147:$D171)</f>
        <v>43.443832667928504</v>
      </c>
      <c r="W171" s="37">
        <f>DSUM($B$80:$Y$140,W$80,$C$147:$D171)</f>
        <v>43.379596173459483</v>
      </c>
      <c r="X171" s="37">
        <f>DSUM($B$80:$Y$140,X$80,$C$147:$D171)</f>
        <v>43.284736627844133</v>
      </c>
      <c r="Y171" s="37">
        <f>DSUM($B$80:$Y$140,Y$80,$C$147:$D171)</f>
        <v>370.36635304445582</v>
      </c>
      <c r="Z171" s="1"/>
      <c r="AA171" s="1"/>
      <c r="AB171" s="1"/>
      <c r="AC171" s="1"/>
    </row>
    <row r="172" spans="1:29" customFormat="1">
      <c r="A172" s="1"/>
      <c r="B172" s="1" t="s">
        <v>373</v>
      </c>
      <c r="C172" s="73" t="s">
        <v>374</v>
      </c>
      <c r="D172" s="73" t="s">
        <v>375</v>
      </c>
      <c r="E172" s="37">
        <f>DSUM($B$80:$Y$140,E$80,$C$147:$D172)</f>
        <v>0</v>
      </c>
      <c r="F172" s="37">
        <f>DSUM($B$80:$Y$140,F$80,$C$147:$D172)</f>
        <v>16.873565046934534</v>
      </c>
      <c r="G172" s="37">
        <f>DSUM($B$80:$Y$140,G$80,$C$147:$D172)</f>
        <v>21.626367980732361</v>
      </c>
      <c r="H172" s="37">
        <f>DSUM($B$80:$Y$140,H$80,$C$147:$D172)</f>
        <v>25.293721846377558</v>
      </c>
      <c r="I172" s="37">
        <f>DSUM($B$80:$Y$140,I$80,$C$147:$D172)</f>
        <v>28.480112551710096</v>
      </c>
      <c r="J172" s="37">
        <f>DSUM($B$80:$Y$140,J$80,$C$147:$D172)</f>
        <v>31.211252314937397</v>
      </c>
      <c r="K172" s="37">
        <f>DSUM($B$80:$Y$140,K$80,$C$147:$D172)</f>
        <v>33.525392695258347</v>
      </c>
      <c r="L172" s="37">
        <f>DSUM($B$80:$Y$140,L$80,$C$147:$D172)</f>
        <v>35.46643837344417</v>
      </c>
      <c r="M172" s="37">
        <f>DSUM($B$80:$Y$140,M$80,$C$147:$D172)</f>
        <v>41.476634859967106</v>
      </c>
      <c r="N172" s="37">
        <f>DSUM($B$80:$Y$140,N$80,$C$147:$D172)</f>
        <v>42.08594027124407</v>
      </c>
      <c r="O172" s="37">
        <f>DSUM($B$80:$Y$140,O$80,$C$147:$D172)</f>
        <v>42.627199369946922</v>
      </c>
      <c r="P172" s="37">
        <f>DSUM($B$80:$Y$140,P$80,$C$147:$D172)</f>
        <v>43.039384680941112</v>
      </c>
      <c r="Q172" s="37">
        <f>DSUM($B$80:$Y$140,Q$80,$C$147:$D172)</f>
        <v>43.285052890543966</v>
      </c>
      <c r="R172" s="37">
        <f>DSUM($B$80:$Y$140,R$80,$C$147:$D172)</f>
        <v>43.38343207986572</v>
      </c>
      <c r="S172" s="37">
        <f>DSUM($B$80:$Y$140,S$80,$C$147:$D172)</f>
        <v>43.444311035655687</v>
      </c>
      <c r="T172" s="37">
        <f>DSUM($B$80:$Y$140,T$80,$C$147:$D172)</f>
        <v>43.48245645499199</v>
      </c>
      <c r="U172" s="37">
        <f>DSUM($B$80:$Y$140,U$80,$C$147:$D172)</f>
        <v>43.464368001665328</v>
      </c>
      <c r="V172" s="37">
        <f>DSUM($B$80:$Y$140,V$80,$C$147:$D172)</f>
        <v>43.443832667928504</v>
      </c>
      <c r="W172" s="37">
        <f>DSUM($B$80:$Y$140,W$80,$C$147:$D172)</f>
        <v>43.379596173459483</v>
      </c>
      <c r="X172" s="37">
        <f>DSUM($B$80:$Y$140,X$80,$C$147:$D172)</f>
        <v>43.284736627844133</v>
      </c>
      <c r="Y172" s="37">
        <f>DSUM($B$80:$Y$140,Y$80,$C$147:$D172)</f>
        <v>370.36635304445582</v>
      </c>
      <c r="Z172" s="1"/>
      <c r="AA172" s="1"/>
      <c r="AB172" s="1"/>
      <c r="AC172" s="1"/>
    </row>
    <row r="173" spans="1:29" customFormat="1">
      <c r="A173" s="1"/>
      <c r="B173" s="1" t="s">
        <v>376</v>
      </c>
      <c r="C173" s="73" t="s">
        <v>377</v>
      </c>
      <c r="D173" s="73" t="s">
        <v>378</v>
      </c>
      <c r="E173" s="37">
        <f>DSUM($B$80:$Y$140,E$80,$C$147:$D173)</f>
        <v>0</v>
      </c>
      <c r="F173" s="37">
        <f>DSUM($B$80:$Y$140,F$80,$C$147:$D173)</f>
        <v>16.873565046934534</v>
      </c>
      <c r="G173" s="37">
        <f>DSUM($B$80:$Y$140,G$80,$C$147:$D173)</f>
        <v>21.626367980732361</v>
      </c>
      <c r="H173" s="37">
        <f>DSUM($B$80:$Y$140,H$80,$C$147:$D173)</f>
        <v>25.293721846377558</v>
      </c>
      <c r="I173" s="37">
        <f>DSUM($B$80:$Y$140,I$80,$C$147:$D173)</f>
        <v>28.480112551710096</v>
      </c>
      <c r="J173" s="37">
        <f>DSUM($B$80:$Y$140,J$80,$C$147:$D173)</f>
        <v>31.211252314937397</v>
      </c>
      <c r="K173" s="37">
        <f>DSUM($B$80:$Y$140,K$80,$C$147:$D173)</f>
        <v>33.525392695258347</v>
      </c>
      <c r="L173" s="37">
        <f>DSUM($B$80:$Y$140,L$80,$C$147:$D173)</f>
        <v>35.46643837344417</v>
      </c>
      <c r="M173" s="37">
        <f>DSUM($B$80:$Y$140,M$80,$C$147:$D173)</f>
        <v>41.476634859967106</v>
      </c>
      <c r="N173" s="37">
        <f>DSUM($B$80:$Y$140,N$80,$C$147:$D173)</f>
        <v>42.08594027124407</v>
      </c>
      <c r="O173" s="37">
        <f>DSUM($B$80:$Y$140,O$80,$C$147:$D173)</f>
        <v>42.627199369946922</v>
      </c>
      <c r="P173" s="37">
        <f>DSUM($B$80:$Y$140,P$80,$C$147:$D173)</f>
        <v>43.039384680941112</v>
      </c>
      <c r="Q173" s="37">
        <f>DSUM($B$80:$Y$140,Q$80,$C$147:$D173)</f>
        <v>43.285052890543966</v>
      </c>
      <c r="R173" s="37">
        <f>DSUM($B$80:$Y$140,R$80,$C$147:$D173)</f>
        <v>43.38343207986572</v>
      </c>
      <c r="S173" s="37">
        <f>DSUM($B$80:$Y$140,S$80,$C$147:$D173)</f>
        <v>43.444311035655687</v>
      </c>
      <c r="T173" s="37">
        <f>DSUM($B$80:$Y$140,T$80,$C$147:$D173)</f>
        <v>43.48245645499199</v>
      </c>
      <c r="U173" s="37">
        <f>DSUM($B$80:$Y$140,U$80,$C$147:$D173)</f>
        <v>43.464368001665328</v>
      </c>
      <c r="V173" s="37">
        <f>DSUM($B$80:$Y$140,V$80,$C$147:$D173)</f>
        <v>43.443832667928504</v>
      </c>
      <c r="W173" s="37">
        <f>DSUM($B$80:$Y$140,W$80,$C$147:$D173)</f>
        <v>43.379596173459483</v>
      </c>
      <c r="X173" s="37">
        <f>DSUM($B$80:$Y$140,X$80,$C$147:$D173)</f>
        <v>43.284736627844133</v>
      </c>
      <c r="Y173" s="37">
        <f>DSUM($B$80:$Y$140,Y$80,$C$147:$D173)</f>
        <v>370.36635304445582</v>
      </c>
      <c r="Z173" s="1"/>
      <c r="AA173" s="1"/>
      <c r="AB173" s="1"/>
      <c r="AC173" s="1"/>
    </row>
    <row r="174" spans="1:29" customFormat="1">
      <c r="A174" s="1"/>
      <c r="B174" s="1" t="s">
        <v>379</v>
      </c>
      <c r="C174" s="73" t="s">
        <v>380</v>
      </c>
      <c r="D174" s="73" t="s">
        <v>381</v>
      </c>
      <c r="E174" s="37">
        <f>DSUM($B$80:$Y$140,E$80,$C$147:$D174)</f>
        <v>0</v>
      </c>
      <c r="F174" s="37">
        <f>DSUM($B$80:$Y$140,F$80,$C$147:$D174)</f>
        <v>16.878204904338542</v>
      </c>
      <c r="G174" s="37">
        <f>DSUM($B$80:$Y$140,G$80,$C$147:$D174)</f>
        <v>21.632314753884216</v>
      </c>
      <c r="H174" s="37">
        <f>DSUM($B$80:$Y$140,H$80,$C$147:$D174)</f>
        <v>25.300677060776962</v>
      </c>
      <c r="I174" s="37">
        <f>DSUM($B$80:$Y$140,I$80,$C$147:$D174)</f>
        <v>28.487943953119487</v>
      </c>
      <c r="J174" s="37">
        <f>DSUM($B$80:$Y$140,J$80,$C$147:$D174)</f>
        <v>31.219834719410844</v>
      </c>
      <c r="K174" s="37">
        <f>DSUM($B$80:$Y$140,K$80,$C$147:$D174)</f>
        <v>33.534611437183159</v>
      </c>
      <c r="L174" s="37">
        <f>DSUM($B$80:$Y$140,L$80,$C$147:$D174)</f>
        <v>35.476190860024396</v>
      </c>
      <c r="M174" s="37">
        <f>DSUM($B$80:$Y$140,M$80,$C$147:$D174)</f>
        <v>41.488040017727954</v>
      </c>
      <c r="N174" s="37">
        <f>DSUM($B$80:$Y$140,N$80,$C$147:$D174)</f>
        <v>42.097512974524548</v>
      </c>
      <c r="O174" s="37">
        <f>DSUM($B$80:$Y$140,O$80,$C$147:$D174)</f>
        <v>42.638920907515214</v>
      </c>
      <c r="P174" s="37">
        <f>DSUM($B$80:$Y$140,P$80,$C$147:$D174)</f>
        <v>43.051219560358717</v>
      </c>
      <c r="Q174" s="37">
        <f>DSUM($B$80:$Y$140,Q$80,$C$147:$D174)</f>
        <v>43.296955323288813</v>
      </c>
      <c r="R174" s="37">
        <f>DSUM($B$80:$Y$140,R$80,$C$147:$D174)</f>
        <v>43.395361564712992</v>
      </c>
      <c r="S174" s="37">
        <f>DSUM($B$80:$Y$140,S$80,$C$147:$D174)</f>
        <v>43.456257260870096</v>
      </c>
      <c r="T174" s="37">
        <f>DSUM($B$80:$Y$140,T$80,$C$147:$D174)</f>
        <v>43.494413169353535</v>
      </c>
      <c r="U174" s="37">
        <f>DSUM($B$80:$Y$140,U$80,$C$147:$D174)</f>
        <v>43.476319742102035</v>
      </c>
      <c r="V174" s="37">
        <f>DSUM($B$80:$Y$140,V$80,$C$147:$D174)</f>
        <v>43.45577876160236</v>
      </c>
      <c r="W174" s="37">
        <f>DSUM($B$80:$Y$140,W$80,$C$147:$D174)</f>
        <v>43.391524603517276</v>
      </c>
      <c r="X174" s="37">
        <f>DSUM($B$80:$Y$140,X$80,$C$147:$D174)</f>
        <v>43.296638973623722</v>
      </c>
      <c r="Y174" s="37">
        <f>DSUM($B$80:$Y$140,Y$80,$C$147:$D174)</f>
        <v>370.46819560473205</v>
      </c>
      <c r="Z174" s="1"/>
      <c r="AA174" s="1"/>
      <c r="AB174" s="1"/>
      <c r="AC174" s="1"/>
    </row>
    <row r="175" spans="1:29" customFormat="1">
      <c r="A175" s="1"/>
      <c r="B175" s="1" t="s">
        <v>382</v>
      </c>
      <c r="C175" s="73" t="s">
        <v>383</v>
      </c>
      <c r="D175" s="73" t="s">
        <v>384</v>
      </c>
      <c r="E175" s="37">
        <f>DSUM($B$80:$Y$140,E$80,$C$147:$D175)</f>
        <v>0</v>
      </c>
      <c r="F175" s="37">
        <f>DSUM($B$80:$Y$140,F$80,$C$147:$D175)</f>
        <v>16.878204904338542</v>
      </c>
      <c r="G175" s="37">
        <f>DSUM($B$80:$Y$140,G$80,$C$147:$D175)</f>
        <v>21.632314753884216</v>
      </c>
      <c r="H175" s="37">
        <f>DSUM($B$80:$Y$140,H$80,$C$147:$D175)</f>
        <v>25.300677060776962</v>
      </c>
      <c r="I175" s="37">
        <f>DSUM($B$80:$Y$140,I$80,$C$147:$D175)</f>
        <v>28.487943953119487</v>
      </c>
      <c r="J175" s="37">
        <f>DSUM($B$80:$Y$140,J$80,$C$147:$D175)</f>
        <v>31.219834719410844</v>
      </c>
      <c r="K175" s="37">
        <f>DSUM($B$80:$Y$140,K$80,$C$147:$D175)</f>
        <v>33.534611437183159</v>
      </c>
      <c r="L175" s="37">
        <f>DSUM($B$80:$Y$140,L$80,$C$147:$D175)</f>
        <v>35.476190860024396</v>
      </c>
      <c r="M175" s="37">
        <f>DSUM($B$80:$Y$140,M$80,$C$147:$D175)</f>
        <v>41.488040017727954</v>
      </c>
      <c r="N175" s="37">
        <f>DSUM($B$80:$Y$140,N$80,$C$147:$D175)</f>
        <v>42.097512974524548</v>
      </c>
      <c r="O175" s="37">
        <f>DSUM($B$80:$Y$140,O$80,$C$147:$D175)</f>
        <v>42.638920907515214</v>
      </c>
      <c r="P175" s="37">
        <f>DSUM($B$80:$Y$140,P$80,$C$147:$D175)</f>
        <v>43.051219560358717</v>
      </c>
      <c r="Q175" s="37">
        <f>DSUM($B$80:$Y$140,Q$80,$C$147:$D175)</f>
        <v>43.296955323288813</v>
      </c>
      <c r="R175" s="37">
        <f>DSUM($B$80:$Y$140,R$80,$C$147:$D175)</f>
        <v>43.395361564712992</v>
      </c>
      <c r="S175" s="37">
        <f>DSUM($B$80:$Y$140,S$80,$C$147:$D175)</f>
        <v>43.456257260870096</v>
      </c>
      <c r="T175" s="37">
        <f>DSUM($B$80:$Y$140,T$80,$C$147:$D175)</f>
        <v>43.494413169353535</v>
      </c>
      <c r="U175" s="37">
        <f>DSUM($B$80:$Y$140,U$80,$C$147:$D175)</f>
        <v>43.476319742102035</v>
      </c>
      <c r="V175" s="37">
        <f>DSUM($B$80:$Y$140,V$80,$C$147:$D175)</f>
        <v>43.45577876160236</v>
      </c>
      <c r="W175" s="37">
        <f>DSUM($B$80:$Y$140,W$80,$C$147:$D175)</f>
        <v>43.391524603517276</v>
      </c>
      <c r="X175" s="37">
        <f>DSUM($B$80:$Y$140,X$80,$C$147:$D175)</f>
        <v>43.296638973623722</v>
      </c>
      <c r="Y175" s="37">
        <f>DSUM($B$80:$Y$140,Y$80,$C$147:$D175)</f>
        <v>370.46819560473205</v>
      </c>
      <c r="Z175" s="1"/>
      <c r="AA175" s="1"/>
      <c r="AB175" s="1"/>
      <c r="AC175" s="1"/>
    </row>
    <row r="176" spans="1:29" customFormat="1">
      <c r="A176" s="1"/>
      <c r="B176" s="1" t="s">
        <v>385</v>
      </c>
      <c r="C176" s="73" t="s">
        <v>386</v>
      </c>
      <c r="D176" s="73" t="s">
        <v>387</v>
      </c>
      <c r="E176" s="37">
        <f>DSUM($B$80:$Y$140,E$80,$C$147:$D176)</f>
        <v>0</v>
      </c>
      <c r="F176" s="37">
        <f>DSUM($B$80:$Y$140,F$80,$C$147:$D176)</f>
        <v>16.878204904338542</v>
      </c>
      <c r="G176" s="37">
        <f>DSUM($B$80:$Y$140,G$80,$C$147:$D176)</f>
        <v>21.632314753884216</v>
      </c>
      <c r="H176" s="37">
        <f>DSUM($B$80:$Y$140,H$80,$C$147:$D176)</f>
        <v>25.300677060776962</v>
      </c>
      <c r="I176" s="37">
        <f>DSUM($B$80:$Y$140,I$80,$C$147:$D176)</f>
        <v>28.487943953119487</v>
      </c>
      <c r="J176" s="37">
        <f>DSUM($B$80:$Y$140,J$80,$C$147:$D176)</f>
        <v>31.219834719410844</v>
      </c>
      <c r="K176" s="37">
        <f>DSUM($B$80:$Y$140,K$80,$C$147:$D176)</f>
        <v>33.534611437183159</v>
      </c>
      <c r="L176" s="37">
        <f>DSUM($B$80:$Y$140,L$80,$C$147:$D176)</f>
        <v>35.476190860024396</v>
      </c>
      <c r="M176" s="37">
        <f>DSUM($B$80:$Y$140,M$80,$C$147:$D176)</f>
        <v>41.488040017727954</v>
      </c>
      <c r="N176" s="37">
        <f>DSUM($B$80:$Y$140,N$80,$C$147:$D176)</f>
        <v>42.097512974524548</v>
      </c>
      <c r="O176" s="37">
        <f>DSUM($B$80:$Y$140,O$80,$C$147:$D176)</f>
        <v>42.638920907515214</v>
      </c>
      <c r="P176" s="37">
        <f>DSUM($B$80:$Y$140,P$80,$C$147:$D176)</f>
        <v>43.051219560358717</v>
      </c>
      <c r="Q176" s="37">
        <f>DSUM($B$80:$Y$140,Q$80,$C$147:$D176)</f>
        <v>43.296955323288813</v>
      </c>
      <c r="R176" s="37">
        <f>DSUM($B$80:$Y$140,R$80,$C$147:$D176)</f>
        <v>43.395361564712992</v>
      </c>
      <c r="S176" s="37">
        <f>DSUM($B$80:$Y$140,S$80,$C$147:$D176)</f>
        <v>43.456257260870096</v>
      </c>
      <c r="T176" s="37">
        <f>DSUM($B$80:$Y$140,T$80,$C$147:$D176)</f>
        <v>43.494413169353535</v>
      </c>
      <c r="U176" s="37">
        <f>DSUM($B$80:$Y$140,U$80,$C$147:$D176)</f>
        <v>43.476319742102035</v>
      </c>
      <c r="V176" s="37">
        <f>DSUM($B$80:$Y$140,V$80,$C$147:$D176)</f>
        <v>43.45577876160236</v>
      </c>
      <c r="W176" s="37">
        <f>DSUM($B$80:$Y$140,W$80,$C$147:$D176)</f>
        <v>43.391524603517276</v>
      </c>
      <c r="X176" s="37">
        <f>DSUM($B$80:$Y$140,X$80,$C$147:$D176)</f>
        <v>43.296638973623722</v>
      </c>
      <c r="Y176" s="37">
        <f>DSUM($B$80:$Y$140,Y$80,$C$147:$D176)</f>
        <v>370.46819560473205</v>
      </c>
      <c r="Z176" s="1"/>
      <c r="AA176" s="1"/>
      <c r="AB176" s="1"/>
      <c r="AC176" s="1"/>
    </row>
    <row r="177" spans="1:29" customFormat="1">
      <c r="A177" s="1"/>
      <c r="B177" s="1" t="s">
        <v>388</v>
      </c>
      <c r="C177" s="73" t="s">
        <v>389</v>
      </c>
      <c r="D177" s="73" t="s">
        <v>390</v>
      </c>
      <c r="E177" s="37">
        <f>DSUM($B$80:$Y$140,E$80,$C$147:$D177)</f>
        <v>0</v>
      </c>
      <c r="F177" s="37">
        <f>DSUM($B$80:$Y$140,F$80,$C$147:$D177)</f>
        <v>16.878204904338542</v>
      </c>
      <c r="G177" s="37">
        <f>DSUM($B$80:$Y$140,G$80,$C$147:$D177)</f>
        <v>21.632314753884216</v>
      </c>
      <c r="H177" s="37">
        <f>DSUM($B$80:$Y$140,H$80,$C$147:$D177)</f>
        <v>25.300677060776962</v>
      </c>
      <c r="I177" s="37">
        <f>DSUM($B$80:$Y$140,I$80,$C$147:$D177)</f>
        <v>28.487943953119487</v>
      </c>
      <c r="J177" s="37">
        <f>DSUM($B$80:$Y$140,J$80,$C$147:$D177)</f>
        <v>31.219834719410844</v>
      </c>
      <c r="K177" s="37">
        <f>DSUM($B$80:$Y$140,K$80,$C$147:$D177)</f>
        <v>33.534611437183159</v>
      </c>
      <c r="L177" s="37">
        <f>DSUM($B$80:$Y$140,L$80,$C$147:$D177)</f>
        <v>35.476190860024396</v>
      </c>
      <c r="M177" s="37">
        <f>DSUM($B$80:$Y$140,M$80,$C$147:$D177)</f>
        <v>41.488040017727954</v>
      </c>
      <c r="N177" s="37">
        <f>DSUM($B$80:$Y$140,N$80,$C$147:$D177)</f>
        <v>42.097512974524548</v>
      </c>
      <c r="O177" s="37">
        <f>DSUM($B$80:$Y$140,O$80,$C$147:$D177)</f>
        <v>42.638920907515214</v>
      </c>
      <c r="P177" s="37">
        <f>DSUM($B$80:$Y$140,P$80,$C$147:$D177)</f>
        <v>43.051219560358717</v>
      </c>
      <c r="Q177" s="37">
        <f>DSUM($B$80:$Y$140,Q$80,$C$147:$D177)</f>
        <v>43.296955323288813</v>
      </c>
      <c r="R177" s="37">
        <f>DSUM($B$80:$Y$140,R$80,$C$147:$D177)</f>
        <v>43.395361564712992</v>
      </c>
      <c r="S177" s="37">
        <f>DSUM($B$80:$Y$140,S$80,$C$147:$D177)</f>
        <v>43.456257260870096</v>
      </c>
      <c r="T177" s="37">
        <f>DSUM($B$80:$Y$140,T$80,$C$147:$D177)</f>
        <v>43.494413169353535</v>
      </c>
      <c r="U177" s="37">
        <f>DSUM($B$80:$Y$140,U$80,$C$147:$D177)</f>
        <v>43.476319742102035</v>
      </c>
      <c r="V177" s="37">
        <f>DSUM($B$80:$Y$140,V$80,$C$147:$D177)</f>
        <v>43.45577876160236</v>
      </c>
      <c r="W177" s="37">
        <f>DSUM($B$80:$Y$140,W$80,$C$147:$D177)</f>
        <v>43.391524603517276</v>
      </c>
      <c r="X177" s="37">
        <f>DSUM($B$80:$Y$140,X$80,$C$147:$D177)</f>
        <v>43.296638973623722</v>
      </c>
      <c r="Y177" s="37">
        <f>DSUM($B$80:$Y$140,Y$80,$C$147:$D177)</f>
        <v>370.46819560473205</v>
      </c>
      <c r="Z177" s="1"/>
      <c r="AA177" s="1"/>
      <c r="AB177" s="1"/>
      <c r="AC177" s="1"/>
    </row>
    <row r="178" spans="1:29" customFormat="1">
      <c r="A178" s="1"/>
      <c r="B178" s="1" t="s">
        <v>391</v>
      </c>
      <c r="C178" s="73" t="s">
        <v>392</v>
      </c>
      <c r="D178" s="73" t="s">
        <v>393</v>
      </c>
      <c r="E178" s="37">
        <f>DSUM($B$80:$Y$140,E$80,$C$147:$D178)</f>
        <v>0</v>
      </c>
      <c r="F178" s="37">
        <f>DSUM($B$80:$Y$140,F$80,$C$147:$D178)</f>
        <v>16.878204904338542</v>
      </c>
      <c r="G178" s="37">
        <f>DSUM($B$80:$Y$140,G$80,$C$147:$D178)</f>
        <v>21.632314753884216</v>
      </c>
      <c r="H178" s="37">
        <f>DSUM($B$80:$Y$140,H$80,$C$147:$D178)</f>
        <v>25.300677060776962</v>
      </c>
      <c r="I178" s="37">
        <f>DSUM($B$80:$Y$140,I$80,$C$147:$D178)</f>
        <v>28.487943953119487</v>
      </c>
      <c r="J178" s="37">
        <f>DSUM($B$80:$Y$140,J$80,$C$147:$D178)</f>
        <v>31.219834719410844</v>
      </c>
      <c r="K178" s="37">
        <f>DSUM($B$80:$Y$140,K$80,$C$147:$D178)</f>
        <v>33.534611437183159</v>
      </c>
      <c r="L178" s="37">
        <f>DSUM($B$80:$Y$140,L$80,$C$147:$D178)</f>
        <v>35.476190860024396</v>
      </c>
      <c r="M178" s="37">
        <f>DSUM($B$80:$Y$140,M$80,$C$147:$D178)</f>
        <v>41.488040017727954</v>
      </c>
      <c r="N178" s="37">
        <f>DSUM($B$80:$Y$140,N$80,$C$147:$D178)</f>
        <v>42.097512974524548</v>
      </c>
      <c r="O178" s="37">
        <f>DSUM($B$80:$Y$140,O$80,$C$147:$D178)</f>
        <v>42.638920907515214</v>
      </c>
      <c r="P178" s="37">
        <f>DSUM($B$80:$Y$140,P$80,$C$147:$D178)</f>
        <v>43.051219560358717</v>
      </c>
      <c r="Q178" s="37">
        <f>DSUM($B$80:$Y$140,Q$80,$C$147:$D178)</f>
        <v>43.296955323288813</v>
      </c>
      <c r="R178" s="37">
        <f>DSUM($B$80:$Y$140,R$80,$C$147:$D178)</f>
        <v>43.395361564712992</v>
      </c>
      <c r="S178" s="37">
        <f>DSUM($B$80:$Y$140,S$80,$C$147:$D178)</f>
        <v>43.456257260870096</v>
      </c>
      <c r="T178" s="37">
        <f>DSUM($B$80:$Y$140,T$80,$C$147:$D178)</f>
        <v>43.494413169353535</v>
      </c>
      <c r="U178" s="37">
        <f>DSUM($B$80:$Y$140,U$80,$C$147:$D178)</f>
        <v>43.476319742102035</v>
      </c>
      <c r="V178" s="37">
        <f>DSUM($B$80:$Y$140,V$80,$C$147:$D178)</f>
        <v>43.45577876160236</v>
      </c>
      <c r="W178" s="37">
        <f>DSUM($B$80:$Y$140,W$80,$C$147:$D178)</f>
        <v>43.391524603517276</v>
      </c>
      <c r="X178" s="37">
        <f>DSUM($B$80:$Y$140,X$80,$C$147:$D178)</f>
        <v>43.296638973623722</v>
      </c>
      <c r="Y178" s="37">
        <f>DSUM($B$80:$Y$140,Y$80,$C$147:$D178)</f>
        <v>370.46819560473205</v>
      </c>
      <c r="Z178" s="1"/>
      <c r="AA178" s="1"/>
      <c r="AB178" s="1"/>
      <c r="AC178" s="1"/>
    </row>
    <row r="179" spans="1:29" customFormat="1">
      <c r="A179" s="1"/>
      <c r="B179" s="1" t="s">
        <v>394</v>
      </c>
      <c r="C179" s="73" t="s">
        <v>395</v>
      </c>
      <c r="D179" s="73" t="s">
        <v>143</v>
      </c>
      <c r="E179" s="37">
        <f>DSUM($B$80:$Y$140,E$80,$C$147:$D179)</f>
        <v>0</v>
      </c>
      <c r="F179" s="37">
        <f>DSUM($B$80:$Y$140,F$80,$C$147:$D179)</f>
        <v>16.878204904338542</v>
      </c>
      <c r="G179" s="37">
        <f>DSUM($B$80:$Y$140,G$80,$C$147:$D179)</f>
        <v>21.632314753884216</v>
      </c>
      <c r="H179" s="37">
        <f>DSUM($B$80:$Y$140,H$80,$C$147:$D179)</f>
        <v>25.300677060776962</v>
      </c>
      <c r="I179" s="37">
        <f>DSUM($B$80:$Y$140,I$80,$C$147:$D179)</f>
        <v>28.487943953119487</v>
      </c>
      <c r="J179" s="37">
        <f>DSUM($B$80:$Y$140,J$80,$C$147:$D179)</f>
        <v>31.219834719410844</v>
      </c>
      <c r="K179" s="37">
        <f>DSUM($B$80:$Y$140,K$80,$C$147:$D179)</f>
        <v>33.534611437183159</v>
      </c>
      <c r="L179" s="37">
        <f>DSUM($B$80:$Y$140,L$80,$C$147:$D179)</f>
        <v>35.476190860024396</v>
      </c>
      <c r="M179" s="37">
        <f>DSUM($B$80:$Y$140,M$80,$C$147:$D179)</f>
        <v>41.488040017727954</v>
      </c>
      <c r="N179" s="37">
        <f>DSUM($B$80:$Y$140,N$80,$C$147:$D179)</f>
        <v>42.097512974524548</v>
      </c>
      <c r="O179" s="37">
        <f>DSUM($B$80:$Y$140,O$80,$C$147:$D179)</f>
        <v>42.638920907515214</v>
      </c>
      <c r="P179" s="37">
        <f>DSUM($B$80:$Y$140,P$80,$C$147:$D179)</f>
        <v>43.051219560358717</v>
      </c>
      <c r="Q179" s="37">
        <f>DSUM($B$80:$Y$140,Q$80,$C$147:$D179)</f>
        <v>43.296955323288813</v>
      </c>
      <c r="R179" s="37">
        <f>DSUM($B$80:$Y$140,R$80,$C$147:$D179)</f>
        <v>43.395361564712992</v>
      </c>
      <c r="S179" s="37">
        <f>DSUM($B$80:$Y$140,S$80,$C$147:$D179)</f>
        <v>43.456257260870096</v>
      </c>
      <c r="T179" s="37">
        <f>DSUM($B$80:$Y$140,T$80,$C$147:$D179)</f>
        <v>43.494413169353535</v>
      </c>
      <c r="U179" s="37">
        <f>DSUM($B$80:$Y$140,U$80,$C$147:$D179)</f>
        <v>43.476319742102035</v>
      </c>
      <c r="V179" s="37">
        <f>DSUM($B$80:$Y$140,V$80,$C$147:$D179)</f>
        <v>43.45577876160236</v>
      </c>
      <c r="W179" s="37">
        <f>DSUM($B$80:$Y$140,W$80,$C$147:$D179)</f>
        <v>43.391524603517276</v>
      </c>
      <c r="X179" s="37">
        <f>DSUM($B$80:$Y$140,X$80,$C$147:$D179)</f>
        <v>43.296638973623722</v>
      </c>
      <c r="Y179" s="37">
        <f>DSUM($B$80:$Y$140,Y$80,$C$147:$D179)</f>
        <v>370.46819560473205</v>
      </c>
      <c r="Z179" s="1"/>
      <c r="AA179" s="1"/>
      <c r="AB179" s="1"/>
      <c r="AC179" s="1"/>
    </row>
    <row r="180" spans="1:29" customForma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ustomForma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ustomFormat="1" ht="15">
      <c r="A182" s="63" t="s">
        <v>144</v>
      </c>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ustomFormat="1" ht="15">
      <c r="A183" s="1"/>
      <c r="B183" s="1"/>
      <c r="C183" s="1"/>
      <c r="D183" s="66" t="str">
        <f>C8</f>
        <v>Lighting</v>
      </c>
      <c r="E183" s="74">
        <f t="shared" ref="E183:X183" si="49">E11</f>
        <v>2016</v>
      </c>
      <c r="F183" s="67">
        <f t="shared" si="49"/>
        <v>2017</v>
      </c>
      <c r="G183" s="67">
        <f t="shared" si="49"/>
        <v>2018</v>
      </c>
      <c r="H183" s="67">
        <f t="shared" si="49"/>
        <v>2019</v>
      </c>
      <c r="I183" s="67">
        <f t="shared" si="49"/>
        <v>2020</v>
      </c>
      <c r="J183" s="67">
        <f t="shared" si="49"/>
        <v>2021</v>
      </c>
      <c r="K183" s="67">
        <f t="shared" si="49"/>
        <v>2022</v>
      </c>
      <c r="L183" s="67">
        <f t="shared" si="49"/>
        <v>2023</v>
      </c>
      <c r="M183" s="67">
        <f t="shared" si="49"/>
        <v>2024</v>
      </c>
      <c r="N183" s="67">
        <f t="shared" si="49"/>
        <v>2025</v>
      </c>
      <c r="O183" s="67">
        <f t="shared" si="49"/>
        <v>2026</v>
      </c>
      <c r="P183" s="67">
        <f t="shared" si="49"/>
        <v>2027</v>
      </c>
      <c r="Q183" s="67">
        <f t="shared" si="49"/>
        <v>2028</v>
      </c>
      <c r="R183" s="67">
        <f t="shared" si="49"/>
        <v>2029</v>
      </c>
      <c r="S183" s="67">
        <f t="shared" si="49"/>
        <v>2030</v>
      </c>
      <c r="T183" s="67">
        <f t="shared" si="49"/>
        <v>2031</v>
      </c>
      <c r="U183" s="67">
        <f t="shared" si="49"/>
        <v>2032</v>
      </c>
      <c r="V183" s="67">
        <f t="shared" si="49"/>
        <v>2033</v>
      </c>
      <c r="W183" s="67">
        <f t="shared" si="49"/>
        <v>2034</v>
      </c>
      <c r="X183" s="67">
        <f t="shared" si="49"/>
        <v>2035</v>
      </c>
      <c r="Y183" s="68" t="s">
        <v>159</v>
      </c>
      <c r="Z183" s="1"/>
      <c r="AA183" s="1"/>
      <c r="AB183" s="1"/>
      <c r="AC183" s="1"/>
    </row>
    <row r="184" spans="1:29" customFormat="1" ht="15">
      <c r="A184" s="1"/>
      <c r="B184" s="1"/>
      <c r="C184" s="1"/>
      <c r="D184" s="1" t="str">
        <f>C8</f>
        <v>Lighting</v>
      </c>
      <c r="E184" s="75" t="str">
        <f>CONCATENATE($E$78,"_",E$11)</f>
        <v>aMW_2016</v>
      </c>
      <c r="F184" s="69" t="str">
        <f t="shared" ref="F184:X184" si="50">CONCATENATE($E$78,"_",F$11)</f>
        <v>aMW_2017</v>
      </c>
      <c r="G184" s="69" t="str">
        <f t="shared" si="50"/>
        <v>aMW_2018</v>
      </c>
      <c r="H184" s="69" t="str">
        <f t="shared" si="50"/>
        <v>aMW_2019</v>
      </c>
      <c r="I184" s="69" t="str">
        <f t="shared" si="50"/>
        <v>aMW_2020</v>
      </c>
      <c r="J184" s="69" t="str">
        <f t="shared" si="50"/>
        <v>aMW_2021</v>
      </c>
      <c r="K184" s="69" t="str">
        <f t="shared" si="50"/>
        <v>aMW_2022</v>
      </c>
      <c r="L184" s="69" t="str">
        <f t="shared" si="50"/>
        <v>aMW_2023</v>
      </c>
      <c r="M184" s="69" t="str">
        <f t="shared" si="50"/>
        <v>aMW_2024</v>
      </c>
      <c r="N184" s="69" t="str">
        <f t="shared" si="50"/>
        <v>aMW_2025</v>
      </c>
      <c r="O184" s="69" t="str">
        <f t="shared" si="50"/>
        <v>aMW_2026</v>
      </c>
      <c r="P184" s="69" t="str">
        <f t="shared" si="50"/>
        <v>aMW_2027</v>
      </c>
      <c r="Q184" s="69" t="str">
        <f t="shared" si="50"/>
        <v>aMW_2028</v>
      </c>
      <c r="R184" s="69" t="str">
        <f t="shared" si="50"/>
        <v>aMW_2029</v>
      </c>
      <c r="S184" s="69" t="str">
        <f t="shared" si="50"/>
        <v>aMW_2030</v>
      </c>
      <c r="T184" s="69" t="str">
        <f t="shared" si="50"/>
        <v>aMW_2031</v>
      </c>
      <c r="U184" s="69" t="str">
        <f t="shared" si="50"/>
        <v>aMW_2032</v>
      </c>
      <c r="V184" s="69" t="str">
        <f t="shared" si="50"/>
        <v>aMW_2033</v>
      </c>
      <c r="W184" s="69" t="str">
        <f t="shared" si="50"/>
        <v>aMW_2034</v>
      </c>
      <c r="X184" s="69" t="str">
        <f t="shared" si="50"/>
        <v>aMW_2035</v>
      </c>
      <c r="Y184" s="70" t="s">
        <v>159</v>
      </c>
      <c r="Z184" s="1"/>
      <c r="AA184" s="1"/>
      <c r="AB184" s="1"/>
      <c r="AC184" s="1"/>
    </row>
    <row r="185" spans="1:29" customFormat="1">
      <c r="A185" s="1"/>
      <c r="B185" s="1"/>
      <c r="C185" s="1"/>
      <c r="D185" s="1" t="s">
        <v>78</v>
      </c>
      <c r="E185" s="37">
        <f t="shared" ref="E185:Y185" si="51">E148</f>
        <v>0</v>
      </c>
      <c r="F185" s="37">
        <f t="shared" si="51"/>
        <v>10.118956342312961</v>
      </c>
      <c r="G185" s="37">
        <f t="shared" si="51"/>
        <v>12.969178287523908</v>
      </c>
      <c r="H185" s="37">
        <f t="shared" si="51"/>
        <v>15.168464185616807</v>
      </c>
      <c r="I185" s="37">
        <f t="shared" si="51"/>
        <v>17.079319914511476</v>
      </c>
      <c r="J185" s="37">
        <f t="shared" si="51"/>
        <v>18.717164907669748</v>
      </c>
      <c r="K185" s="37">
        <f t="shared" si="51"/>
        <v>20.104938351711752</v>
      </c>
      <c r="L185" s="37">
        <f t="shared" si="51"/>
        <v>21.268969569854708</v>
      </c>
      <c r="M185" s="37">
        <f t="shared" si="51"/>
        <v>24.873241440480971</v>
      </c>
      <c r="N185" s="37">
        <f t="shared" si="51"/>
        <v>25.238637540160962</v>
      </c>
      <c r="O185" s="37">
        <f t="shared" si="51"/>
        <v>25.563226752601814</v>
      </c>
      <c r="P185" s="37">
        <f t="shared" si="51"/>
        <v>25.810411337204471</v>
      </c>
      <c r="Q185" s="37">
        <f t="shared" si="51"/>
        <v>25.957736806407393</v>
      </c>
      <c r="R185" s="37">
        <f t="shared" si="51"/>
        <v>26.016734103005351</v>
      </c>
      <c r="S185" s="37">
        <f t="shared" si="51"/>
        <v>26.053242777615043</v>
      </c>
      <c r="T185" s="37">
        <f t="shared" si="51"/>
        <v>26.07611831291835</v>
      </c>
      <c r="U185" s="37">
        <f t="shared" si="51"/>
        <v>26.065270796758981</v>
      </c>
      <c r="V185" s="37">
        <f t="shared" si="51"/>
        <v>26.052955903908561</v>
      </c>
      <c r="W185" s="37">
        <f t="shared" si="51"/>
        <v>26.014433737353507</v>
      </c>
      <c r="X185" s="37">
        <f t="shared" si="51"/>
        <v>25.957547145927045</v>
      </c>
      <c r="Y185" s="37">
        <f t="shared" si="51"/>
        <v>222.10605445227938</v>
      </c>
      <c r="Z185" s="1"/>
      <c r="AA185" s="1"/>
      <c r="AB185" s="1"/>
      <c r="AC185" s="1"/>
    </row>
    <row r="186" spans="1:29" customFormat="1">
      <c r="A186" s="1"/>
      <c r="B186" s="1"/>
      <c r="C186" s="1"/>
      <c r="D186" s="1" t="s">
        <v>785</v>
      </c>
      <c r="E186" s="37">
        <f t="shared" ref="E186:Y198" si="52">E149-E148</f>
        <v>0</v>
      </c>
      <c r="F186" s="37">
        <f t="shared" si="52"/>
        <v>0</v>
      </c>
      <c r="G186" s="37">
        <f t="shared" si="52"/>
        <v>0</v>
      </c>
      <c r="H186" s="37">
        <f t="shared" si="52"/>
        <v>0</v>
      </c>
      <c r="I186" s="37">
        <f t="shared" si="52"/>
        <v>0</v>
      </c>
      <c r="J186" s="37">
        <f t="shared" si="52"/>
        <v>0</v>
      </c>
      <c r="K186" s="37">
        <f t="shared" si="52"/>
        <v>0</v>
      </c>
      <c r="L186" s="37">
        <f t="shared" si="52"/>
        <v>0</v>
      </c>
      <c r="M186" s="37">
        <f t="shared" si="52"/>
        <v>0</v>
      </c>
      <c r="N186" s="37">
        <f t="shared" si="52"/>
        <v>0</v>
      </c>
      <c r="O186" s="37">
        <f t="shared" si="52"/>
        <v>0</v>
      </c>
      <c r="P186" s="37">
        <f t="shared" si="52"/>
        <v>0</v>
      </c>
      <c r="Q186" s="37">
        <f t="shared" si="52"/>
        <v>0</v>
      </c>
      <c r="R186" s="37">
        <f t="shared" si="52"/>
        <v>0</v>
      </c>
      <c r="S186" s="37">
        <f t="shared" si="52"/>
        <v>0</v>
      </c>
      <c r="T186" s="37">
        <f t="shared" si="52"/>
        <v>0</v>
      </c>
      <c r="U186" s="37">
        <f t="shared" si="52"/>
        <v>0</v>
      </c>
      <c r="V186" s="37">
        <f t="shared" si="52"/>
        <v>0</v>
      </c>
      <c r="W186" s="37">
        <f t="shared" si="52"/>
        <v>0</v>
      </c>
      <c r="X186" s="37">
        <f t="shared" si="52"/>
        <v>0</v>
      </c>
      <c r="Y186" s="37">
        <f t="shared" si="52"/>
        <v>0</v>
      </c>
      <c r="Z186" s="1"/>
      <c r="AA186" s="1"/>
      <c r="AB186" s="1"/>
      <c r="AC186" s="1"/>
    </row>
    <row r="187" spans="1:29" customFormat="1">
      <c r="A187" s="1"/>
      <c r="B187" s="1"/>
      <c r="C187" s="1"/>
      <c r="D187" s="1" t="s">
        <v>84</v>
      </c>
      <c r="E187" s="37">
        <f t="shared" si="52"/>
        <v>0</v>
      </c>
      <c r="F187" s="37">
        <f t="shared" si="52"/>
        <v>0.1839064992848467</v>
      </c>
      <c r="G187" s="37">
        <f t="shared" si="52"/>
        <v>0.23570772486546865</v>
      </c>
      <c r="H187" s="37">
        <f t="shared" si="52"/>
        <v>0.27567854366952638</v>
      </c>
      <c r="I187" s="37">
        <f t="shared" si="52"/>
        <v>0.31040730183898546</v>
      </c>
      <c r="J187" s="37">
        <f t="shared" si="52"/>
        <v>0.34017423914687228</v>
      </c>
      <c r="K187" s="37">
        <f t="shared" si="52"/>
        <v>0.36539626276871928</v>
      </c>
      <c r="L187" s="37">
        <f t="shared" si="52"/>
        <v>0.3865518937592185</v>
      </c>
      <c r="M187" s="37">
        <f t="shared" si="52"/>
        <v>0.45205756448001821</v>
      </c>
      <c r="N187" s="37">
        <f t="shared" si="52"/>
        <v>0.4586984388223172</v>
      </c>
      <c r="O187" s="37">
        <f t="shared" si="52"/>
        <v>0.46459767029898558</v>
      </c>
      <c r="P187" s="37">
        <f t="shared" si="52"/>
        <v>0.46909011498336639</v>
      </c>
      <c r="Q187" s="37">
        <f t="shared" si="52"/>
        <v>0.47176767484033277</v>
      </c>
      <c r="R187" s="37">
        <f t="shared" si="52"/>
        <v>0.47283991845099393</v>
      </c>
      <c r="S187" s="37">
        <f t="shared" si="52"/>
        <v>0.47350344365199604</v>
      </c>
      <c r="T187" s="37">
        <f t="shared" si="52"/>
        <v>0.47391919399962035</v>
      </c>
      <c r="U187" s="37">
        <f t="shared" si="52"/>
        <v>0.47372204632398152</v>
      </c>
      <c r="V187" s="37">
        <f t="shared" si="52"/>
        <v>0.47349822987922252</v>
      </c>
      <c r="W187" s="37">
        <f t="shared" si="52"/>
        <v>0.47279811056292687</v>
      </c>
      <c r="X187" s="37">
        <f t="shared" si="52"/>
        <v>0.47176422786479577</v>
      </c>
      <c r="Y187" s="37">
        <f t="shared" si="52"/>
        <v>4.0366561098288116</v>
      </c>
      <c r="Z187" s="1"/>
      <c r="AA187" s="1"/>
      <c r="AB187" s="1"/>
      <c r="AC187" s="1"/>
    </row>
    <row r="188" spans="1:29" customFormat="1">
      <c r="A188" s="1"/>
      <c r="B188" s="1"/>
      <c r="C188" s="1"/>
      <c r="D188" s="1" t="s">
        <v>87</v>
      </c>
      <c r="E188" s="37">
        <f t="shared" si="52"/>
        <v>0</v>
      </c>
      <c r="F188" s="37">
        <f t="shared" si="52"/>
        <v>0</v>
      </c>
      <c r="G188" s="37">
        <f t="shared" si="52"/>
        <v>0</v>
      </c>
      <c r="H188" s="37">
        <f t="shared" si="52"/>
        <v>0</v>
      </c>
      <c r="I188" s="37">
        <f t="shared" si="52"/>
        <v>0</v>
      </c>
      <c r="J188" s="37">
        <f t="shared" si="52"/>
        <v>0</v>
      </c>
      <c r="K188" s="37">
        <f t="shared" si="52"/>
        <v>0</v>
      </c>
      <c r="L188" s="37">
        <f t="shared" si="52"/>
        <v>0</v>
      </c>
      <c r="M188" s="37">
        <f t="shared" si="52"/>
        <v>0</v>
      </c>
      <c r="N188" s="37">
        <f t="shared" si="52"/>
        <v>0</v>
      </c>
      <c r="O188" s="37">
        <f t="shared" si="52"/>
        <v>0</v>
      </c>
      <c r="P188" s="37">
        <f t="shared" si="52"/>
        <v>0</v>
      </c>
      <c r="Q188" s="37">
        <f t="shared" si="52"/>
        <v>0</v>
      </c>
      <c r="R188" s="37">
        <f t="shared" si="52"/>
        <v>0</v>
      </c>
      <c r="S188" s="37">
        <f t="shared" si="52"/>
        <v>0</v>
      </c>
      <c r="T188" s="37">
        <f t="shared" si="52"/>
        <v>0</v>
      </c>
      <c r="U188" s="37">
        <f t="shared" si="52"/>
        <v>0</v>
      </c>
      <c r="V188" s="37">
        <f t="shared" si="52"/>
        <v>0</v>
      </c>
      <c r="W188" s="37">
        <f t="shared" si="52"/>
        <v>0</v>
      </c>
      <c r="X188" s="37">
        <f t="shared" si="52"/>
        <v>0</v>
      </c>
      <c r="Y188" s="37">
        <f t="shared" si="52"/>
        <v>0</v>
      </c>
      <c r="Z188" s="1"/>
      <c r="AA188" s="1"/>
      <c r="AB188" s="1"/>
      <c r="AC188" s="1"/>
    </row>
    <row r="189" spans="1:29" customFormat="1">
      <c r="A189" s="1"/>
      <c r="B189" s="1"/>
      <c r="C189" s="1"/>
      <c r="D189" s="1" t="s">
        <v>90</v>
      </c>
      <c r="E189" s="37">
        <f t="shared" si="52"/>
        <v>0</v>
      </c>
      <c r="F189" s="37">
        <f t="shared" si="52"/>
        <v>5.5388792047240099</v>
      </c>
      <c r="G189" s="37">
        <f t="shared" si="52"/>
        <v>7.0990238013720379</v>
      </c>
      <c r="H189" s="37">
        <f t="shared" si="52"/>
        <v>8.302861283628161</v>
      </c>
      <c r="I189" s="37">
        <f t="shared" si="52"/>
        <v>9.3488188608681</v>
      </c>
      <c r="J189" s="37">
        <f t="shared" si="52"/>
        <v>10.245336769066924</v>
      </c>
      <c r="K189" s="37">
        <f t="shared" si="52"/>
        <v>11.004971380586106</v>
      </c>
      <c r="L189" s="37">
        <f t="shared" si="52"/>
        <v>11.642134748992117</v>
      </c>
      <c r="M189" s="37">
        <f t="shared" si="52"/>
        <v>13.61502857687676</v>
      </c>
      <c r="N189" s="37">
        <f t="shared" si="52"/>
        <v>13.815037825809068</v>
      </c>
      <c r="O189" s="37">
        <f t="shared" si="52"/>
        <v>13.992710342425077</v>
      </c>
      <c r="P189" s="37">
        <f t="shared" si="52"/>
        <v>14.128013382488533</v>
      </c>
      <c r="Q189" s="37">
        <f t="shared" si="52"/>
        <v>14.208655886526415</v>
      </c>
      <c r="R189" s="37">
        <f t="shared" si="52"/>
        <v>14.24094962198755</v>
      </c>
      <c r="S189" s="37">
        <f t="shared" si="52"/>
        <v>14.260933613591739</v>
      </c>
      <c r="T189" s="37">
        <f t="shared" si="52"/>
        <v>14.273455144716255</v>
      </c>
      <c r="U189" s="37">
        <f t="shared" si="52"/>
        <v>14.267517468967373</v>
      </c>
      <c r="V189" s="37">
        <f t="shared" si="52"/>
        <v>14.260776585657855</v>
      </c>
      <c r="W189" s="37">
        <f t="shared" si="52"/>
        <v>14.239690455820501</v>
      </c>
      <c r="X189" s="37">
        <f t="shared" si="52"/>
        <v>14.208552070830876</v>
      </c>
      <c r="Y189" s="37">
        <f t="shared" si="52"/>
        <v>121.57564126497923</v>
      </c>
      <c r="Z189" s="1"/>
      <c r="AA189" s="1"/>
      <c r="AB189" s="1"/>
      <c r="AC189" s="1"/>
    </row>
    <row r="190" spans="1:29" customFormat="1">
      <c r="A190" s="1"/>
      <c r="B190" s="1"/>
      <c r="C190" s="1"/>
      <c r="D190" s="1" t="s">
        <v>93</v>
      </c>
      <c r="E190" s="37">
        <f t="shared" si="52"/>
        <v>0</v>
      </c>
      <c r="F190" s="37">
        <f>F153-F152</f>
        <v>0</v>
      </c>
      <c r="G190" s="37">
        <f t="shared" si="52"/>
        <v>0</v>
      </c>
      <c r="H190" s="37">
        <f t="shared" si="52"/>
        <v>0</v>
      </c>
      <c r="I190" s="37">
        <f t="shared" si="52"/>
        <v>0</v>
      </c>
      <c r="J190" s="37">
        <f t="shared" si="52"/>
        <v>0</v>
      </c>
      <c r="K190" s="37">
        <f t="shared" si="52"/>
        <v>0</v>
      </c>
      <c r="L190" s="37">
        <f t="shared" si="52"/>
        <v>0</v>
      </c>
      <c r="M190" s="37">
        <f t="shared" si="52"/>
        <v>0</v>
      </c>
      <c r="N190" s="37">
        <f t="shared" si="52"/>
        <v>0</v>
      </c>
      <c r="O190" s="37">
        <f t="shared" si="52"/>
        <v>0</v>
      </c>
      <c r="P190" s="37">
        <f t="shared" si="52"/>
        <v>0</v>
      </c>
      <c r="Q190" s="37">
        <f t="shared" si="52"/>
        <v>0</v>
      </c>
      <c r="R190" s="37">
        <f t="shared" si="52"/>
        <v>0</v>
      </c>
      <c r="S190" s="37">
        <f t="shared" si="52"/>
        <v>0</v>
      </c>
      <c r="T190" s="37">
        <f t="shared" si="52"/>
        <v>0</v>
      </c>
      <c r="U190" s="37">
        <f t="shared" si="52"/>
        <v>0</v>
      </c>
      <c r="V190" s="37">
        <f t="shared" si="52"/>
        <v>0</v>
      </c>
      <c r="W190" s="37">
        <f t="shared" si="52"/>
        <v>0</v>
      </c>
      <c r="X190" s="37">
        <f t="shared" si="52"/>
        <v>0</v>
      </c>
      <c r="Y190" s="37">
        <f t="shared" si="52"/>
        <v>0</v>
      </c>
      <c r="Z190" s="1"/>
      <c r="AA190" s="1"/>
      <c r="AB190" s="1"/>
      <c r="AC190" s="1"/>
    </row>
    <row r="191" spans="1:29" customFormat="1">
      <c r="A191" s="1"/>
      <c r="B191" s="1"/>
      <c r="C191" s="1"/>
      <c r="D191" s="1" t="s">
        <v>96</v>
      </c>
      <c r="E191" s="37">
        <f t="shared" si="52"/>
        <v>0</v>
      </c>
      <c r="F191" s="37">
        <f t="shared" si="52"/>
        <v>0</v>
      </c>
      <c r="G191" s="37">
        <f t="shared" si="52"/>
        <v>0</v>
      </c>
      <c r="H191" s="37">
        <f t="shared" si="52"/>
        <v>0</v>
      </c>
      <c r="I191" s="37">
        <f t="shared" si="52"/>
        <v>0</v>
      </c>
      <c r="J191" s="37">
        <f t="shared" si="52"/>
        <v>0</v>
      </c>
      <c r="K191" s="37">
        <f t="shared" si="52"/>
        <v>0</v>
      </c>
      <c r="L191" s="37">
        <f t="shared" si="52"/>
        <v>0</v>
      </c>
      <c r="M191" s="37">
        <f t="shared" si="52"/>
        <v>0</v>
      </c>
      <c r="N191" s="37">
        <f t="shared" si="52"/>
        <v>0</v>
      </c>
      <c r="O191" s="37">
        <f t="shared" si="52"/>
        <v>0</v>
      </c>
      <c r="P191" s="37">
        <f t="shared" si="52"/>
        <v>0</v>
      </c>
      <c r="Q191" s="37">
        <f t="shared" si="52"/>
        <v>0</v>
      </c>
      <c r="R191" s="37">
        <f t="shared" si="52"/>
        <v>0</v>
      </c>
      <c r="S191" s="37">
        <f t="shared" si="52"/>
        <v>0</v>
      </c>
      <c r="T191" s="37">
        <f t="shared" si="52"/>
        <v>0</v>
      </c>
      <c r="U191" s="37">
        <f t="shared" si="52"/>
        <v>0</v>
      </c>
      <c r="V191" s="37">
        <f t="shared" si="52"/>
        <v>0</v>
      </c>
      <c r="W191" s="37">
        <f t="shared" si="52"/>
        <v>0</v>
      </c>
      <c r="X191" s="37">
        <f t="shared" si="52"/>
        <v>0</v>
      </c>
      <c r="Y191" s="37">
        <f>Y154-Y153</f>
        <v>0</v>
      </c>
      <c r="Z191" s="1"/>
      <c r="AA191" s="1"/>
      <c r="AB191" s="1"/>
      <c r="AC191" s="1"/>
    </row>
    <row r="192" spans="1:29" customFormat="1">
      <c r="A192" s="1"/>
      <c r="B192" s="1"/>
      <c r="C192" s="1"/>
      <c r="D192" s="1" t="s">
        <v>99</v>
      </c>
      <c r="E192" s="37">
        <f t="shared" si="52"/>
        <v>0</v>
      </c>
      <c r="F192" s="37">
        <f t="shared" si="52"/>
        <v>1.0318230006127163</v>
      </c>
      <c r="G192" s="37">
        <f t="shared" si="52"/>
        <v>1.3224581669709465</v>
      </c>
      <c r="H192" s="37">
        <f t="shared" si="52"/>
        <v>1.5467178334630631</v>
      </c>
      <c r="I192" s="37">
        <f t="shared" si="52"/>
        <v>1.7415664744915347</v>
      </c>
      <c r="J192" s="37">
        <f t="shared" si="52"/>
        <v>1.9085763990538531</v>
      </c>
      <c r="K192" s="37">
        <f t="shared" si="52"/>
        <v>2.0500867001917698</v>
      </c>
      <c r="L192" s="37">
        <f t="shared" si="52"/>
        <v>2.168782160838127</v>
      </c>
      <c r="M192" s="37">
        <f t="shared" si="52"/>
        <v>2.5363072781293567</v>
      </c>
      <c r="N192" s="37">
        <f t="shared" si="52"/>
        <v>2.573566466451723</v>
      </c>
      <c r="O192" s="37">
        <f t="shared" si="52"/>
        <v>2.6066646046210451</v>
      </c>
      <c r="P192" s="37">
        <f t="shared" si="52"/>
        <v>2.6318698462647419</v>
      </c>
      <c r="Q192" s="37">
        <f t="shared" si="52"/>
        <v>2.646892522769825</v>
      </c>
      <c r="R192" s="37">
        <f t="shared" si="52"/>
        <v>2.6529084364218249</v>
      </c>
      <c r="S192" s="37">
        <f t="shared" si="52"/>
        <v>2.6566312007969088</v>
      </c>
      <c r="T192" s="37">
        <f t="shared" si="52"/>
        <v>2.6589638033577643</v>
      </c>
      <c r="U192" s="37">
        <f t="shared" si="52"/>
        <v>2.6578576896149926</v>
      </c>
      <c r="V192" s="37">
        <f t="shared" si="52"/>
        <v>2.6566019484828658</v>
      </c>
      <c r="W192" s="37">
        <f t="shared" si="52"/>
        <v>2.6526738697225483</v>
      </c>
      <c r="X192" s="37">
        <f t="shared" si="52"/>
        <v>2.6468731832214161</v>
      </c>
      <c r="Y192" s="37">
        <f t="shared" si="52"/>
        <v>22.648001217368403</v>
      </c>
      <c r="Z192" s="1"/>
      <c r="AA192" s="1"/>
      <c r="AB192" s="1"/>
      <c r="AC192" s="1"/>
    </row>
    <row r="193" spans="1:29" customFormat="1">
      <c r="A193" s="1"/>
      <c r="B193" s="1"/>
      <c r="C193" s="1"/>
      <c r="D193" s="1" t="s">
        <v>102</v>
      </c>
      <c r="E193" s="37">
        <f t="shared" si="52"/>
        <v>0</v>
      </c>
      <c r="F193" s="37">
        <f t="shared" si="52"/>
        <v>0</v>
      </c>
      <c r="G193" s="37">
        <f t="shared" si="52"/>
        <v>0</v>
      </c>
      <c r="H193" s="37">
        <f t="shared" si="52"/>
        <v>0</v>
      </c>
      <c r="I193" s="37">
        <f t="shared" si="52"/>
        <v>0</v>
      </c>
      <c r="J193" s="37">
        <f t="shared" si="52"/>
        <v>0</v>
      </c>
      <c r="K193" s="37">
        <f t="shared" si="52"/>
        <v>0</v>
      </c>
      <c r="L193" s="37">
        <f t="shared" si="52"/>
        <v>0</v>
      </c>
      <c r="M193" s="37">
        <f t="shared" si="52"/>
        <v>0</v>
      </c>
      <c r="N193" s="37">
        <f t="shared" si="52"/>
        <v>0</v>
      </c>
      <c r="O193" s="37">
        <f t="shared" si="52"/>
        <v>0</v>
      </c>
      <c r="P193" s="37">
        <f t="shared" si="52"/>
        <v>0</v>
      </c>
      <c r="Q193" s="37">
        <f t="shared" si="52"/>
        <v>0</v>
      </c>
      <c r="R193" s="37">
        <f t="shared" si="52"/>
        <v>0</v>
      </c>
      <c r="S193" s="37">
        <f t="shared" si="52"/>
        <v>0</v>
      </c>
      <c r="T193" s="37">
        <f t="shared" si="52"/>
        <v>0</v>
      </c>
      <c r="U193" s="37">
        <f t="shared" si="52"/>
        <v>0</v>
      </c>
      <c r="V193" s="37">
        <f t="shared" si="52"/>
        <v>0</v>
      </c>
      <c r="W193" s="37">
        <f t="shared" si="52"/>
        <v>0</v>
      </c>
      <c r="X193" s="37">
        <f t="shared" si="52"/>
        <v>0</v>
      </c>
      <c r="Y193" s="37">
        <f t="shared" si="52"/>
        <v>0</v>
      </c>
      <c r="Z193" s="1"/>
      <c r="AA193" s="1"/>
      <c r="AB193" s="1"/>
      <c r="AC193" s="1"/>
    </row>
    <row r="194" spans="1:29" customFormat="1">
      <c r="A194" s="1"/>
      <c r="B194" s="1"/>
      <c r="C194" s="1"/>
      <c r="D194" s="1" t="s">
        <v>105</v>
      </c>
      <c r="E194" s="37">
        <f t="shared" si="52"/>
        <v>0</v>
      </c>
      <c r="F194" s="37">
        <f t="shared" si="52"/>
        <v>0</v>
      </c>
      <c r="G194" s="37">
        <f t="shared" si="52"/>
        <v>0</v>
      </c>
      <c r="H194" s="37">
        <f t="shared" si="52"/>
        <v>0</v>
      </c>
      <c r="I194" s="37">
        <f t="shared" si="52"/>
        <v>0</v>
      </c>
      <c r="J194" s="37">
        <f t="shared" si="52"/>
        <v>0</v>
      </c>
      <c r="K194" s="37">
        <f t="shared" si="52"/>
        <v>0</v>
      </c>
      <c r="L194" s="37">
        <f t="shared" si="52"/>
        <v>0</v>
      </c>
      <c r="M194" s="37">
        <f t="shared" si="52"/>
        <v>0</v>
      </c>
      <c r="N194" s="37">
        <f t="shared" si="52"/>
        <v>0</v>
      </c>
      <c r="O194" s="37">
        <f t="shared" si="52"/>
        <v>0</v>
      </c>
      <c r="P194" s="37">
        <f t="shared" si="52"/>
        <v>0</v>
      </c>
      <c r="Q194" s="37">
        <f t="shared" si="52"/>
        <v>0</v>
      </c>
      <c r="R194" s="37">
        <f t="shared" si="52"/>
        <v>0</v>
      </c>
      <c r="S194" s="37">
        <f t="shared" si="52"/>
        <v>0</v>
      </c>
      <c r="T194" s="37">
        <f t="shared" si="52"/>
        <v>0</v>
      </c>
      <c r="U194" s="37">
        <f t="shared" si="52"/>
        <v>0</v>
      </c>
      <c r="V194" s="37">
        <f t="shared" si="52"/>
        <v>0</v>
      </c>
      <c r="W194" s="37">
        <f t="shared" si="52"/>
        <v>0</v>
      </c>
      <c r="X194" s="37">
        <f t="shared" si="52"/>
        <v>0</v>
      </c>
      <c r="Y194" s="37">
        <f t="shared" si="52"/>
        <v>0</v>
      </c>
      <c r="Z194" s="1"/>
      <c r="AA194" s="1"/>
      <c r="AB194" s="1"/>
      <c r="AC194" s="1"/>
    </row>
    <row r="195" spans="1:29" customFormat="1">
      <c r="A195" s="1"/>
      <c r="B195" s="1"/>
      <c r="C195" s="1"/>
      <c r="D195" s="1" t="s">
        <v>108</v>
      </c>
      <c r="E195" s="37">
        <f t="shared" si="52"/>
        <v>0</v>
      </c>
      <c r="F195" s="37">
        <f t="shared" si="52"/>
        <v>0</v>
      </c>
      <c r="G195" s="37">
        <f t="shared" si="52"/>
        <v>0</v>
      </c>
      <c r="H195" s="37">
        <f t="shared" si="52"/>
        <v>0</v>
      </c>
      <c r="I195" s="37">
        <f t="shared" si="52"/>
        <v>0</v>
      </c>
      <c r="J195" s="37">
        <f t="shared" si="52"/>
        <v>0</v>
      </c>
      <c r="K195" s="37">
        <f t="shared" si="52"/>
        <v>0</v>
      </c>
      <c r="L195" s="37">
        <f t="shared" si="52"/>
        <v>0</v>
      </c>
      <c r="M195" s="37">
        <f t="shared" si="52"/>
        <v>0</v>
      </c>
      <c r="N195" s="37">
        <f t="shared" si="52"/>
        <v>0</v>
      </c>
      <c r="O195" s="37">
        <f t="shared" si="52"/>
        <v>0</v>
      </c>
      <c r="P195" s="37">
        <f t="shared" si="52"/>
        <v>0</v>
      </c>
      <c r="Q195" s="37">
        <f t="shared" si="52"/>
        <v>0</v>
      </c>
      <c r="R195" s="37">
        <f t="shared" si="52"/>
        <v>0</v>
      </c>
      <c r="S195" s="37">
        <f t="shared" si="52"/>
        <v>0</v>
      </c>
      <c r="T195" s="37">
        <f t="shared" si="52"/>
        <v>0</v>
      </c>
      <c r="U195" s="37">
        <f t="shared" si="52"/>
        <v>0</v>
      </c>
      <c r="V195" s="37">
        <f t="shared" si="52"/>
        <v>0</v>
      </c>
      <c r="W195" s="37">
        <f t="shared" si="52"/>
        <v>0</v>
      </c>
      <c r="X195" s="37">
        <f t="shared" si="52"/>
        <v>0</v>
      </c>
      <c r="Y195" s="37">
        <f t="shared" si="52"/>
        <v>0</v>
      </c>
      <c r="Z195" s="1"/>
      <c r="AA195" s="1"/>
      <c r="AB195" s="1"/>
      <c r="AC195" s="1"/>
    </row>
    <row r="196" spans="1:29" customFormat="1">
      <c r="A196" s="1"/>
      <c r="B196" s="1"/>
      <c r="C196" s="1"/>
      <c r="D196" s="1" t="s">
        <v>111</v>
      </c>
      <c r="E196" s="37">
        <f t="shared" si="52"/>
        <v>0</v>
      </c>
      <c r="F196" s="37">
        <f t="shared" si="52"/>
        <v>0</v>
      </c>
      <c r="G196" s="37">
        <f t="shared" si="52"/>
        <v>0</v>
      </c>
      <c r="H196" s="37">
        <f t="shared" si="52"/>
        <v>0</v>
      </c>
      <c r="I196" s="37">
        <f t="shared" si="52"/>
        <v>0</v>
      </c>
      <c r="J196" s="37">
        <f t="shared" si="52"/>
        <v>0</v>
      </c>
      <c r="K196" s="37">
        <f t="shared" si="52"/>
        <v>0</v>
      </c>
      <c r="L196" s="37">
        <f t="shared" si="52"/>
        <v>0</v>
      </c>
      <c r="M196" s="37">
        <f t="shared" si="52"/>
        <v>0</v>
      </c>
      <c r="N196" s="37">
        <f t="shared" si="52"/>
        <v>0</v>
      </c>
      <c r="O196" s="37">
        <f t="shared" si="52"/>
        <v>0</v>
      </c>
      <c r="P196" s="37">
        <f t="shared" si="52"/>
        <v>0</v>
      </c>
      <c r="Q196" s="37">
        <f t="shared" si="52"/>
        <v>0</v>
      </c>
      <c r="R196" s="37">
        <f t="shared" si="52"/>
        <v>0</v>
      </c>
      <c r="S196" s="37">
        <f t="shared" si="52"/>
        <v>0</v>
      </c>
      <c r="T196" s="37">
        <f t="shared" si="52"/>
        <v>0</v>
      </c>
      <c r="U196" s="37">
        <f t="shared" si="52"/>
        <v>0</v>
      </c>
      <c r="V196" s="37">
        <f t="shared" si="52"/>
        <v>0</v>
      </c>
      <c r="W196" s="37">
        <f t="shared" si="52"/>
        <v>0</v>
      </c>
      <c r="X196" s="37">
        <f t="shared" si="52"/>
        <v>0</v>
      </c>
      <c r="Y196" s="37">
        <f t="shared" si="52"/>
        <v>0</v>
      </c>
      <c r="Z196" s="1"/>
      <c r="AA196" s="1"/>
      <c r="AB196" s="1"/>
      <c r="AC196" s="1"/>
    </row>
    <row r="197" spans="1:29" customFormat="1">
      <c r="A197" s="1"/>
      <c r="B197" s="1"/>
      <c r="C197" s="1"/>
      <c r="D197" s="1" t="s">
        <v>114</v>
      </c>
      <c r="E197" s="37">
        <f t="shared" si="52"/>
        <v>0</v>
      </c>
      <c r="F197" s="37">
        <f t="shared" si="52"/>
        <v>0</v>
      </c>
      <c r="G197" s="37">
        <f t="shared" si="52"/>
        <v>0</v>
      </c>
      <c r="H197" s="37">
        <f t="shared" si="52"/>
        <v>0</v>
      </c>
      <c r="I197" s="37">
        <f t="shared" si="52"/>
        <v>0</v>
      </c>
      <c r="J197" s="37">
        <f t="shared" si="52"/>
        <v>0</v>
      </c>
      <c r="K197" s="37">
        <f t="shared" si="52"/>
        <v>0</v>
      </c>
      <c r="L197" s="37">
        <f t="shared" si="52"/>
        <v>0</v>
      </c>
      <c r="M197" s="37">
        <f t="shared" si="52"/>
        <v>0</v>
      </c>
      <c r="N197" s="37">
        <f t="shared" si="52"/>
        <v>0</v>
      </c>
      <c r="O197" s="37">
        <f t="shared" si="52"/>
        <v>0</v>
      </c>
      <c r="P197" s="37">
        <f t="shared" si="52"/>
        <v>0</v>
      </c>
      <c r="Q197" s="37">
        <f t="shared" si="52"/>
        <v>0</v>
      </c>
      <c r="R197" s="37">
        <f t="shared" si="52"/>
        <v>0</v>
      </c>
      <c r="S197" s="37">
        <f t="shared" si="52"/>
        <v>0</v>
      </c>
      <c r="T197" s="37">
        <f t="shared" si="52"/>
        <v>0</v>
      </c>
      <c r="U197" s="37">
        <f t="shared" si="52"/>
        <v>0</v>
      </c>
      <c r="V197" s="37">
        <f t="shared" si="52"/>
        <v>0</v>
      </c>
      <c r="W197" s="37">
        <f t="shared" si="52"/>
        <v>0</v>
      </c>
      <c r="X197" s="37">
        <f t="shared" si="52"/>
        <v>0</v>
      </c>
      <c r="Y197" s="37">
        <f t="shared" si="52"/>
        <v>0</v>
      </c>
      <c r="Z197" s="1"/>
      <c r="AA197" s="1"/>
      <c r="AB197" s="1"/>
      <c r="AC197" s="1"/>
    </row>
    <row r="198" spans="1:29" customFormat="1">
      <c r="A198" s="1"/>
      <c r="B198" s="1"/>
      <c r="C198" s="1"/>
      <c r="D198" s="1" t="s">
        <v>117</v>
      </c>
      <c r="E198" s="37">
        <f t="shared" si="52"/>
        <v>0</v>
      </c>
      <c r="F198" s="37">
        <f t="shared" si="52"/>
        <v>0</v>
      </c>
      <c r="G198" s="37">
        <f t="shared" si="52"/>
        <v>0</v>
      </c>
      <c r="H198" s="37">
        <f t="shared" si="52"/>
        <v>0</v>
      </c>
      <c r="I198" s="37">
        <f t="shared" si="52"/>
        <v>0</v>
      </c>
      <c r="J198" s="37">
        <f t="shared" ref="J198:Y213" si="53">J161-J160</f>
        <v>0</v>
      </c>
      <c r="K198" s="37">
        <f t="shared" si="53"/>
        <v>0</v>
      </c>
      <c r="L198" s="37">
        <f t="shared" si="53"/>
        <v>0</v>
      </c>
      <c r="M198" s="37">
        <f t="shared" si="53"/>
        <v>0</v>
      </c>
      <c r="N198" s="37">
        <f t="shared" si="53"/>
        <v>0</v>
      </c>
      <c r="O198" s="37">
        <f t="shared" si="53"/>
        <v>0</v>
      </c>
      <c r="P198" s="37">
        <f t="shared" si="53"/>
        <v>0</v>
      </c>
      <c r="Q198" s="37">
        <f t="shared" si="53"/>
        <v>0</v>
      </c>
      <c r="R198" s="37">
        <f t="shared" si="53"/>
        <v>0</v>
      </c>
      <c r="S198" s="37">
        <f t="shared" si="53"/>
        <v>0</v>
      </c>
      <c r="T198" s="37">
        <f t="shared" si="53"/>
        <v>0</v>
      </c>
      <c r="U198" s="37">
        <f t="shared" si="53"/>
        <v>0</v>
      </c>
      <c r="V198" s="37">
        <f t="shared" si="53"/>
        <v>0</v>
      </c>
      <c r="W198" s="37">
        <f t="shared" si="53"/>
        <v>0</v>
      </c>
      <c r="X198" s="37">
        <f t="shared" si="53"/>
        <v>0</v>
      </c>
      <c r="Y198" s="37">
        <f t="shared" si="53"/>
        <v>0</v>
      </c>
      <c r="Z198" s="1"/>
      <c r="AA198" s="1"/>
      <c r="AB198" s="1"/>
      <c r="AC198" s="1"/>
    </row>
    <row r="199" spans="1:29" customFormat="1">
      <c r="A199" s="1"/>
      <c r="B199" s="1"/>
      <c r="C199" s="1"/>
      <c r="D199" s="1" t="s">
        <v>120</v>
      </c>
      <c r="E199" s="37">
        <f t="shared" ref="E199:X211" si="54">E162-E161</f>
        <v>0</v>
      </c>
      <c r="F199" s="37">
        <f t="shared" si="54"/>
        <v>0</v>
      </c>
      <c r="G199" s="37">
        <f t="shared" si="54"/>
        <v>0</v>
      </c>
      <c r="H199" s="37">
        <f t="shared" si="54"/>
        <v>0</v>
      </c>
      <c r="I199" s="37">
        <f t="shared" si="54"/>
        <v>0</v>
      </c>
      <c r="J199" s="37">
        <f t="shared" si="54"/>
        <v>0</v>
      </c>
      <c r="K199" s="37">
        <f t="shared" si="54"/>
        <v>0</v>
      </c>
      <c r="L199" s="37">
        <f t="shared" si="54"/>
        <v>0</v>
      </c>
      <c r="M199" s="37">
        <f t="shared" si="54"/>
        <v>0</v>
      </c>
      <c r="N199" s="37">
        <f t="shared" si="54"/>
        <v>0</v>
      </c>
      <c r="O199" s="37">
        <f t="shared" si="54"/>
        <v>0</v>
      </c>
      <c r="P199" s="37">
        <f t="shared" si="54"/>
        <v>0</v>
      </c>
      <c r="Q199" s="37">
        <f t="shared" si="54"/>
        <v>0</v>
      </c>
      <c r="R199" s="37">
        <f t="shared" si="54"/>
        <v>0</v>
      </c>
      <c r="S199" s="37">
        <f t="shared" si="54"/>
        <v>0</v>
      </c>
      <c r="T199" s="37">
        <f t="shared" si="54"/>
        <v>0</v>
      </c>
      <c r="U199" s="37">
        <f t="shared" si="54"/>
        <v>0</v>
      </c>
      <c r="V199" s="37">
        <f t="shared" si="54"/>
        <v>0</v>
      </c>
      <c r="W199" s="37">
        <f t="shared" si="54"/>
        <v>0</v>
      </c>
      <c r="X199" s="37">
        <f t="shared" si="54"/>
        <v>0</v>
      </c>
      <c r="Y199" s="37">
        <f t="shared" si="53"/>
        <v>0</v>
      </c>
      <c r="Z199" s="1"/>
      <c r="AA199" s="1"/>
      <c r="AB199" s="1"/>
      <c r="AC199" s="1"/>
    </row>
    <row r="200" spans="1:29" customFormat="1">
      <c r="A200" s="1"/>
      <c r="B200" s="1"/>
      <c r="C200" s="1"/>
      <c r="D200" s="1" t="s">
        <v>123</v>
      </c>
      <c r="E200" s="37">
        <f t="shared" si="54"/>
        <v>0</v>
      </c>
      <c r="F200" s="37">
        <f t="shared" si="54"/>
        <v>0</v>
      </c>
      <c r="G200" s="37">
        <f t="shared" si="54"/>
        <v>0</v>
      </c>
      <c r="H200" s="37">
        <f t="shared" si="54"/>
        <v>0</v>
      </c>
      <c r="I200" s="37">
        <f t="shared" si="54"/>
        <v>0</v>
      </c>
      <c r="J200" s="37">
        <f t="shared" si="54"/>
        <v>0</v>
      </c>
      <c r="K200" s="37">
        <f t="shared" si="54"/>
        <v>0</v>
      </c>
      <c r="L200" s="37">
        <f t="shared" si="54"/>
        <v>0</v>
      </c>
      <c r="M200" s="37">
        <f t="shared" si="54"/>
        <v>0</v>
      </c>
      <c r="N200" s="37">
        <f t="shared" si="54"/>
        <v>0</v>
      </c>
      <c r="O200" s="37">
        <f t="shared" si="54"/>
        <v>0</v>
      </c>
      <c r="P200" s="37">
        <f t="shared" si="54"/>
        <v>0</v>
      </c>
      <c r="Q200" s="37">
        <f t="shared" si="54"/>
        <v>0</v>
      </c>
      <c r="R200" s="37">
        <f t="shared" si="54"/>
        <v>0</v>
      </c>
      <c r="S200" s="37">
        <f t="shared" si="54"/>
        <v>0</v>
      </c>
      <c r="T200" s="37">
        <f t="shared" si="54"/>
        <v>0</v>
      </c>
      <c r="U200" s="37">
        <f t="shared" si="54"/>
        <v>0</v>
      </c>
      <c r="V200" s="37">
        <f t="shared" si="54"/>
        <v>0</v>
      </c>
      <c r="W200" s="37">
        <f t="shared" si="54"/>
        <v>0</v>
      </c>
      <c r="X200" s="37">
        <f t="shared" si="54"/>
        <v>0</v>
      </c>
      <c r="Y200" s="37">
        <f t="shared" si="53"/>
        <v>0</v>
      </c>
      <c r="Z200" s="1"/>
      <c r="AA200" s="1"/>
      <c r="AB200" s="1"/>
      <c r="AC200" s="1"/>
    </row>
    <row r="201" spans="1:29" customFormat="1">
      <c r="A201" s="1"/>
      <c r="B201" s="1"/>
      <c r="C201" s="1"/>
      <c r="D201" s="1" t="s">
        <v>126</v>
      </c>
      <c r="E201" s="37">
        <f t="shared" si="54"/>
        <v>0</v>
      </c>
      <c r="F201" s="37">
        <f t="shared" si="54"/>
        <v>0</v>
      </c>
      <c r="G201" s="37">
        <f t="shared" si="54"/>
        <v>0</v>
      </c>
      <c r="H201" s="37">
        <f t="shared" si="54"/>
        <v>0</v>
      </c>
      <c r="I201" s="37">
        <f t="shared" si="54"/>
        <v>0</v>
      </c>
      <c r="J201" s="37">
        <f t="shared" si="54"/>
        <v>0</v>
      </c>
      <c r="K201" s="37">
        <f t="shared" si="54"/>
        <v>0</v>
      </c>
      <c r="L201" s="37">
        <f t="shared" si="54"/>
        <v>0</v>
      </c>
      <c r="M201" s="37">
        <f t="shared" si="54"/>
        <v>0</v>
      </c>
      <c r="N201" s="37">
        <f t="shared" si="54"/>
        <v>0</v>
      </c>
      <c r="O201" s="37">
        <f t="shared" si="54"/>
        <v>0</v>
      </c>
      <c r="P201" s="37">
        <f t="shared" si="54"/>
        <v>0</v>
      </c>
      <c r="Q201" s="37">
        <f t="shared" si="54"/>
        <v>0</v>
      </c>
      <c r="R201" s="37">
        <f t="shared" si="54"/>
        <v>0</v>
      </c>
      <c r="S201" s="37">
        <f t="shared" si="54"/>
        <v>0</v>
      </c>
      <c r="T201" s="37">
        <f t="shared" si="54"/>
        <v>0</v>
      </c>
      <c r="U201" s="37">
        <f t="shared" si="54"/>
        <v>0</v>
      </c>
      <c r="V201" s="37">
        <f t="shared" si="54"/>
        <v>0</v>
      </c>
      <c r="W201" s="37">
        <f t="shared" si="54"/>
        <v>0</v>
      </c>
      <c r="X201" s="37">
        <f t="shared" si="54"/>
        <v>0</v>
      </c>
      <c r="Y201" s="37">
        <f t="shared" si="53"/>
        <v>0</v>
      </c>
      <c r="Z201" s="1"/>
      <c r="AA201" s="1"/>
      <c r="AB201" s="1"/>
      <c r="AC201" s="1"/>
    </row>
    <row r="202" spans="1:29" customFormat="1">
      <c r="A202" s="1"/>
      <c r="B202" s="1"/>
      <c r="C202" s="1"/>
      <c r="D202" s="1" t="s">
        <v>129</v>
      </c>
      <c r="E202" s="37">
        <f t="shared" si="54"/>
        <v>0</v>
      </c>
      <c r="F202" s="37">
        <f t="shared" si="54"/>
        <v>0</v>
      </c>
      <c r="G202" s="37">
        <f t="shared" si="54"/>
        <v>0</v>
      </c>
      <c r="H202" s="37">
        <f t="shared" si="54"/>
        <v>0</v>
      </c>
      <c r="I202" s="37">
        <f t="shared" si="54"/>
        <v>0</v>
      </c>
      <c r="J202" s="37">
        <f t="shared" si="54"/>
        <v>0</v>
      </c>
      <c r="K202" s="37">
        <f t="shared" si="54"/>
        <v>0</v>
      </c>
      <c r="L202" s="37">
        <f t="shared" si="54"/>
        <v>0</v>
      </c>
      <c r="M202" s="37">
        <f t="shared" si="54"/>
        <v>0</v>
      </c>
      <c r="N202" s="37">
        <f t="shared" si="54"/>
        <v>0</v>
      </c>
      <c r="O202" s="37">
        <f t="shared" si="54"/>
        <v>0</v>
      </c>
      <c r="P202" s="37">
        <f t="shared" si="54"/>
        <v>0</v>
      </c>
      <c r="Q202" s="37">
        <f t="shared" si="54"/>
        <v>0</v>
      </c>
      <c r="R202" s="37">
        <f t="shared" si="54"/>
        <v>0</v>
      </c>
      <c r="S202" s="37">
        <f t="shared" si="54"/>
        <v>0</v>
      </c>
      <c r="T202" s="37">
        <f t="shared" si="54"/>
        <v>0</v>
      </c>
      <c r="U202" s="37">
        <f t="shared" si="54"/>
        <v>0</v>
      </c>
      <c r="V202" s="37">
        <f t="shared" si="54"/>
        <v>0</v>
      </c>
      <c r="W202" s="37">
        <f t="shared" si="54"/>
        <v>0</v>
      </c>
      <c r="X202" s="37">
        <f t="shared" si="54"/>
        <v>0</v>
      </c>
      <c r="Y202" s="37">
        <f t="shared" si="53"/>
        <v>0</v>
      </c>
      <c r="Z202" s="1"/>
      <c r="AA202" s="1"/>
      <c r="AB202" s="1"/>
      <c r="AC202" s="1"/>
    </row>
    <row r="203" spans="1:29" customFormat="1">
      <c r="A203" s="1"/>
      <c r="B203" s="1"/>
      <c r="C203" s="1"/>
      <c r="D203" s="1" t="s">
        <v>132</v>
      </c>
      <c r="E203" s="37">
        <f t="shared" si="54"/>
        <v>0</v>
      </c>
      <c r="F203" s="37">
        <f t="shared" si="54"/>
        <v>0</v>
      </c>
      <c r="G203" s="37">
        <f t="shared" si="54"/>
        <v>0</v>
      </c>
      <c r="H203" s="37">
        <f t="shared" si="54"/>
        <v>0</v>
      </c>
      <c r="I203" s="37">
        <f t="shared" si="54"/>
        <v>0</v>
      </c>
      <c r="J203" s="37">
        <f t="shared" si="54"/>
        <v>0</v>
      </c>
      <c r="K203" s="37">
        <f t="shared" si="54"/>
        <v>0</v>
      </c>
      <c r="L203" s="37">
        <f t="shared" si="54"/>
        <v>0</v>
      </c>
      <c r="M203" s="37">
        <f t="shared" si="54"/>
        <v>0</v>
      </c>
      <c r="N203" s="37">
        <f t="shared" si="54"/>
        <v>0</v>
      </c>
      <c r="O203" s="37">
        <f t="shared" si="54"/>
        <v>0</v>
      </c>
      <c r="P203" s="37">
        <f t="shared" si="54"/>
        <v>0</v>
      </c>
      <c r="Q203" s="37">
        <f t="shared" si="54"/>
        <v>0</v>
      </c>
      <c r="R203" s="37">
        <f t="shared" si="54"/>
        <v>0</v>
      </c>
      <c r="S203" s="37">
        <f t="shared" si="54"/>
        <v>0</v>
      </c>
      <c r="T203" s="37">
        <f t="shared" si="54"/>
        <v>0</v>
      </c>
      <c r="U203" s="37">
        <f t="shared" si="54"/>
        <v>0</v>
      </c>
      <c r="V203" s="37">
        <f t="shared" si="54"/>
        <v>0</v>
      </c>
      <c r="W203" s="37">
        <f t="shared" si="54"/>
        <v>0</v>
      </c>
      <c r="X203" s="37">
        <f t="shared" si="54"/>
        <v>0</v>
      </c>
      <c r="Y203" s="37">
        <f t="shared" si="53"/>
        <v>0</v>
      </c>
      <c r="Z203" s="1"/>
      <c r="AA203" s="1"/>
      <c r="AB203" s="1"/>
      <c r="AC203" s="1"/>
    </row>
    <row r="204" spans="1:29" customFormat="1">
      <c r="A204" s="1"/>
      <c r="B204" s="1"/>
      <c r="C204" s="1"/>
      <c r="D204" s="1" t="s">
        <v>135</v>
      </c>
      <c r="E204" s="37">
        <f t="shared" si="54"/>
        <v>0</v>
      </c>
      <c r="F204" s="37">
        <f t="shared" si="54"/>
        <v>0</v>
      </c>
      <c r="G204" s="37">
        <f t="shared" si="54"/>
        <v>0</v>
      </c>
      <c r="H204" s="37">
        <f t="shared" si="54"/>
        <v>0</v>
      </c>
      <c r="I204" s="37">
        <f t="shared" si="54"/>
        <v>0</v>
      </c>
      <c r="J204" s="37">
        <f t="shared" si="54"/>
        <v>0</v>
      </c>
      <c r="K204" s="37">
        <f t="shared" si="54"/>
        <v>0</v>
      </c>
      <c r="L204" s="37">
        <f t="shared" si="54"/>
        <v>0</v>
      </c>
      <c r="M204" s="37">
        <f t="shared" si="54"/>
        <v>0</v>
      </c>
      <c r="N204" s="37">
        <f t="shared" si="54"/>
        <v>0</v>
      </c>
      <c r="O204" s="37">
        <f t="shared" si="54"/>
        <v>0</v>
      </c>
      <c r="P204" s="37">
        <f t="shared" si="54"/>
        <v>0</v>
      </c>
      <c r="Q204" s="37">
        <f t="shared" si="54"/>
        <v>0</v>
      </c>
      <c r="R204" s="37">
        <f t="shared" si="54"/>
        <v>0</v>
      </c>
      <c r="S204" s="37">
        <f t="shared" si="54"/>
        <v>0</v>
      </c>
      <c r="T204" s="37">
        <f t="shared" si="54"/>
        <v>0</v>
      </c>
      <c r="U204" s="37">
        <f t="shared" si="54"/>
        <v>0</v>
      </c>
      <c r="V204" s="37">
        <f t="shared" si="54"/>
        <v>0</v>
      </c>
      <c r="W204" s="37">
        <f t="shared" si="54"/>
        <v>0</v>
      </c>
      <c r="X204" s="37">
        <f t="shared" si="54"/>
        <v>0</v>
      </c>
      <c r="Y204" s="37">
        <f t="shared" si="53"/>
        <v>0</v>
      </c>
      <c r="Z204" s="1"/>
      <c r="AA204" s="1"/>
      <c r="AB204" s="1"/>
      <c r="AC204" s="1"/>
    </row>
    <row r="205" spans="1:29" customFormat="1">
      <c r="A205" s="1"/>
      <c r="B205" s="1"/>
      <c r="C205" s="1"/>
      <c r="D205" s="1" t="s">
        <v>138</v>
      </c>
      <c r="E205" s="37">
        <f t="shared" si="54"/>
        <v>0</v>
      </c>
      <c r="F205" s="37">
        <f t="shared" si="54"/>
        <v>0</v>
      </c>
      <c r="G205" s="37">
        <f t="shared" si="54"/>
        <v>0</v>
      </c>
      <c r="H205" s="37">
        <f t="shared" si="54"/>
        <v>0</v>
      </c>
      <c r="I205" s="37">
        <f t="shared" si="54"/>
        <v>0</v>
      </c>
      <c r="J205" s="37">
        <f t="shared" si="54"/>
        <v>0</v>
      </c>
      <c r="K205" s="37">
        <f t="shared" si="54"/>
        <v>0</v>
      </c>
      <c r="L205" s="37">
        <f t="shared" si="54"/>
        <v>0</v>
      </c>
      <c r="M205" s="37">
        <f t="shared" si="54"/>
        <v>0</v>
      </c>
      <c r="N205" s="37">
        <f t="shared" si="54"/>
        <v>0</v>
      </c>
      <c r="O205" s="37">
        <f t="shared" si="54"/>
        <v>0</v>
      </c>
      <c r="P205" s="37">
        <f t="shared" si="54"/>
        <v>0</v>
      </c>
      <c r="Q205" s="37">
        <f t="shared" si="54"/>
        <v>0</v>
      </c>
      <c r="R205" s="37">
        <f t="shared" si="54"/>
        <v>0</v>
      </c>
      <c r="S205" s="37">
        <f t="shared" si="54"/>
        <v>0</v>
      </c>
      <c r="T205" s="37">
        <f t="shared" si="54"/>
        <v>0</v>
      </c>
      <c r="U205" s="37">
        <f t="shared" si="54"/>
        <v>0</v>
      </c>
      <c r="V205" s="37">
        <f t="shared" si="54"/>
        <v>0</v>
      </c>
      <c r="W205" s="37">
        <f t="shared" si="54"/>
        <v>0</v>
      </c>
      <c r="X205" s="37">
        <f t="shared" si="54"/>
        <v>0</v>
      </c>
      <c r="Y205" s="37">
        <f t="shared" si="53"/>
        <v>0</v>
      </c>
      <c r="Z205" s="1"/>
      <c r="AA205" s="1"/>
      <c r="AB205" s="1"/>
      <c r="AC205" s="1"/>
    </row>
    <row r="206" spans="1:29" customFormat="1">
      <c r="A206" s="1"/>
      <c r="B206" s="1"/>
      <c r="C206" s="1"/>
      <c r="D206" s="1" t="s">
        <v>365</v>
      </c>
      <c r="E206" s="37">
        <f t="shared" si="54"/>
        <v>0</v>
      </c>
      <c r="F206" s="37">
        <f t="shared" si="54"/>
        <v>0</v>
      </c>
      <c r="G206" s="37">
        <f t="shared" si="54"/>
        <v>0</v>
      </c>
      <c r="H206" s="37">
        <f t="shared" si="54"/>
        <v>0</v>
      </c>
      <c r="I206" s="37">
        <f t="shared" si="54"/>
        <v>0</v>
      </c>
      <c r="J206" s="37">
        <f t="shared" si="54"/>
        <v>0</v>
      </c>
      <c r="K206" s="37">
        <f t="shared" si="54"/>
        <v>0</v>
      </c>
      <c r="L206" s="37">
        <f t="shared" si="54"/>
        <v>0</v>
      </c>
      <c r="M206" s="37">
        <f t="shared" si="54"/>
        <v>0</v>
      </c>
      <c r="N206" s="37">
        <f t="shared" si="54"/>
        <v>0</v>
      </c>
      <c r="O206" s="37">
        <f t="shared" si="54"/>
        <v>0</v>
      </c>
      <c r="P206" s="37">
        <f t="shared" si="54"/>
        <v>0</v>
      </c>
      <c r="Q206" s="37">
        <f t="shared" si="54"/>
        <v>0</v>
      </c>
      <c r="R206" s="37">
        <f t="shared" si="54"/>
        <v>0</v>
      </c>
      <c r="S206" s="37">
        <f t="shared" si="54"/>
        <v>0</v>
      </c>
      <c r="T206" s="37">
        <f t="shared" si="54"/>
        <v>0</v>
      </c>
      <c r="U206" s="37">
        <f t="shared" si="54"/>
        <v>0</v>
      </c>
      <c r="V206" s="37">
        <f t="shared" si="54"/>
        <v>0</v>
      </c>
      <c r="W206" s="37">
        <f t="shared" si="54"/>
        <v>0</v>
      </c>
      <c r="X206" s="37">
        <f t="shared" si="54"/>
        <v>0</v>
      </c>
      <c r="Y206" s="37">
        <f t="shared" si="53"/>
        <v>0</v>
      </c>
      <c r="Z206" s="1"/>
      <c r="AA206" s="1"/>
      <c r="AB206" s="1"/>
      <c r="AC206" s="1"/>
    </row>
    <row r="207" spans="1:29" customFormat="1">
      <c r="A207" s="1"/>
      <c r="B207" s="1"/>
      <c r="C207" s="1"/>
      <c r="D207" s="1" t="s">
        <v>367</v>
      </c>
      <c r="E207" s="37">
        <f t="shared" si="54"/>
        <v>0</v>
      </c>
      <c r="F207" s="37">
        <f t="shared" si="54"/>
        <v>0</v>
      </c>
      <c r="G207" s="37">
        <f t="shared" si="54"/>
        <v>0</v>
      </c>
      <c r="H207" s="37">
        <f t="shared" si="54"/>
        <v>0</v>
      </c>
      <c r="I207" s="37">
        <f t="shared" si="54"/>
        <v>0</v>
      </c>
      <c r="J207" s="37">
        <f t="shared" si="54"/>
        <v>0</v>
      </c>
      <c r="K207" s="37">
        <f t="shared" si="54"/>
        <v>0</v>
      </c>
      <c r="L207" s="37">
        <f t="shared" si="54"/>
        <v>0</v>
      </c>
      <c r="M207" s="37">
        <f t="shared" si="54"/>
        <v>0</v>
      </c>
      <c r="N207" s="37">
        <f t="shared" si="54"/>
        <v>0</v>
      </c>
      <c r="O207" s="37">
        <f t="shared" si="54"/>
        <v>0</v>
      </c>
      <c r="P207" s="37">
        <f t="shared" si="54"/>
        <v>0</v>
      </c>
      <c r="Q207" s="37">
        <f t="shared" si="54"/>
        <v>0</v>
      </c>
      <c r="R207" s="37">
        <f t="shared" si="54"/>
        <v>0</v>
      </c>
      <c r="S207" s="37">
        <f t="shared" si="54"/>
        <v>0</v>
      </c>
      <c r="T207" s="37">
        <f t="shared" si="54"/>
        <v>0</v>
      </c>
      <c r="U207" s="37">
        <f t="shared" si="54"/>
        <v>0</v>
      </c>
      <c r="V207" s="37">
        <f t="shared" si="54"/>
        <v>0</v>
      </c>
      <c r="W207" s="37">
        <f t="shared" si="54"/>
        <v>0</v>
      </c>
      <c r="X207" s="37">
        <f t="shared" si="54"/>
        <v>0</v>
      </c>
      <c r="Y207" s="37">
        <f t="shared" si="53"/>
        <v>0</v>
      </c>
      <c r="Z207" s="1"/>
      <c r="AA207" s="1"/>
      <c r="AB207" s="1"/>
      <c r="AC207" s="1"/>
    </row>
    <row r="208" spans="1:29" customFormat="1">
      <c r="A208" s="1"/>
      <c r="B208" s="1"/>
      <c r="C208" s="1"/>
      <c r="D208" s="1" t="s">
        <v>370</v>
      </c>
      <c r="E208" s="37">
        <f t="shared" si="54"/>
        <v>0</v>
      </c>
      <c r="F208" s="37">
        <f t="shared" si="54"/>
        <v>0</v>
      </c>
      <c r="G208" s="37">
        <f t="shared" si="54"/>
        <v>0</v>
      </c>
      <c r="H208" s="37">
        <f t="shared" si="54"/>
        <v>0</v>
      </c>
      <c r="I208" s="37">
        <f t="shared" si="54"/>
        <v>0</v>
      </c>
      <c r="J208" s="37">
        <f t="shared" si="54"/>
        <v>0</v>
      </c>
      <c r="K208" s="37">
        <f t="shared" si="54"/>
        <v>0</v>
      </c>
      <c r="L208" s="37">
        <f t="shared" si="54"/>
        <v>0</v>
      </c>
      <c r="M208" s="37">
        <f t="shared" si="54"/>
        <v>0</v>
      </c>
      <c r="N208" s="37">
        <f t="shared" si="54"/>
        <v>0</v>
      </c>
      <c r="O208" s="37">
        <f t="shared" si="54"/>
        <v>0</v>
      </c>
      <c r="P208" s="37">
        <f t="shared" si="54"/>
        <v>0</v>
      </c>
      <c r="Q208" s="37">
        <f t="shared" si="54"/>
        <v>0</v>
      </c>
      <c r="R208" s="37">
        <f t="shared" si="54"/>
        <v>0</v>
      </c>
      <c r="S208" s="37">
        <f t="shared" si="54"/>
        <v>0</v>
      </c>
      <c r="T208" s="37">
        <f t="shared" si="54"/>
        <v>0</v>
      </c>
      <c r="U208" s="37">
        <f t="shared" si="54"/>
        <v>0</v>
      </c>
      <c r="V208" s="37">
        <f t="shared" si="54"/>
        <v>0</v>
      </c>
      <c r="W208" s="37">
        <f t="shared" si="54"/>
        <v>0</v>
      </c>
      <c r="X208" s="37">
        <f t="shared" si="54"/>
        <v>0</v>
      </c>
      <c r="Y208" s="37">
        <f t="shared" si="53"/>
        <v>0</v>
      </c>
      <c r="Z208" s="1"/>
      <c r="AA208" s="1"/>
      <c r="AB208" s="1"/>
      <c r="AC208" s="1"/>
    </row>
    <row r="209" spans="1:29" customFormat="1">
      <c r="A209" s="1"/>
      <c r="B209" s="1"/>
      <c r="C209" s="1"/>
      <c r="D209" s="1" t="s">
        <v>373</v>
      </c>
      <c r="E209" s="37">
        <f t="shared" si="54"/>
        <v>0</v>
      </c>
      <c r="F209" s="37">
        <f t="shared" si="54"/>
        <v>0</v>
      </c>
      <c r="G209" s="37">
        <f t="shared" si="54"/>
        <v>0</v>
      </c>
      <c r="H209" s="37">
        <f t="shared" si="54"/>
        <v>0</v>
      </c>
      <c r="I209" s="37">
        <f t="shared" si="54"/>
        <v>0</v>
      </c>
      <c r="J209" s="37">
        <f t="shared" si="54"/>
        <v>0</v>
      </c>
      <c r="K209" s="37">
        <f t="shared" si="54"/>
        <v>0</v>
      </c>
      <c r="L209" s="37">
        <f t="shared" si="54"/>
        <v>0</v>
      </c>
      <c r="M209" s="37">
        <f t="shared" si="54"/>
        <v>0</v>
      </c>
      <c r="N209" s="37">
        <f t="shared" si="54"/>
        <v>0</v>
      </c>
      <c r="O209" s="37">
        <f t="shared" si="54"/>
        <v>0</v>
      </c>
      <c r="P209" s="37">
        <f t="shared" si="54"/>
        <v>0</v>
      </c>
      <c r="Q209" s="37">
        <f t="shared" si="54"/>
        <v>0</v>
      </c>
      <c r="R209" s="37">
        <f t="shared" si="54"/>
        <v>0</v>
      </c>
      <c r="S209" s="37">
        <f t="shared" si="54"/>
        <v>0</v>
      </c>
      <c r="T209" s="37">
        <f t="shared" si="54"/>
        <v>0</v>
      </c>
      <c r="U209" s="37">
        <f t="shared" si="54"/>
        <v>0</v>
      </c>
      <c r="V209" s="37">
        <f t="shared" si="54"/>
        <v>0</v>
      </c>
      <c r="W209" s="37">
        <f t="shared" si="54"/>
        <v>0</v>
      </c>
      <c r="X209" s="37">
        <f t="shared" si="54"/>
        <v>0</v>
      </c>
      <c r="Y209" s="37">
        <f t="shared" si="53"/>
        <v>0</v>
      </c>
      <c r="Z209" s="1"/>
      <c r="AA209" s="1"/>
      <c r="AB209" s="1"/>
      <c r="AC209" s="1"/>
    </row>
    <row r="210" spans="1:29" customFormat="1">
      <c r="A210" s="1"/>
      <c r="B210" s="1"/>
      <c r="C210" s="1"/>
      <c r="D210" s="1" t="s">
        <v>376</v>
      </c>
      <c r="E210" s="37">
        <f t="shared" si="54"/>
        <v>0</v>
      </c>
      <c r="F210" s="37">
        <f t="shared" si="54"/>
        <v>0</v>
      </c>
      <c r="G210" s="37">
        <f t="shared" si="54"/>
        <v>0</v>
      </c>
      <c r="H210" s="37">
        <f t="shared" si="54"/>
        <v>0</v>
      </c>
      <c r="I210" s="37">
        <f t="shared" si="54"/>
        <v>0</v>
      </c>
      <c r="J210" s="37">
        <f t="shared" si="54"/>
        <v>0</v>
      </c>
      <c r="K210" s="37">
        <f t="shared" si="54"/>
        <v>0</v>
      </c>
      <c r="L210" s="37">
        <f t="shared" si="54"/>
        <v>0</v>
      </c>
      <c r="M210" s="37">
        <f t="shared" si="54"/>
        <v>0</v>
      </c>
      <c r="N210" s="37">
        <f t="shared" si="54"/>
        <v>0</v>
      </c>
      <c r="O210" s="37">
        <f t="shared" si="54"/>
        <v>0</v>
      </c>
      <c r="P210" s="37">
        <f t="shared" si="54"/>
        <v>0</v>
      </c>
      <c r="Q210" s="37">
        <f t="shared" si="54"/>
        <v>0</v>
      </c>
      <c r="R210" s="37">
        <f t="shared" si="54"/>
        <v>0</v>
      </c>
      <c r="S210" s="37">
        <f t="shared" si="54"/>
        <v>0</v>
      </c>
      <c r="T210" s="37">
        <f t="shared" si="54"/>
        <v>0</v>
      </c>
      <c r="U210" s="37">
        <f t="shared" si="54"/>
        <v>0</v>
      </c>
      <c r="V210" s="37">
        <f t="shared" si="54"/>
        <v>0</v>
      </c>
      <c r="W210" s="37">
        <f t="shared" si="54"/>
        <v>0</v>
      </c>
      <c r="X210" s="37">
        <f t="shared" si="54"/>
        <v>0</v>
      </c>
      <c r="Y210" s="37">
        <f t="shared" si="53"/>
        <v>0</v>
      </c>
      <c r="Z210" s="1"/>
      <c r="AA210" s="1"/>
      <c r="AB210" s="1"/>
      <c r="AC210" s="1"/>
    </row>
    <row r="211" spans="1:29" customFormat="1">
      <c r="A211" s="1"/>
      <c r="B211" s="1"/>
      <c r="C211" s="1"/>
      <c r="D211" s="1" t="s">
        <v>379</v>
      </c>
      <c r="E211" s="37">
        <f t="shared" si="54"/>
        <v>0</v>
      </c>
      <c r="F211" s="37">
        <f t="shared" si="54"/>
        <v>4.6398574040082963E-3</v>
      </c>
      <c r="G211" s="37">
        <f t="shared" si="54"/>
        <v>5.9467731518552114E-3</v>
      </c>
      <c r="H211" s="37">
        <f t="shared" si="54"/>
        <v>6.9552143994044968E-3</v>
      </c>
      <c r="I211" s="37">
        <f t="shared" si="54"/>
        <v>7.8314014093905371E-3</v>
      </c>
      <c r="J211" s="37">
        <f t="shared" si="54"/>
        <v>8.5824044734472693E-3</v>
      </c>
      <c r="K211" s="37">
        <f t="shared" si="54"/>
        <v>9.2187419248119795E-3</v>
      </c>
      <c r="L211" s="37">
        <f t="shared" si="54"/>
        <v>9.75248658022565E-3</v>
      </c>
      <c r="M211" s="37">
        <f t="shared" si="54"/>
        <v>1.1405157760847828E-2</v>
      </c>
      <c r="N211" s="37">
        <f t="shared" si="54"/>
        <v>1.1572703280478436E-2</v>
      </c>
      <c r="O211" s="37">
        <f t="shared" si="54"/>
        <v>1.1721537568291751E-2</v>
      </c>
      <c r="P211" s="37">
        <f t="shared" si="54"/>
        <v>1.1834879417605748E-2</v>
      </c>
      <c r="Q211" s="37">
        <f t="shared" si="54"/>
        <v>1.1902432744847147E-2</v>
      </c>
      <c r="R211" s="37">
        <f t="shared" si="54"/>
        <v>1.1929484847271965E-2</v>
      </c>
      <c r="S211" s="37">
        <f t="shared" si="54"/>
        <v>1.1946225214408912E-2</v>
      </c>
      <c r="T211" s="37">
        <f t="shared" ref="T211:X211" si="55">T174-T173</f>
        <v>1.1956714361545551E-2</v>
      </c>
      <c r="U211" s="37">
        <f t="shared" si="55"/>
        <v>1.1951740436707325E-2</v>
      </c>
      <c r="V211" s="37">
        <f t="shared" si="55"/>
        <v>1.194609367385624E-2</v>
      </c>
      <c r="W211" s="37">
        <f t="shared" si="55"/>
        <v>1.1928430057793094E-2</v>
      </c>
      <c r="X211" s="37">
        <f t="shared" si="55"/>
        <v>1.1902345779589041E-2</v>
      </c>
      <c r="Y211" s="37">
        <f t="shared" si="53"/>
        <v>0.10184256027622496</v>
      </c>
      <c r="Z211" s="1"/>
      <c r="AA211" s="1"/>
      <c r="AB211" s="1"/>
      <c r="AC211" s="1"/>
    </row>
    <row r="212" spans="1:29" customFormat="1">
      <c r="A212" s="1"/>
      <c r="B212" s="1"/>
      <c r="C212" s="1"/>
      <c r="D212" s="1" t="s">
        <v>382</v>
      </c>
      <c r="E212" s="37">
        <f t="shared" ref="E212:X216" si="56">E175-E174</f>
        <v>0</v>
      </c>
      <c r="F212" s="37">
        <f t="shared" si="56"/>
        <v>0</v>
      </c>
      <c r="G212" s="37">
        <f t="shared" si="56"/>
        <v>0</v>
      </c>
      <c r="H212" s="37">
        <f t="shared" si="56"/>
        <v>0</v>
      </c>
      <c r="I212" s="37">
        <f t="shared" si="56"/>
        <v>0</v>
      </c>
      <c r="J212" s="37">
        <f t="shared" si="56"/>
        <v>0</v>
      </c>
      <c r="K212" s="37">
        <f t="shared" si="56"/>
        <v>0</v>
      </c>
      <c r="L212" s="37">
        <f t="shared" si="56"/>
        <v>0</v>
      </c>
      <c r="M212" s="37">
        <f t="shared" si="56"/>
        <v>0</v>
      </c>
      <c r="N212" s="37">
        <f t="shared" si="56"/>
        <v>0</v>
      </c>
      <c r="O212" s="37">
        <f t="shared" si="56"/>
        <v>0</v>
      </c>
      <c r="P212" s="37">
        <f t="shared" si="56"/>
        <v>0</v>
      </c>
      <c r="Q212" s="37">
        <f t="shared" si="56"/>
        <v>0</v>
      </c>
      <c r="R212" s="37">
        <f t="shared" si="56"/>
        <v>0</v>
      </c>
      <c r="S212" s="37">
        <f t="shared" si="56"/>
        <v>0</v>
      </c>
      <c r="T212" s="37">
        <f t="shared" si="56"/>
        <v>0</v>
      </c>
      <c r="U212" s="37">
        <f t="shared" si="56"/>
        <v>0</v>
      </c>
      <c r="V212" s="37">
        <f t="shared" si="56"/>
        <v>0</v>
      </c>
      <c r="W212" s="37">
        <f t="shared" si="56"/>
        <v>0</v>
      </c>
      <c r="X212" s="37">
        <f t="shared" si="56"/>
        <v>0</v>
      </c>
      <c r="Y212" s="37">
        <f t="shared" si="53"/>
        <v>0</v>
      </c>
      <c r="Z212" s="1"/>
      <c r="AA212" s="1"/>
      <c r="AB212" s="1"/>
      <c r="AC212" s="1"/>
    </row>
    <row r="213" spans="1:29" customFormat="1">
      <c r="A213" s="1"/>
      <c r="B213" s="1"/>
      <c r="C213" s="1"/>
      <c r="D213" s="1" t="s">
        <v>385</v>
      </c>
      <c r="E213" s="37">
        <f t="shared" si="56"/>
        <v>0</v>
      </c>
      <c r="F213" s="37">
        <f t="shared" si="56"/>
        <v>0</v>
      </c>
      <c r="G213" s="37">
        <f t="shared" si="56"/>
        <v>0</v>
      </c>
      <c r="H213" s="37">
        <f t="shared" si="56"/>
        <v>0</v>
      </c>
      <c r="I213" s="37">
        <f t="shared" si="56"/>
        <v>0</v>
      </c>
      <c r="J213" s="37">
        <f t="shared" si="56"/>
        <v>0</v>
      </c>
      <c r="K213" s="37">
        <f t="shared" si="56"/>
        <v>0</v>
      </c>
      <c r="L213" s="37">
        <f t="shared" si="56"/>
        <v>0</v>
      </c>
      <c r="M213" s="37">
        <f t="shared" si="56"/>
        <v>0</v>
      </c>
      <c r="N213" s="37">
        <f t="shared" si="56"/>
        <v>0</v>
      </c>
      <c r="O213" s="37">
        <f t="shared" si="56"/>
        <v>0</v>
      </c>
      <c r="P213" s="37">
        <f t="shared" si="56"/>
        <v>0</v>
      </c>
      <c r="Q213" s="37">
        <f t="shared" si="56"/>
        <v>0</v>
      </c>
      <c r="R213" s="37">
        <f t="shared" si="56"/>
        <v>0</v>
      </c>
      <c r="S213" s="37">
        <f t="shared" si="56"/>
        <v>0</v>
      </c>
      <c r="T213" s="37">
        <f t="shared" si="56"/>
        <v>0</v>
      </c>
      <c r="U213" s="37">
        <f t="shared" si="56"/>
        <v>0</v>
      </c>
      <c r="V213" s="37">
        <f t="shared" si="56"/>
        <v>0</v>
      </c>
      <c r="W213" s="37">
        <f t="shared" si="56"/>
        <v>0</v>
      </c>
      <c r="X213" s="37">
        <f t="shared" si="56"/>
        <v>0</v>
      </c>
      <c r="Y213" s="37">
        <f t="shared" si="53"/>
        <v>0</v>
      </c>
      <c r="Z213" s="1"/>
      <c r="AA213" s="1"/>
      <c r="AB213" s="1"/>
      <c r="AC213" s="1"/>
    </row>
    <row r="214" spans="1:29" customFormat="1">
      <c r="A214" s="1"/>
      <c r="B214" s="1"/>
      <c r="C214" s="1"/>
      <c r="D214" s="1" t="s">
        <v>388</v>
      </c>
      <c r="E214" s="37">
        <f t="shared" si="56"/>
        <v>0</v>
      </c>
      <c r="F214" s="37">
        <f t="shared" si="56"/>
        <v>0</v>
      </c>
      <c r="G214" s="37">
        <f t="shared" si="56"/>
        <v>0</v>
      </c>
      <c r="H214" s="37">
        <f t="shared" si="56"/>
        <v>0</v>
      </c>
      <c r="I214" s="37">
        <f t="shared" si="56"/>
        <v>0</v>
      </c>
      <c r="J214" s="37">
        <f t="shared" si="56"/>
        <v>0</v>
      </c>
      <c r="K214" s="37">
        <f t="shared" si="56"/>
        <v>0</v>
      </c>
      <c r="L214" s="37">
        <f t="shared" si="56"/>
        <v>0</v>
      </c>
      <c r="M214" s="37">
        <f t="shared" si="56"/>
        <v>0</v>
      </c>
      <c r="N214" s="37">
        <f t="shared" si="56"/>
        <v>0</v>
      </c>
      <c r="O214" s="37">
        <f t="shared" si="56"/>
        <v>0</v>
      </c>
      <c r="P214" s="37">
        <f t="shared" si="56"/>
        <v>0</v>
      </c>
      <c r="Q214" s="37">
        <f t="shared" si="56"/>
        <v>0</v>
      </c>
      <c r="R214" s="37">
        <f t="shared" si="56"/>
        <v>0</v>
      </c>
      <c r="S214" s="37">
        <f t="shared" si="56"/>
        <v>0</v>
      </c>
      <c r="T214" s="37">
        <f t="shared" si="56"/>
        <v>0</v>
      </c>
      <c r="U214" s="37">
        <f t="shared" si="56"/>
        <v>0</v>
      </c>
      <c r="V214" s="37">
        <f t="shared" si="56"/>
        <v>0</v>
      </c>
      <c r="W214" s="37">
        <f t="shared" si="56"/>
        <v>0</v>
      </c>
      <c r="X214" s="37">
        <f t="shared" si="56"/>
        <v>0</v>
      </c>
      <c r="Y214" s="37">
        <f t="shared" ref="Y214:Y216" si="57">Y177-Y176</f>
        <v>0</v>
      </c>
      <c r="Z214" s="1"/>
      <c r="AA214" s="1"/>
      <c r="AB214" s="1"/>
      <c r="AC214" s="1"/>
    </row>
    <row r="215" spans="1:29" customFormat="1">
      <c r="A215" s="1"/>
      <c r="B215" s="1"/>
      <c r="C215" s="1"/>
      <c r="D215" s="1" t="s">
        <v>391</v>
      </c>
      <c r="E215" s="37">
        <f t="shared" si="56"/>
        <v>0</v>
      </c>
      <c r="F215" s="37">
        <f t="shared" si="56"/>
        <v>0</v>
      </c>
      <c r="G215" s="37">
        <f t="shared" si="56"/>
        <v>0</v>
      </c>
      <c r="H215" s="37">
        <f t="shared" si="56"/>
        <v>0</v>
      </c>
      <c r="I215" s="37">
        <f t="shared" si="56"/>
        <v>0</v>
      </c>
      <c r="J215" s="37">
        <f t="shared" si="56"/>
        <v>0</v>
      </c>
      <c r="K215" s="37">
        <f t="shared" si="56"/>
        <v>0</v>
      </c>
      <c r="L215" s="37">
        <f t="shared" si="56"/>
        <v>0</v>
      </c>
      <c r="M215" s="37">
        <f t="shared" si="56"/>
        <v>0</v>
      </c>
      <c r="N215" s="37">
        <f t="shared" si="56"/>
        <v>0</v>
      </c>
      <c r="O215" s="37">
        <f t="shared" si="56"/>
        <v>0</v>
      </c>
      <c r="P215" s="37">
        <f t="shared" si="56"/>
        <v>0</v>
      </c>
      <c r="Q215" s="37">
        <f t="shared" si="56"/>
        <v>0</v>
      </c>
      <c r="R215" s="37">
        <f t="shared" si="56"/>
        <v>0</v>
      </c>
      <c r="S215" s="37">
        <f t="shared" si="56"/>
        <v>0</v>
      </c>
      <c r="T215" s="37">
        <f t="shared" si="56"/>
        <v>0</v>
      </c>
      <c r="U215" s="37">
        <f t="shared" si="56"/>
        <v>0</v>
      </c>
      <c r="V215" s="37">
        <f t="shared" si="56"/>
        <v>0</v>
      </c>
      <c r="W215" s="37">
        <f t="shared" si="56"/>
        <v>0</v>
      </c>
      <c r="X215" s="37">
        <f t="shared" si="56"/>
        <v>0</v>
      </c>
      <c r="Y215" s="37">
        <f t="shared" si="57"/>
        <v>0</v>
      </c>
      <c r="Z215" s="1"/>
      <c r="AA215" s="1"/>
      <c r="AB215" s="1"/>
      <c r="AC215" s="1"/>
    </row>
    <row r="216" spans="1:29" customFormat="1">
      <c r="A216" s="1"/>
      <c r="B216" s="1"/>
      <c r="C216" s="1"/>
      <c r="D216" s="1" t="s">
        <v>394</v>
      </c>
      <c r="E216" s="37">
        <f t="shared" si="56"/>
        <v>0</v>
      </c>
      <c r="F216" s="37">
        <f t="shared" si="56"/>
        <v>0</v>
      </c>
      <c r="G216" s="37">
        <f t="shared" si="56"/>
        <v>0</v>
      </c>
      <c r="H216" s="37">
        <f t="shared" si="56"/>
        <v>0</v>
      </c>
      <c r="I216" s="37">
        <f>I179-I178</f>
        <v>0</v>
      </c>
      <c r="J216" s="37">
        <f t="shared" si="56"/>
        <v>0</v>
      </c>
      <c r="K216" s="37">
        <f t="shared" si="56"/>
        <v>0</v>
      </c>
      <c r="L216" s="37">
        <f t="shared" si="56"/>
        <v>0</v>
      </c>
      <c r="M216" s="37">
        <f t="shared" si="56"/>
        <v>0</v>
      </c>
      <c r="N216" s="37">
        <f t="shared" si="56"/>
        <v>0</v>
      </c>
      <c r="O216" s="37">
        <f t="shared" si="56"/>
        <v>0</v>
      </c>
      <c r="P216" s="37">
        <f t="shared" si="56"/>
        <v>0</v>
      </c>
      <c r="Q216" s="37">
        <f t="shared" si="56"/>
        <v>0</v>
      </c>
      <c r="R216" s="37">
        <f t="shared" si="56"/>
        <v>0</v>
      </c>
      <c r="S216" s="37">
        <f t="shared" si="56"/>
        <v>0</v>
      </c>
      <c r="T216" s="37">
        <f t="shared" si="56"/>
        <v>0</v>
      </c>
      <c r="U216" s="37">
        <f t="shared" si="56"/>
        <v>0</v>
      </c>
      <c r="V216" s="37">
        <f t="shared" si="56"/>
        <v>0</v>
      </c>
      <c r="W216" s="37">
        <f t="shared" si="56"/>
        <v>0</v>
      </c>
      <c r="X216" s="37">
        <f t="shared" si="56"/>
        <v>0</v>
      </c>
      <c r="Y216" s="37">
        <f t="shared" si="57"/>
        <v>0</v>
      </c>
      <c r="Z216" s="1"/>
      <c r="AA216" s="1"/>
      <c r="AB216" s="1"/>
      <c r="AC216" s="1"/>
    </row>
    <row r="217" spans="1:29" customForma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ustomFormat="1" ht="15">
      <c r="A218" s="1"/>
      <c r="B218" s="1"/>
      <c r="C218" s="1"/>
      <c r="D218" s="76" t="s">
        <v>146</v>
      </c>
      <c r="E218" s="77">
        <f t="shared" ref="E218:X218" si="58">SUM(E185:E216)</f>
        <v>0</v>
      </c>
      <c r="F218" s="77">
        <f t="shared" si="58"/>
        <v>16.878204904338542</v>
      </c>
      <c r="G218" s="77">
        <f t="shared" si="58"/>
        <v>21.632314753884216</v>
      </c>
      <c r="H218" s="77">
        <f t="shared" si="58"/>
        <v>25.300677060776962</v>
      </c>
      <c r="I218" s="77">
        <f t="shared" si="58"/>
        <v>28.487943953119487</v>
      </c>
      <c r="J218" s="77">
        <f t="shared" si="58"/>
        <v>31.219834719410844</v>
      </c>
      <c r="K218" s="77">
        <f t="shared" si="58"/>
        <v>33.534611437183159</v>
      </c>
      <c r="L218" s="77">
        <f t="shared" si="58"/>
        <v>35.476190860024396</v>
      </c>
      <c r="M218" s="77">
        <f t="shared" si="58"/>
        <v>41.488040017727954</v>
      </c>
      <c r="N218" s="77">
        <f t="shared" si="58"/>
        <v>42.097512974524548</v>
      </c>
      <c r="O218" s="77">
        <f t="shared" si="58"/>
        <v>42.638920907515214</v>
      </c>
      <c r="P218" s="77">
        <f t="shared" si="58"/>
        <v>43.051219560358717</v>
      </c>
      <c r="Q218" s="77">
        <f t="shared" si="58"/>
        <v>43.296955323288813</v>
      </c>
      <c r="R218" s="77">
        <f t="shared" si="58"/>
        <v>43.395361564712992</v>
      </c>
      <c r="S218" s="77">
        <f t="shared" si="58"/>
        <v>43.456257260870096</v>
      </c>
      <c r="T218" s="77">
        <f t="shared" si="58"/>
        <v>43.494413169353535</v>
      </c>
      <c r="U218" s="77">
        <f t="shared" si="58"/>
        <v>43.476319742102035</v>
      </c>
      <c r="V218" s="77">
        <f t="shared" si="58"/>
        <v>43.45577876160236</v>
      </c>
      <c r="W218" s="77">
        <f t="shared" si="58"/>
        <v>43.391524603517276</v>
      </c>
      <c r="X218" s="77">
        <f t="shared" si="58"/>
        <v>43.296638973623722</v>
      </c>
      <c r="Y218" s="77"/>
      <c r="AA218" s="1"/>
      <c r="AB218" s="1"/>
      <c r="AC218" s="1"/>
    </row>
    <row r="219" spans="1:29" ht="15">
      <c r="D219" s="76" t="s">
        <v>147</v>
      </c>
      <c r="E219" s="77">
        <f>E218</f>
        <v>0</v>
      </c>
      <c r="F219" s="77">
        <f t="shared" ref="F219:X219" si="59">E219+F218</f>
        <v>16.878204904338542</v>
      </c>
      <c r="G219" s="77">
        <f t="shared" si="59"/>
        <v>38.510519658222762</v>
      </c>
      <c r="H219" s="77">
        <f t="shared" si="59"/>
        <v>63.811196718999724</v>
      </c>
      <c r="I219" s="77">
        <f t="shared" si="59"/>
        <v>92.299140672119208</v>
      </c>
      <c r="J219" s="77">
        <f t="shared" si="59"/>
        <v>123.51897539153005</v>
      </c>
      <c r="K219" s="77">
        <f t="shared" si="59"/>
        <v>157.05358682871321</v>
      </c>
      <c r="L219" s="77">
        <f t="shared" si="59"/>
        <v>192.5297776887376</v>
      </c>
      <c r="M219" s="77">
        <f t="shared" si="59"/>
        <v>234.01781770646556</v>
      </c>
      <c r="N219" s="77">
        <f t="shared" si="59"/>
        <v>276.1153306809901</v>
      </c>
      <c r="O219" s="77">
        <f t="shared" si="59"/>
        <v>318.75425158850533</v>
      </c>
      <c r="P219" s="77">
        <f t="shared" si="59"/>
        <v>361.80547114886406</v>
      </c>
      <c r="Q219" s="77">
        <f t="shared" si="59"/>
        <v>405.10242647215284</v>
      </c>
      <c r="R219" s="77">
        <f t="shared" si="59"/>
        <v>448.49778803686581</v>
      </c>
      <c r="S219" s="77">
        <f t="shared" si="59"/>
        <v>491.95404529773589</v>
      </c>
      <c r="T219" s="77">
        <f t="shared" si="59"/>
        <v>535.44845846708938</v>
      </c>
      <c r="U219" s="77">
        <f t="shared" si="59"/>
        <v>578.92477820919146</v>
      </c>
      <c r="V219" s="77">
        <f t="shared" si="59"/>
        <v>622.3805569707938</v>
      </c>
      <c r="W219" s="77">
        <f t="shared" si="59"/>
        <v>665.77208157431107</v>
      </c>
      <c r="X219" s="77">
        <f t="shared" si="59"/>
        <v>709.06872054793484</v>
      </c>
      <c r="Y219" s="77">
        <f>SUM(Y185:Y216)</f>
        <v>370.46819560473205</v>
      </c>
      <c r="Z219"/>
    </row>
    <row r="220" spans="1:29">
      <c r="E220" s="58"/>
      <c r="F220" s="86"/>
      <c r="G220" s="86"/>
      <c r="H220" s="86"/>
      <c r="I220" s="86"/>
      <c r="J220" s="86"/>
      <c r="K220" s="86"/>
      <c r="L220" s="86"/>
      <c r="M220" s="86"/>
      <c r="N220" s="86"/>
      <c r="O220" s="86"/>
      <c r="P220" s="86"/>
      <c r="Q220" s="86"/>
      <c r="R220" s="86"/>
      <c r="S220" s="86"/>
      <c r="T220" s="86"/>
      <c r="U220" s="86"/>
      <c r="V220" s="86"/>
      <c r="W220" s="86"/>
      <c r="X220" s="86"/>
      <c r="Y220" s="86"/>
      <c r="Z220" s="86"/>
    </row>
    <row r="221" spans="1:29">
      <c r="E221" s="58"/>
      <c r="F221" s="86"/>
      <c r="G221" s="86"/>
      <c r="H221" s="86"/>
      <c r="I221" s="86"/>
      <c r="J221" s="86"/>
      <c r="K221" s="86"/>
      <c r="L221" s="86"/>
      <c r="M221" s="86"/>
      <c r="N221" s="86"/>
      <c r="O221" s="86"/>
      <c r="P221" s="86"/>
      <c r="Q221" s="86"/>
      <c r="R221" s="86"/>
      <c r="S221" s="86"/>
      <c r="T221" s="86"/>
      <c r="U221" s="86"/>
      <c r="V221" s="86"/>
      <c r="W221" s="86"/>
      <c r="X221" s="86"/>
      <c r="Y221" s="86"/>
      <c r="Z221" s="86"/>
    </row>
    <row r="222" spans="1:29" ht="15">
      <c r="A222" s="63" t="str">
        <f>CONCATENATE("ACHIEVABLE SAVINGS - CUMULATIVE BY MILL BIN - FOR MEASURE - ",D223)</f>
        <v>ACHIEVABLE SAVINGS - CUMULATIVE BY MILL BIN - FOR MEASURE - Lighting</v>
      </c>
      <c r="D222" s="1" t="s">
        <v>185</v>
      </c>
      <c r="E222" s="74">
        <f>E183</f>
        <v>2016</v>
      </c>
      <c r="F222" s="67">
        <f t="shared" ref="F222:X222" si="60">F183</f>
        <v>2017</v>
      </c>
      <c r="G222" s="67">
        <f t="shared" si="60"/>
        <v>2018</v>
      </c>
      <c r="H222" s="67">
        <f t="shared" si="60"/>
        <v>2019</v>
      </c>
      <c r="I222" s="67">
        <f t="shared" si="60"/>
        <v>2020</v>
      </c>
      <c r="J222" s="67">
        <f t="shared" si="60"/>
        <v>2021</v>
      </c>
      <c r="K222" s="67">
        <f t="shared" si="60"/>
        <v>2022</v>
      </c>
      <c r="L222" s="67">
        <f t="shared" si="60"/>
        <v>2023</v>
      </c>
      <c r="M222" s="67">
        <f t="shared" si="60"/>
        <v>2024</v>
      </c>
      <c r="N222" s="67">
        <f t="shared" si="60"/>
        <v>2025</v>
      </c>
      <c r="O222" s="67">
        <f t="shared" si="60"/>
        <v>2026</v>
      </c>
      <c r="P222" s="67">
        <f t="shared" si="60"/>
        <v>2027</v>
      </c>
      <c r="Q222" s="67">
        <f t="shared" si="60"/>
        <v>2028</v>
      </c>
      <c r="R222" s="67">
        <f t="shared" si="60"/>
        <v>2029</v>
      </c>
      <c r="S222" s="67">
        <f t="shared" si="60"/>
        <v>2030</v>
      </c>
      <c r="T222" s="67">
        <f t="shared" si="60"/>
        <v>2031</v>
      </c>
      <c r="U222" s="67">
        <f t="shared" si="60"/>
        <v>2032</v>
      </c>
      <c r="V222" s="67">
        <f t="shared" si="60"/>
        <v>2033</v>
      </c>
      <c r="W222" s="67">
        <f t="shared" si="60"/>
        <v>2034</v>
      </c>
      <c r="X222" s="67">
        <f t="shared" si="60"/>
        <v>2035</v>
      </c>
      <c r="Y222" s="68" t="s">
        <v>159</v>
      </c>
    </row>
    <row r="223" spans="1:29" ht="15">
      <c r="D223" s="66" t="str">
        <f>$C$8</f>
        <v>Lighting</v>
      </c>
      <c r="E223" s="75" t="str">
        <f>CONCATENATE($E$78,"_",E$11)</f>
        <v>aMW_2016</v>
      </c>
      <c r="F223" s="69" t="str">
        <f t="shared" ref="F223:X223" si="61">CONCATENATE($E$78,"_",F$11)</f>
        <v>aMW_2017</v>
      </c>
      <c r="G223" s="69" t="str">
        <f t="shared" si="61"/>
        <v>aMW_2018</v>
      </c>
      <c r="H223" s="69" t="str">
        <f t="shared" si="61"/>
        <v>aMW_2019</v>
      </c>
      <c r="I223" s="69" t="str">
        <f t="shared" si="61"/>
        <v>aMW_2020</v>
      </c>
      <c r="J223" s="69" t="str">
        <f t="shared" si="61"/>
        <v>aMW_2021</v>
      </c>
      <c r="K223" s="69" t="str">
        <f t="shared" si="61"/>
        <v>aMW_2022</v>
      </c>
      <c r="L223" s="69" t="str">
        <f t="shared" si="61"/>
        <v>aMW_2023</v>
      </c>
      <c r="M223" s="69" t="str">
        <f t="shared" si="61"/>
        <v>aMW_2024</v>
      </c>
      <c r="N223" s="69" t="str">
        <f t="shared" si="61"/>
        <v>aMW_2025</v>
      </c>
      <c r="O223" s="69" t="str">
        <f t="shared" si="61"/>
        <v>aMW_2026</v>
      </c>
      <c r="P223" s="69" t="str">
        <f t="shared" si="61"/>
        <v>aMW_2027</v>
      </c>
      <c r="Q223" s="69" t="str">
        <f t="shared" si="61"/>
        <v>aMW_2028</v>
      </c>
      <c r="R223" s="69" t="str">
        <f t="shared" si="61"/>
        <v>aMW_2029</v>
      </c>
      <c r="S223" s="69" t="str">
        <f t="shared" si="61"/>
        <v>aMW_2030</v>
      </c>
      <c r="T223" s="69" t="str">
        <f t="shared" si="61"/>
        <v>aMW_2031</v>
      </c>
      <c r="U223" s="69" t="str">
        <f t="shared" si="61"/>
        <v>aMW_2032</v>
      </c>
      <c r="V223" s="69" t="str">
        <f t="shared" si="61"/>
        <v>aMW_2033</v>
      </c>
      <c r="W223" s="69" t="str">
        <f t="shared" si="61"/>
        <v>aMW_2034</v>
      </c>
      <c r="X223" s="69" t="str">
        <f t="shared" si="61"/>
        <v>aMW_2035</v>
      </c>
      <c r="Y223" s="70" t="s">
        <v>159</v>
      </c>
    </row>
    <row r="224" spans="1:29">
      <c r="D224" s="1" t="s">
        <v>78</v>
      </c>
      <c r="E224" s="87">
        <f t="shared" ref="E224:E255" si="62">E185</f>
        <v>0</v>
      </c>
      <c r="F224" s="449">
        <f t="shared" ref="F224:X237" si="63">E224+F185</f>
        <v>10.118956342312961</v>
      </c>
      <c r="G224" s="449">
        <f t="shared" si="63"/>
        <v>23.088134629836869</v>
      </c>
      <c r="H224" s="449">
        <f t="shared" si="63"/>
        <v>38.256598815453678</v>
      </c>
      <c r="I224" s="449">
        <f t="shared" si="63"/>
        <v>55.335918729965158</v>
      </c>
      <c r="J224" s="449">
        <f t="shared" si="63"/>
        <v>74.053083637634899</v>
      </c>
      <c r="K224" s="449">
        <f t="shared" si="63"/>
        <v>94.158021989346651</v>
      </c>
      <c r="L224" s="449">
        <f t="shared" si="63"/>
        <v>115.42699155920135</v>
      </c>
      <c r="M224" s="449">
        <f t="shared" si="63"/>
        <v>140.30023299968232</v>
      </c>
      <c r="N224" s="449">
        <f t="shared" si="63"/>
        <v>165.53887053984329</v>
      </c>
      <c r="O224" s="449">
        <f t="shared" si="63"/>
        <v>191.10209729244511</v>
      </c>
      <c r="P224" s="449">
        <f t="shared" si="63"/>
        <v>216.91250862964958</v>
      </c>
      <c r="Q224" s="449">
        <f t="shared" si="63"/>
        <v>242.87024543605696</v>
      </c>
      <c r="R224" s="449">
        <f t="shared" si="63"/>
        <v>268.88697953906234</v>
      </c>
      <c r="S224" s="449">
        <f t="shared" si="63"/>
        <v>294.94022231667736</v>
      </c>
      <c r="T224" s="449">
        <f t="shared" si="63"/>
        <v>321.01634062959573</v>
      </c>
      <c r="U224" s="449">
        <f t="shared" si="63"/>
        <v>347.0816114263547</v>
      </c>
      <c r="V224" s="449">
        <f t="shared" si="63"/>
        <v>373.13456733026328</v>
      </c>
      <c r="W224" s="449">
        <f t="shared" si="63"/>
        <v>399.14900106761678</v>
      </c>
      <c r="X224" s="449">
        <f t="shared" si="63"/>
        <v>425.10654821354382</v>
      </c>
      <c r="Y224" s="449">
        <f>Y185</f>
        <v>222.10605445227938</v>
      </c>
    </row>
    <row r="225" spans="4:25">
      <c r="D225" s="1" t="s">
        <v>785</v>
      </c>
      <c r="E225" s="87">
        <f t="shared" si="62"/>
        <v>0</v>
      </c>
      <c r="F225" s="449">
        <f t="shared" si="63"/>
        <v>0</v>
      </c>
      <c r="G225" s="449">
        <f t="shared" si="63"/>
        <v>0</v>
      </c>
      <c r="H225" s="449">
        <f t="shared" si="63"/>
        <v>0</v>
      </c>
      <c r="I225" s="449">
        <f t="shared" si="63"/>
        <v>0</v>
      </c>
      <c r="J225" s="449">
        <f t="shared" si="63"/>
        <v>0</v>
      </c>
      <c r="K225" s="449">
        <f t="shared" si="63"/>
        <v>0</v>
      </c>
      <c r="L225" s="449">
        <f t="shared" si="63"/>
        <v>0</v>
      </c>
      <c r="M225" s="449">
        <f t="shared" si="63"/>
        <v>0</v>
      </c>
      <c r="N225" s="449">
        <f t="shared" si="63"/>
        <v>0</v>
      </c>
      <c r="O225" s="449">
        <f t="shared" si="63"/>
        <v>0</v>
      </c>
      <c r="P225" s="449">
        <f t="shared" si="63"/>
        <v>0</v>
      </c>
      <c r="Q225" s="449">
        <f t="shared" si="63"/>
        <v>0</v>
      </c>
      <c r="R225" s="449">
        <f t="shared" si="63"/>
        <v>0</v>
      </c>
      <c r="S225" s="449">
        <f t="shared" si="63"/>
        <v>0</v>
      </c>
      <c r="T225" s="449">
        <f t="shared" si="63"/>
        <v>0</v>
      </c>
      <c r="U225" s="449">
        <f t="shared" si="63"/>
        <v>0</v>
      </c>
      <c r="V225" s="449">
        <f t="shared" si="63"/>
        <v>0</v>
      </c>
      <c r="W225" s="449">
        <f t="shared" si="63"/>
        <v>0</v>
      </c>
      <c r="X225" s="449">
        <f t="shared" si="63"/>
        <v>0</v>
      </c>
      <c r="Y225" s="449">
        <f t="shared" ref="Y225:Y255" si="64">Y186</f>
        <v>0</v>
      </c>
    </row>
    <row r="226" spans="4:25">
      <c r="D226" s="1" t="s">
        <v>84</v>
      </c>
      <c r="E226" s="87">
        <f t="shared" si="62"/>
        <v>0</v>
      </c>
      <c r="F226" s="449">
        <f t="shared" si="63"/>
        <v>0.1839064992848467</v>
      </c>
      <c r="G226" s="449">
        <f t="shared" si="63"/>
        <v>0.41961422415031535</v>
      </c>
      <c r="H226" s="449">
        <f t="shared" si="63"/>
        <v>0.69529276781984173</v>
      </c>
      <c r="I226" s="449">
        <f t="shared" si="63"/>
        <v>1.0057000696588272</v>
      </c>
      <c r="J226" s="449">
        <f t="shared" si="63"/>
        <v>1.3458743088056995</v>
      </c>
      <c r="K226" s="449">
        <f t="shared" si="63"/>
        <v>1.7112705715744188</v>
      </c>
      <c r="L226" s="449">
        <f t="shared" si="63"/>
        <v>2.0978224653336373</v>
      </c>
      <c r="M226" s="449">
        <f t="shared" si="63"/>
        <v>2.5498800298136555</v>
      </c>
      <c r="N226" s="449">
        <f t="shared" si="63"/>
        <v>3.0085784686359727</v>
      </c>
      <c r="O226" s="449">
        <f t="shared" si="63"/>
        <v>3.4731761389349582</v>
      </c>
      <c r="P226" s="449">
        <f t="shared" si="63"/>
        <v>3.9422662539183246</v>
      </c>
      <c r="Q226" s="449">
        <f t="shared" si="63"/>
        <v>4.4140339287586574</v>
      </c>
      <c r="R226" s="449">
        <f t="shared" si="63"/>
        <v>4.8868738472096513</v>
      </c>
      <c r="S226" s="449">
        <f t="shared" si="63"/>
        <v>5.3603772908616474</v>
      </c>
      <c r="T226" s="449">
        <f t="shared" si="63"/>
        <v>5.8342964848612677</v>
      </c>
      <c r="U226" s="449">
        <f t="shared" si="63"/>
        <v>6.3080185311852492</v>
      </c>
      <c r="V226" s="449">
        <f t="shared" si="63"/>
        <v>6.7815167610644718</v>
      </c>
      <c r="W226" s="449">
        <f t="shared" si="63"/>
        <v>7.2543148716273986</v>
      </c>
      <c r="X226" s="449">
        <f t="shared" si="63"/>
        <v>7.7260790994921944</v>
      </c>
      <c r="Y226" s="449">
        <f t="shared" si="64"/>
        <v>4.0366561098288116</v>
      </c>
    </row>
    <row r="227" spans="4:25">
      <c r="D227" s="1" t="s">
        <v>87</v>
      </c>
      <c r="E227" s="87">
        <f t="shared" si="62"/>
        <v>0</v>
      </c>
      <c r="F227" s="449">
        <f t="shared" si="63"/>
        <v>0</v>
      </c>
      <c r="G227" s="449">
        <f t="shared" si="63"/>
        <v>0</v>
      </c>
      <c r="H227" s="449">
        <f t="shared" si="63"/>
        <v>0</v>
      </c>
      <c r="I227" s="449">
        <f t="shared" si="63"/>
        <v>0</v>
      </c>
      <c r="J227" s="449">
        <f t="shared" si="63"/>
        <v>0</v>
      </c>
      <c r="K227" s="449">
        <f t="shared" si="63"/>
        <v>0</v>
      </c>
      <c r="L227" s="449">
        <f t="shared" si="63"/>
        <v>0</v>
      </c>
      <c r="M227" s="449">
        <f t="shared" si="63"/>
        <v>0</v>
      </c>
      <c r="N227" s="449">
        <f t="shared" si="63"/>
        <v>0</v>
      </c>
      <c r="O227" s="449">
        <f t="shared" si="63"/>
        <v>0</v>
      </c>
      <c r="P227" s="449">
        <f t="shared" si="63"/>
        <v>0</v>
      </c>
      <c r="Q227" s="449">
        <f t="shared" si="63"/>
        <v>0</v>
      </c>
      <c r="R227" s="449">
        <f t="shared" si="63"/>
        <v>0</v>
      </c>
      <c r="S227" s="449">
        <f t="shared" si="63"/>
        <v>0</v>
      </c>
      <c r="T227" s="449">
        <f t="shared" si="63"/>
        <v>0</v>
      </c>
      <c r="U227" s="449">
        <f t="shared" si="63"/>
        <v>0</v>
      </c>
      <c r="V227" s="449">
        <f t="shared" si="63"/>
        <v>0</v>
      </c>
      <c r="W227" s="449">
        <f t="shared" si="63"/>
        <v>0</v>
      </c>
      <c r="X227" s="449">
        <f t="shared" si="63"/>
        <v>0</v>
      </c>
      <c r="Y227" s="449">
        <f t="shared" si="64"/>
        <v>0</v>
      </c>
    </row>
    <row r="228" spans="4:25">
      <c r="D228" s="1" t="s">
        <v>90</v>
      </c>
      <c r="E228" s="87">
        <f t="shared" si="62"/>
        <v>0</v>
      </c>
      <c r="F228" s="449">
        <f t="shared" si="63"/>
        <v>5.5388792047240099</v>
      </c>
      <c r="G228" s="449">
        <f t="shared" si="63"/>
        <v>12.637903006096048</v>
      </c>
      <c r="H228" s="449">
        <f t="shared" si="63"/>
        <v>20.940764289724207</v>
      </c>
      <c r="I228" s="449">
        <f t="shared" si="63"/>
        <v>30.289583150592307</v>
      </c>
      <c r="J228" s="449">
        <f t="shared" si="63"/>
        <v>40.534919919659231</v>
      </c>
      <c r="K228" s="449">
        <f t="shared" si="63"/>
        <v>51.539891300245337</v>
      </c>
      <c r="L228" s="449">
        <f t="shared" si="63"/>
        <v>63.18202604923745</v>
      </c>
      <c r="M228" s="449">
        <f t="shared" si="63"/>
        <v>76.797054626114203</v>
      </c>
      <c r="N228" s="449">
        <f t="shared" si="63"/>
        <v>90.612092451923274</v>
      </c>
      <c r="O228" s="449">
        <f t="shared" si="63"/>
        <v>104.60480279434836</v>
      </c>
      <c r="P228" s="449">
        <f t="shared" si="63"/>
        <v>118.73281617683689</v>
      </c>
      <c r="Q228" s="449">
        <f t="shared" si="63"/>
        <v>132.94147206336331</v>
      </c>
      <c r="R228" s="449">
        <f t="shared" si="63"/>
        <v>147.18242168535085</v>
      </c>
      <c r="S228" s="449">
        <f t="shared" si="63"/>
        <v>161.44335529894258</v>
      </c>
      <c r="T228" s="449">
        <f t="shared" si="63"/>
        <v>175.71681044365883</v>
      </c>
      <c r="U228" s="449">
        <f t="shared" si="63"/>
        <v>189.98432791262621</v>
      </c>
      <c r="V228" s="449">
        <f t="shared" si="63"/>
        <v>204.24510449828406</v>
      </c>
      <c r="W228" s="449">
        <f t="shared" si="63"/>
        <v>218.48479495410456</v>
      </c>
      <c r="X228" s="449">
        <f t="shared" si="63"/>
        <v>232.69334702493543</v>
      </c>
      <c r="Y228" s="449">
        <f t="shared" si="64"/>
        <v>121.57564126497923</v>
      </c>
    </row>
    <row r="229" spans="4:25">
      <c r="D229" s="1" t="s">
        <v>93</v>
      </c>
      <c r="E229" s="87">
        <f t="shared" si="62"/>
        <v>0</v>
      </c>
      <c r="F229" s="449">
        <f t="shared" si="63"/>
        <v>0</v>
      </c>
      <c r="G229" s="449">
        <f t="shared" si="63"/>
        <v>0</v>
      </c>
      <c r="H229" s="449">
        <f t="shared" si="63"/>
        <v>0</v>
      </c>
      <c r="I229" s="449">
        <f t="shared" si="63"/>
        <v>0</v>
      </c>
      <c r="J229" s="449">
        <f t="shared" si="63"/>
        <v>0</v>
      </c>
      <c r="K229" s="449">
        <f t="shared" si="63"/>
        <v>0</v>
      </c>
      <c r="L229" s="449">
        <f t="shared" si="63"/>
        <v>0</v>
      </c>
      <c r="M229" s="449">
        <f t="shared" si="63"/>
        <v>0</v>
      </c>
      <c r="N229" s="449">
        <f t="shared" si="63"/>
        <v>0</v>
      </c>
      <c r="O229" s="449">
        <f t="shared" si="63"/>
        <v>0</v>
      </c>
      <c r="P229" s="449">
        <f t="shared" si="63"/>
        <v>0</v>
      </c>
      <c r="Q229" s="449">
        <f t="shared" si="63"/>
        <v>0</v>
      </c>
      <c r="R229" s="449">
        <f t="shared" si="63"/>
        <v>0</v>
      </c>
      <c r="S229" s="449">
        <f t="shared" si="63"/>
        <v>0</v>
      </c>
      <c r="T229" s="449">
        <f t="shared" si="63"/>
        <v>0</v>
      </c>
      <c r="U229" s="449">
        <f t="shared" si="63"/>
        <v>0</v>
      </c>
      <c r="V229" s="449">
        <f t="shared" si="63"/>
        <v>0</v>
      </c>
      <c r="W229" s="449">
        <f t="shared" si="63"/>
        <v>0</v>
      </c>
      <c r="X229" s="449">
        <f t="shared" si="63"/>
        <v>0</v>
      </c>
      <c r="Y229" s="449">
        <f t="shared" si="64"/>
        <v>0</v>
      </c>
    </row>
    <row r="230" spans="4:25">
      <c r="D230" s="1" t="s">
        <v>96</v>
      </c>
      <c r="E230" s="87">
        <f t="shared" si="62"/>
        <v>0</v>
      </c>
      <c r="F230" s="88">
        <f t="shared" si="63"/>
        <v>0</v>
      </c>
      <c r="G230" s="88">
        <f t="shared" si="63"/>
        <v>0</v>
      </c>
      <c r="H230" s="88">
        <f t="shared" si="63"/>
        <v>0</v>
      </c>
      <c r="I230" s="88">
        <f t="shared" si="63"/>
        <v>0</v>
      </c>
      <c r="J230" s="88">
        <f t="shared" si="63"/>
        <v>0</v>
      </c>
      <c r="K230" s="88">
        <f t="shared" si="63"/>
        <v>0</v>
      </c>
      <c r="L230" s="88">
        <f t="shared" si="63"/>
        <v>0</v>
      </c>
      <c r="M230" s="88">
        <f t="shared" si="63"/>
        <v>0</v>
      </c>
      <c r="N230" s="88">
        <f t="shared" si="63"/>
        <v>0</v>
      </c>
      <c r="O230" s="88">
        <f t="shared" si="63"/>
        <v>0</v>
      </c>
      <c r="P230" s="88">
        <f t="shared" si="63"/>
        <v>0</v>
      </c>
      <c r="Q230" s="88">
        <f t="shared" si="63"/>
        <v>0</v>
      </c>
      <c r="R230" s="88">
        <f t="shared" si="63"/>
        <v>0</v>
      </c>
      <c r="S230" s="88">
        <f t="shared" si="63"/>
        <v>0</v>
      </c>
      <c r="T230" s="88">
        <f t="shared" si="63"/>
        <v>0</v>
      </c>
      <c r="U230" s="88">
        <f t="shared" si="63"/>
        <v>0</v>
      </c>
      <c r="V230" s="88">
        <f t="shared" si="63"/>
        <v>0</v>
      </c>
      <c r="W230" s="88">
        <f t="shared" si="63"/>
        <v>0</v>
      </c>
      <c r="X230" s="88">
        <f t="shared" si="63"/>
        <v>0</v>
      </c>
      <c r="Y230" s="449">
        <f t="shared" si="64"/>
        <v>0</v>
      </c>
    </row>
    <row r="231" spans="4:25">
      <c r="D231" s="1" t="s">
        <v>99</v>
      </c>
      <c r="E231" s="87">
        <f t="shared" si="62"/>
        <v>0</v>
      </c>
      <c r="F231" s="88">
        <f t="shared" si="63"/>
        <v>1.0318230006127163</v>
      </c>
      <c r="G231" s="88">
        <f t="shared" si="63"/>
        <v>2.3542811675836628</v>
      </c>
      <c r="H231" s="88">
        <f t="shared" si="63"/>
        <v>3.9009990010467259</v>
      </c>
      <c r="I231" s="88">
        <f t="shared" si="63"/>
        <v>5.6425654755382606</v>
      </c>
      <c r="J231" s="88">
        <f t="shared" si="63"/>
        <v>7.5511418745921137</v>
      </c>
      <c r="K231" s="88">
        <f t="shared" si="63"/>
        <v>9.6012285747838835</v>
      </c>
      <c r="L231" s="88">
        <f t="shared" si="63"/>
        <v>11.770010735622011</v>
      </c>
      <c r="M231" s="88">
        <f t="shared" si="63"/>
        <v>14.306318013751367</v>
      </c>
      <c r="N231" s="88">
        <f t="shared" si="63"/>
        <v>16.879884480203089</v>
      </c>
      <c r="O231" s="88">
        <f t="shared" si="63"/>
        <v>19.486549084824134</v>
      </c>
      <c r="P231" s="88">
        <f t="shared" si="63"/>
        <v>22.118418931088875</v>
      </c>
      <c r="Q231" s="88">
        <f t="shared" si="63"/>
        <v>24.7653114538587</v>
      </c>
      <c r="R231" s="88">
        <f t="shared" si="63"/>
        <v>27.418219890280525</v>
      </c>
      <c r="S231" s="88">
        <f t="shared" si="63"/>
        <v>30.074851091077434</v>
      </c>
      <c r="T231" s="88">
        <f t="shared" si="63"/>
        <v>32.733814894435199</v>
      </c>
      <c r="U231" s="88">
        <f t="shared" si="63"/>
        <v>35.391672584050191</v>
      </c>
      <c r="V231" s="88">
        <f t="shared" si="63"/>
        <v>38.048274532533057</v>
      </c>
      <c r="W231" s="88">
        <f t="shared" si="63"/>
        <v>40.700948402255605</v>
      </c>
      <c r="X231" s="88">
        <f t="shared" si="63"/>
        <v>43.347821585477021</v>
      </c>
      <c r="Y231" s="449">
        <f t="shared" si="64"/>
        <v>22.648001217368403</v>
      </c>
    </row>
    <row r="232" spans="4:25">
      <c r="D232" s="1" t="s">
        <v>102</v>
      </c>
      <c r="E232" s="87">
        <f t="shared" si="62"/>
        <v>0</v>
      </c>
      <c r="F232" s="88">
        <f t="shared" si="63"/>
        <v>0</v>
      </c>
      <c r="G232" s="88">
        <f t="shared" si="63"/>
        <v>0</v>
      </c>
      <c r="H232" s="88">
        <f t="shared" si="63"/>
        <v>0</v>
      </c>
      <c r="I232" s="88">
        <f t="shared" si="63"/>
        <v>0</v>
      </c>
      <c r="J232" s="88">
        <f t="shared" si="63"/>
        <v>0</v>
      </c>
      <c r="K232" s="88">
        <f t="shared" si="63"/>
        <v>0</v>
      </c>
      <c r="L232" s="88">
        <f t="shared" si="63"/>
        <v>0</v>
      </c>
      <c r="M232" s="88">
        <f t="shared" si="63"/>
        <v>0</v>
      </c>
      <c r="N232" s="88">
        <f t="shared" si="63"/>
        <v>0</v>
      </c>
      <c r="O232" s="88">
        <f t="shared" si="63"/>
        <v>0</v>
      </c>
      <c r="P232" s="88">
        <f t="shared" si="63"/>
        <v>0</v>
      </c>
      <c r="Q232" s="88">
        <f t="shared" si="63"/>
        <v>0</v>
      </c>
      <c r="R232" s="88">
        <f t="shared" si="63"/>
        <v>0</v>
      </c>
      <c r="S232" s="88">
        <f t="shared" si="63"/>
        <v>0</v>
      </c>
      <c r="T232" s="88">
        <f t="shared" si="63"/>
        <v>0</v>
      </c>
      <c r="U232" s="88">
        <f t="shared" si="63"/>
        <v>0</v>
      </c>
      <c r="V232" s="88">
        <f t="shared" si="63"/>
        <v>0</v>
      </c>
      <c r="W232" s="88">
        <f t="shared" si="63"/>
        <v>0</v>
      </c>
      <c r="X232" s="88">
        <f t="shared" si="63"/>
        <v>0</v>
      </c>
      <c r="Y232" s="449">
        <f t="shared" si="64"/>
        <v>0</v>
      </c>
    </row>
    <row r="233" spans="4:25">
      <c r="D233" s="1" t="s">
        <v>105</v>
      </c>
      <c r="E233" s="87">
        <f t="shared" si="62"/>
        <v>0</v>
      </c>
      <c r="F233" s="88">
        <f t="shared" si="63"/>
        <v>0</v>
      </c>
      <c r="G233" s="88">
        <f t="shared" si="63"/>
        <v>0</v>
      </c>
      <c r="H233" s="88">
        <f t="shared" si="63"/>
        <v>0</v>
      </c>
      <c r="I233" s="88">
        <f t="shared" si="63"/>
        <v>0</v>
      </c>
      <c r="J233" s="88">
        <f t="shared" si="63"/>
        <v>0</v>
      </c>
      <c r="K233" s="88">
        <f t="shared" si="63"/>
        <v>0</v>
      </c>
      <c r="L233" s="88">
        <f t="shared" si="63"/>
        <v>0</v>
      </c>
      <c r="M233" s="88">
        <f t="shared" si="63"/>
        <v>0</v>
      </c>
      <c r="N233" s="88">
        <f t="shared" si="63"/>
        <v>0</v>
      </c>
      <c r="O233" s="88">
        <f t="shared" si="63"/>
        <v>0</v>
      </c>
      <c r="P233" s="88">
        <f t="shared" si="63"/>
        <v>0</v>
      </c>
      <c r="Q233" s="88">
        <f t="shared" si="63"/>
        <v>0</v>
      </c>
      <c r="R233" s="88">
        <f t="shared" si="63"/>
        <v>0</v>
      </c>
      <c r="S233" s="88">
        <f t="shared" si="63"/>
        <v>0</v>
      </c>
      <c r="T233" s="88">
        <f t="shared" si="63"/>
        <v>0</v>
      </c>
      <c r="U233" s="88">
        <f t="shared" si="63"/>
        <v>0</v>
      </c>
      <c r="V233" s="88">
        <f t="shared" si="63"/>
        <v>0</v>
      </c>
      <c r="W233" s="88">
        <f t="shared" si="63"/>
        <v>0</v>
      </c>
      <c r="X233" s="88">
        <f t="shared" si="63"/>
        <v>0</v>
      </c>
      <c r="Y233" s="449">
        <f t="shared" si="64"/>
        <v>0</v>
      </c>
    </row>
    <row r="234" spans="4:25">
      <c r="D234" s="1" t="s">
        <v>108</v>
      </c>
      <c r="E234" s="87">
        <f t="shared" si="62"/>
        <v>0</v>
      </c>
      <c r="F234" s="88">
        <f t="shared" si="63"/>
        <v>0</v>
      </c>
      <c r="G234" s="88">
        <f t="shared" si="63"/>
        <v>0</v>
      </c>
      <c r="H234" s="88">
        <f t="shared" si="63"/>
        <v>0</v>
      </c>
      <c r="I234" s="88">
        <f t="shared" si="63"/>
        <v>0</v>
      </c>
      <c r="J234" s="88">
        <f t="shared" si="63"/>
        <v>0</v>
      </c>
      <c r="K234" s="88">
        <f t="shared" si="63"/>
        <v>0</v>
      </c>
      <c r="L234" s="88">
        <f t="shared" si="63"/>
        <v>0</v>
      </c>
      <c r="M234" s="88">
        <f t="shared" si="63"/>
        <v>0</v>
      </c>
      <c r="N234" s="88">
        <f t="shared" si="63"/>
        <v>0</v>
      </c>
      <c r="O234" s="88">
        <f t="shared" si="63"/>
        <v>0</v>
      </c>
      <c r="P234" s="88">
        <f t="shared" si="63"/>
        <v>0</v>
      </c>
      <c r="Q234" s="88">
        <f t="shared" si="63"/>
        <v>0</v>
      </c>
      <c r="R234" s="88">
        <f t="shared" si="63"/>
        <v>0</v>
      </c>
      <c r="S234" s="88">
        <f t="shared" si="63"/>
        <v>0</v>
      </c>
      <c r="T234" s="88">
        <f t="shared" si="63"/>
        <v>0</v>
      </c>
      <c r="U234" s="88">
        <f t="shared" si="63"/>
        <v>0</v>
      </c>
      <c r="V234" s="88">
        <f t="shared" si="63"/>
        <v>0</v>
      </c>
      <c r="W234" s="88">
        <f t="shared" si="63"/>
        <v>0</v>
      </c>
      <c r="X234" s="88">
        <f t="shared" si="63"/>
        <v>0</v>
      </c>
      <c r="Y234" s="449">
        <f t="shared" si="64"/>
        <v>0</v>
      </c>
    </row>
    <row r="235" spans="4:25">
      <c r="D235" s="1" t="s">
        <v>111</v>
      </c>
      <c r="E235" s="87">
        <f t="shared" si="62"/>
        <v>0</v>
      </c>
      <c r="F235" s="88">
        <f t="shared" si="63"/>
        <v>0</v>
      </c>
      <c r="G235" s="88">
        <f t="shared" si="63"/>
        <v>0</v>
      </c>
      <c r="H235" s="88">
        <f t="shared" si="63"/>
        <v>0</v>
      </c>
      <c r="I235" s="88">
        <f t="shared" si="63"/>
        <v>0</v>
      </c>
      <c r="J235" s="88">
        <f t="shared" si="63"/>
        <v>0</v>
      </c>
      <c r="K235" s="88">
        <f t="shared" si="63"/>
        <v>0</v>
      </c>
      <c r="L235" s="88">
        <f t="shared" si="63"/>
        <v>0</v>
      </c>
      <c r="M235" s="88">
        <f t="shared" si="63"/>
        <v>0</v>
      </c>
      <c r="N235" s="88">
        <f t="shared" si="63"/>
        <v>0</v>
      </c>
      <c r="O235" s="88">
        <f t="shared" si="63"/>
        <v>0</v>
      </c>
      <c r="P235" s="88">
        <f t="shared" si="63"/>
        <v>0</v>
      </c>
      <c r="Q235" s="88">
        <f t="shared" si="63"/>
        <v>0</v>
      </c>
      <c r="R235" s="88">
        <f t="shared" si="63"/>
        <v>0</v>
      </c>
      <c r="S235" s="88">
        <f t="shared" si="63"/>
        <v>0</v>
      </c>
      <c r="T235" s="88">
        <f t="shared" si="63"/>
        <v>0</v>
      </c>
      <c r="U235" s="88">
        <f t="shared" si="63"/>
        <v>0</v>
      </c>
      <c r="V235" s="88">
        <f t="shared" si="63"/>
        <v>0</v>
      </c>
      <c r="W235" s="88">
        <f t="shared" si="63"/>
        <v>0</v>
      </c>
      <c r="X235" s="88">
        <f t="shared" si="63"/>
        <v>0</v>
      </c>
      <c r="Y235" s="449">
        <f t="shared" si="64"/>
        <v>0</v>
      </c>
    </row>
    <row r="236" spans="4:25">
      <c r="D236" s="1" t="s">
        <v>114</v>
      </c>
      <c r="E236" s="87">
        <f t="shared" si="62"/>
        <v>0</v>
      </c>
      <c r="F236" s="88">
        <f t="shared" si="63"/>
        <v>0</v>
      </c>
      <c r="G236" s="88">
        <f t="shared" si="63"/>
        <v>0</v>
      </c>
      <c r="H236" s="88">
        <f t="shared" si="63"/>
        <v>0</v>
      </c>
      <c r="I236" s="88">
        <f t="shared" si="63"/>
        <v>0</v>
      </c>
      <c r="J236" s="88">
        <f t="shared" si="63"/>
        <v>0</v>
      </c>
      <c r="K236" s="88">
        <f t="shared" si="63"/>
        <v>0</v>
      </c>
      <c r="L236" s="88">
        <f t="shared" si="63"/>
        <v>0</v>
      </c>
      <c r="M236" s="88">
        <f t="shared" si="63"/>
        <v>0</v>
      </c>
      <c r="N236" s="88">
        <f t="shared" si="63"/>
        <v>0</v>
      </c>
      <c r="O236" s="88">
        <f t="shared" si="63"/>
        <v>0</v>
      </c>
      <c r="P236" s="88">
        <f t="shared" si="63"/>
        <v>0</v>
      </c>
      <c r="Q236" s="88">
        <f t="shared" si="63"/>
        <v>0</v>
      </c>
      <c r="R236" s="88">
        <f t="shared" si="63"/>
        <v>0</v>
      </c>
      <c r="S236" s="88">
        <f t="shared" si="63"/>
        <v>0</v>
      </c>
      <c r="T236" s="88">
        <f t="shared" si="63"/>
        <v>0</v>
      </c>
      <c r="U236" s="88">
        <f t="shared" si="63"/>
        <v>0</v>
      </c>
      <c r="V236" s="88">
        <f t="shared" si="63"/>
        <v>0</v>
      </c>
      <c r="W236" s="88">
        <f t="shared" si="63"/>
        <v>0</v>
      </c>
      <c r="X236" s="88">
        <f t="shared" si="63"/>
        <v>0</v>
      </c>
      <c r="Y236" s="449">
        <f t="shared" si="64"/>
        <v>0</v>
      </c>
    </row>
    <row r="237" spans="4:25">
      <c r="D237" s="1" t="s">
        <v>117</v>
      </c>
      <c r="E237" s="87">
        <f t="shared" si="62"/>
        <v>0</v>
      </c>
      <c r="F237" s="88">
        <f t="shared" si="63"/>
        <v>0</v>
      </c>
      <c r="G237" s="88">
        <f t="shared" si="63"/>
        <v>0</v>
      </c>
      <c r="H237" s="88">
        <f t="shared" si="63"/>
        <v>0</v>
      </c>
      <c r="I237" s="88">
        <f t="shared" si="63"/>
        <v>0</v>
      </c>
      <c r="J237" s="88">
        <f t="shared" si="63"/>
        <v>0</v>
      </c>
      <c r="K237" s="88">
        <f t="shared" si="63"/>
        <v>0</v>
      </c>
      <c r="L237" s="88">
        <f t="shared" si="63"/>
        <v>0</v>
      </c>
      <c r="M237" s="88">
        <f t="shared" si="63"/>
        <v>0</v>
      </c>
      <c r="N237" s="88">
        <f t="shared" ref="N237:X252" si="65">M237+N198</f>
        <v>0</v>
      </c>
      <c r="O237" s="88">
        <f t="shared" si="65"/>
        <v>0</v>
      </c>
      <c r="P237" s="88">
        <f t="shared" si="65"/>
        <v>0</v>
      </c>
      <c r="Q237" s="88">
        <f t="shared" si="65"/>
        <v>0</v>
      </c>
      <c r="R237" s="88">
        <f t="shared" si="65"/>
        <v>0</v>
      </c>
      <c r="S237" s="88">
        <f t="shared" si="65"/>
        <v>0</v>
      </c>
      <c r="T237" s="88">
        <f t="shared" si="65"/>
        <v>0</v>
      </c>
      <c r="U237" s="88">
        <f t="shared" si="65"/>
        <v>0</v>
      </c>
      <c r="V237" s="88">
        <f t="shared" si="65"/>
        <v>0</v>
      </c>
      <c r="W237" s="88">
        <f t="shared" si="65"/>
        <v>0</v>
      </c>
      <c r="X237" s="88">
        <f t="shared" si="65"/>
        <v>0</v>
      </c>
      <c r="Y237" s="449">
        <f t="shared" si="64"/>
        <v>0</v>
      </c>
    </row>
    <row r="238" spans="4:25">
      <c r="D238" s="1" t="s">
        <v>120</v>
      </c>
      <c r="E238" s="87">
        <f t="shared" si="62"/>
        <v>0</v>
      </c>
      <c r="F238" s="88">
        <f t="shared" ref="F238:U253" si="66">E238+F199</f>
        <v>0</v>
      </c>
      <c r="G238" s="88">
        <f t="shared" si="66"/>
        <v>0</v>
      </c>
      <c r="H238" s="88">
        <f t="shared" si="66"/>
        <v>0</v>
      </c>
      <c r="I238" s="88">
        <f t="shared" si="66"/>
        <v>0</v>
      </c>
      <c r="J238" s="88">
        <f t="shared" si="66"/>
        <v>0</v>
      </c>
      <c r="K238" s="88">
        <f t="shared" si="66"/>
        <v>0</v>
      </c>
      <c r="L238" s="88">
        <f t="shared" si="66"/>
        <v>0</v>
      </c>
      <c r="M238" s="88">
        <f t="shared" si="66"/>
        <v>0</v>
      </c>
      <c r="N238" s="88">
        <f t="shared" si="65"/>
        <v>0</v>
      </c>
      <c r="O238" s="88">
        <f t="shared" si="65"/>
        <v>0</v>
      </c>
      <c r="P238" s="88">
        <f t="shared" si="65"/>
        <v>0</v>
      </c>
      <c r="Q238" s="88">
        <f t="shared" si="65"/>
        <v>0</v>
      </c>
      <c r="R238" s="88">
        <f t="shared" si="65"/>
        <v>0</v>
      </c>
      <c r="S238" s="88">
        <f t="shared" si="65"/>
        <v>0</v>
      </c>
      <c r="T238" s="88">
        <f t="shared" si="65"/>
        <v>0</v>
      </c>
      <c r="U238" s="88">
        <f t="shared" si="65"/>
        <v>0</v>
      </c>
      <c r="V238" s="88">
        <f t="shared" si="65"/>
        <v>0</v>
      </c>
      <c r="W238" s="88">
        <f t="shared" si="65"/>
        <v>0</v>
      </c>
      <c r="X238" s="88">
        <f t="shared" si="65"/>
        <v>0</v>
      </c>
      <c r="Y238" s="449">
        <f t="shared" si="64"/>
        <v>0</v>
      </c>
    </row>
    <row r="239" spans="4:25">
      <c r="D239" s="1" t="s">
        <v>123</v>
      </c>
      <c r="E239" s="87">
        <f t="shared" si="62"/>
        <v>0</v>
      </c>
      <c r="F239" s="88">
        <f t="shared" si="66"/>
        <v>0</v>
      </c>
      <c r="G239" s="88">
        <f t="shared" si="66"/>
        <v>0</v>
      </c>
      <c r="H239" s="88">
        <f t="shared" si="66"/>
        <v>0</v>
      </c>
      <c r="I239" s="88">
        <f t="shared" si="66"/>
        <v>0</v>
      </c>
      <c r="J239" s="88">
        <f t="shared" si="66"/>
        <v>0</v>
      </c>
      <c r="K239" s="88">
        <f t="shared" si="66"/>
        <v>0</v>
      </c>
      <c r="L239" s="88">
        <f t="shared" si="66"/>
        <v>0</v>
      </c>
      <c r="M239" s="88">
        <f t="shared" si="66"/>
        <v>0</v>
      </c>
      <c r="N239" s="88">
        <f t="shared" si="65"/>
        <v>0</v>
      </c>
      <c r="O239" s="88">
        <f t="shared" si="65"/>
        <v>0</v>
      </c>
      <c r="P239" s="88">
        <f t="shared" si="65"/>
        <v>0</v>
      </c>
      <c r="Q239" s="88">
        <f t="shared" si="65"/>
        <v>0</v>
      </c>
      <c r="R239" s="88">
        <f t="shared" si="65"/>
        <v>0</v>
      </c>
      <c r="S239" s="88">
        <f t="shared" si="65"/>
        <v>0</v>
      </c>
      <c r="T239" s="88">
        <f t="shared" si="65"/>
        <v>0</v>
      </c>
      <c r="U239" s="88">
        <f t="shared" si="65"/>
        <v>0</v>
      </c>
      <c r="V239" s="88">
        <f t="shared" si="65"/>
        <v>0</v>
      </c>
      <c r="W239" s="88">
        <f t="shared" si="65"/>
        <v>0</v>
      </c>
      <c r="X239" s="88">
        <f t="shared" si="65"/>
        <v>0</v>
      </c>
      <c r="Y239" s="449">
        <f t="shared" si="64"/>
        <v>0</v>
      </c>
    </row>
    <row r="240" spans="4:25">
      <c r="D240" s="1" t="s">
        <v>126</v>
      </c>
      <c r="E240" s="87">
        <f t="shared" si="62"/>
        <v>0</v>
      </c>
      <c r="F240" s="88">
        <f t="shared" si="66"/>
        <v>0</v>
      </c>
      <c r="G240" s="88">
        <f t="shared" si="66"/>
        <v>0</v>
      </c>
      <c r="H240" s="88">
        <f t="shared" si="66"/>
        <v>0</v>
      </c>
      <c r="I240" s="88">
        <f t="shared" si="66"/>
        <v>0</v>
      </c>
      <c r="J240" s="88">
        <f t="shared" si="66"/>
        <v>0</v>
      </c>
      <c r="K240" s="88">
        <f t="shared" si="66"/>
        <v>0</v>
      </c>
      <c r="L240" s="88">
        <f t="shared" si="66"/>
        <v>0</v>
      </c>
      <c r="M240" s="88">
        <f t="shared" si="66"/>
        <v>0</v>
      </c>
      <c r="N240" s="88">
        <f t="shared" si="65"/>
        <v>0</v>
      </c>
      <c r="O240" s="88">
        <f t="shared" si="65"/>
        <v>0</v>
      </c>
      <c r="P240" s="88">
        <f t="shared" si="65"/>
        <v>0</v>
      </c>
      <c r="Q240" s="88">
        <f t="shared" si="65"/>
        <v>0</v>
      </c>
      <c r="R240" s="88">
        <f t="shared" si="65"/>
        <v>0</v>
      </c>
      <c r="S240" s="88">
        <f t="shared" si="65"/>
        <v>0</v>
      </c>
      <c r="T240" s="88">
        <f t="shared" si="65"/>
        <v>0</v>
      </c>
      <c r="U240" s="88">
        <f t="shared" si="65"/>
        <v>0</v>
      </c>
      <c r="V240" s="88">
        <f t="shared" si="65"/>
        <v>0</v>
      </c>
      <c r="W240" s="88">
        <f t="shared" si="65"/>
        <v>0</v>
      </c>
      <c r="X240" s="88">
        <f t="shared" si="65"/>
        <v>0</v>
      </c>
      <c r="Y240" s="449">
        <f t="shared" si="64"/>
        <v>0</v>
      </c>
    </row>
    <row r="241" spans="4:25">
      <c r="D241" s="1" t="s">
        <v>129</v>
      </c>
      <c r="E241" s="87">
        <f t="shared" si="62"/>
        <v>0</v>
      </c>
      <c r="F241" s="88">
        <f t="shared" si="66"/>
        <v>0</v>
      </c>
      <c r="G241" s="88">
        <f t="shared" si="66"/>
        <v>0</v>
      </c>
      <c r="H241" s="88">
        <f t="shared" si="66"/>
        <v>0</v>
      </c>
      <c r="I241" s="88">
        <f t="shared" si="66"/>
        <v>0</v>
      </c>
      <c r="J241" s="88">
        <f t="shared" si="66"/>
        <v>0</v>
      </c>
      <c r="K241" s="88">
        <f t="shared" si="66"/>
        <v>0</v>
      </c>
      <c r="L241" s="88">
        <f t="shared" si="66"/>
        <v>0</v>
      </c>
      <c r="M241" s="88">
        <f t="shared" si="66"/>
        <v>0</v>
      </c>
      <c r="N241" s="88">
        <f t="shared" si="65"/>
        <v>0</v>
      </c>
      <c r="O241" s="88">
        <f t="shared" si="65"/>
        <v>0</v>
      </c>
      <c r="P241" s="88">
        <f t="shared" si="65"/>
        <v>0</v>
      </c>
      <c r="Q241" s="88">
        <f t="shared" si="65"/>
        <v>0</v>
      </c>
      <c r="R241" s="88">
        <f t="shared" si="65"/>
        <v>0</v>
      </c>
      <c r="S241" s="88">
        <f t="shared" si="65"/>
        <v>0</v>
      </c>
      <c r="T241" s="88">
        <f t="shared" si="65"/>
        <v>0</v>
      </c>
      <c r="U241" s="88">
        <f t="shared" si="65"/>
        <v>0</v>
      </c>
      <c r="V241" s="88">
        <f t="shared" si="65"/>
        <v>0</v>
      </c>
      <c r="W241" s="88">
        <f t="shared" si="65"/>
        <v>0</v>
      </c>
      <c r="X241" s="88">
        <f t="shared" si="65"/>
        <v>0</v>
      </c>
      <c r="Y241" s="449">
        <f t="shared" si="64"/>
        <v>0</v>
      </c>
    </row>
    <row r="242" spans="4:25">
      <c r="D242" s="1" t="s">
        <v>132</v>
      </c>
      <c r="E242" s="87">
        <f t="shared" si="62"/>
        <v>0</v>
      </c>
      <c r="F242" s="88">
        <f t="shared" si="66"/>
        <v>0</v>
      </c>
      <c r="G242" s="88">
        <f t="shared" si="66"/>
        <v>0</v>
      </c>
      <c r="H242" s="88">
        <f t="shared" si="66"/>
        <v>0</v>
      </c>
      <c r="I242" s="88">
        <f t="shared" si="66"/>
        <v>0</v>
      </c>
      <c r="J242" s="88">
        <f t="shared" si="66"/>
        <v>0</v>
      </c>
      <c r="K242" s="88">
        <f t="shared" si="66"/>
        <v>0</v>
      </c>
      <c r="L242" s="88">
        <f t="shared" si="66"/>
        <v>0</v>
      </c>
      <c r="M242" s="88">
        <f t="shared" si="66"/>
        <v>0</v>
      </c>
      <c r="N242" s="88">
        <f t="shared" si="65"/>
        <v>0</v>
      </c>
      <c r="O242" s="88">
        <f t="shared" si="65"/>
        <v>0</v>
      </c>
      <c r="P242" s="88">
        <f t="shared" si="65"/>
        <v>0</v>
      </c>
      <c r="Q242" s="88">
        <f t="shared" si="65"/>
        <v>0</v>
      </c>
      <c r="R242" s="88">
        <f t="shared" si="65"/>
        <v>0</v>
      </c>
      <c r="S242" s="88">
        <f t="shared" si="65"/>
        <v>0</v>
      </c>
      <c r="T242" s="88">
        <f t="shared" si="65"/>
        <v>0</v>
      </c>
      <c r="U242" s="88">
        <f t="shared" si="65"/>
        <v>0</v>
      </c>
      <c r="V242" s="88">
        <f t="shared" si="65"/>
        <v>0</v>
      </c>
      <c r="W242" s="88">
        <f t="shared" si="65"/>
        <v>0</v>
      </c>
      <c r="X242" s="88">
        <f t="shared" si="65"/>
        <v>0</v>
      </c>
      <c r="Y242" s="449">
        <f t="shared" si="64"/>
        <v>0</v>
      </c>
    </row>
    <row r="243" spans="4:25">
      <c r="D243" s="1" t="s">
        <v>135</v>
      </c>
      <c r="E243" s="87">
        <f t="shared" si="62"/>
        <v>0</v>
      </c>
      <c r="F243" s="88">
        <f t="shared" si="66"/>
        <v>0</v>
      </c>
      <c r="G243" s="88">
        <f t="shared" si="66"/>
        <v>0</v>
      </c>
      <c r="H243" s="88">
        <f t="shared" si="66"/>
        <v>0</v>
      </c>
      <c r="I243" s="88">
        <f t="shared" si="66"/>
        <v>0</v>
      </c>
      <c r="J243" s="88">
        <f t="shared" si="66"/>
        <v>0</v>
      </c>
      <c r="K243" s="88">
        <f t="shared" si="66"/>
        <v>0</v>
      </c>
      <c r="L243" s="88">
        <f t="shared" si="66"/>
        <v>0</v>
      </c>
      <c r="M243" s="88">
        <f t="shared" si="66"/>
        <v>0</v>
      </c>
      <c r="N243" s="88">
        <f t="shared" si="65"/>
        <v>0</v>
      </c>
      <c r="O243" s="88">
        <f t="shared" si="65"/>
        <v>0</v>
      </c>
      <c r="P243" s="88">
        <f t="shared" si="65"/>
        <v>0</v>
      </c>
      <c r="Q243" s="88">
        <f t="shared" si="65"/>
        <v>0</v>
      </c>
      <c r="R243" s="88">
        <f t="shared" si="65"/>
        <v>0</v>
      </c>
      <c r="S243" s="88">
        <f t="shared" si="65"/>
        <v>0</v>
      </c>
      <c r="T243" s="88">
        <f t="shared" si="65"/>
        <v>0</v>
      </c>
      <c r="U243" s="88">
        <f t="shared" si="65"/>
        <v>0</v>
      </c>
      <c r="V243" s="88">
        <f t="shared" si="65"/>
        <v>0</v>
      </c>
      <c r="W243" s="88">
        <f t="shared" si="65"/>
        <v>0</v>
      </c>
      <c r="X243" s="88">
        <f t="shared" si="65"/>
        <v>0</v>
      </c>
      <c r="Y243" s="449">
        <f t="shared" si="64"/>
        <v>0</v>
      </c>
    </row>
    <row r="244" spans="4:25">
      <c r="D244" s="1" t="s">
        <v>138</v>
      </c>
      <c r="E244" s="87">
        <f t="shared" si="62"/>
        <v>0</v>
      </c>
      <c r="F244" s="88">
        <f t="shared" si="66"/>
        <v>0</v>
      </c>
      <c r="G244" s="88">
        <f t="shared" si="66"/>
        <v>0</v>
      </c>
      <c r="H244" s="88">
        <f t="shared" si="66"/>
        <v>0</v>
      </c>
      <c r="I244" s="88">
        <f t="shared" si="66"/>
        <v>0</v>
      </c>
      <c r="J244" s="88">
        <f t="shared" si="66"/>
        <v>0</v>
      </c>
      <c r="K244" s="88">
        <f t="shared" si="66"/>
        <v>0</v>
      </c>
      <c r="L244" s="88">
        <f t="shared" si="66"/>
        <v>0</v>
      </c>
      <c r="M244" s="88">
        <f t="shared" si="66"/>
        <v>0</v>
      </c>
      <c r="N244" s="88">
        <f t="shared" si="65"/>
        <v>0</v>
      </c>
      <c r="O244" s="88">
        <f t="shared" si="65"/>
        <v>0</v>
      </c>
      <c r="P244" s="88">
        <f t="shared" si="65"/>
        <v>0</v>
      </c>
      <c r="Q244" s="88">
        <f t="shared" si="65"/>
        <v>0</v>
      </c>
      <c r="R244" s="88">
        <f t="shared" si="65"/>
        <v>0</v>
      </c>
      <c r="S244" s="88">
        <f t="shared" si="65"/>
        <v>0</v>
      </c>
      <c r="T244" s="88">
        <f t="shared" si="65"/>
        <v>0</v>
      </c>
      <c r="U244" s="88">
        <f t="shared" si="65"/>
        <v>0</v>
      </c>
      <c r="V244" s="88">
        <f t="shared" si="65"/>
        <v>0</v>
      </c>
      <c r="W244" s="88">
        <f t="shared" si="65"/>
        <v>0</v>
      </c>
      <c r="X244" s="88">
        <f t="shared" si="65"/>
        <v>0</v>
      </c>
      <c r="Y244" s="449">
        <f t="shared" si="64"/>
        <v>0</v>
      </c>
    </row>
    <row r="245" spans="4:25">
      <c r="D245" s="1" t="s">
        <v>365</v>
      </c>
      <c r="E245" s="87">
        <f t="shared" si="62"/>
        <v>0</v>
      </c>
      <c r="F245" s="88">
        <f t="shared" si="66"/>
        <v>0</v>
      </c>
      <c r="G245" s="88">
        <f t="shared" si="66"/>
        <v>0</v>
      </c>
      <c r="H245" s="88">
        <f t="shared" si="66"/>
        <v>0</v>
      </c>
      <c r="I245" s="88">
        <f t="shared" si="66"/>
        <v>0</v>
      </c>
      <c r="J245" s="88">
        <f t="shared" si="66"/>
        <v>0</v>
      </c>
      <c r="K245" s="88">
        <f t="shared" si="66"/>
        <v>0</v>
      </c>
      <c r="L245" s="88">
        <f t="shared" si="66"/>
        <v>0</v>
      </c>
      <c r="M245" s="88">
        <f t="shared" si="66"/>
        <v>0</v>
      </c>
      <c r="N245" s="88">
        <f t="shared" si="65"/>
        <v>0</v>
      </c>
      <c r="O245" s="88">
        <f t="shared" si="65"/>
        <v>0</v>
      </c>
      <c r="P245" s="88">
        <f t="shared" si="65"/>
        <v>0</v>
      </c>
      <c r="Q245" s="88">
        <f t="shared" si="65"/>
        <v>0</v>
      </c>
      <c r="R245" s="88">
        <f t="shared" si="65"/>
        <v>0</v>
      </c>
      <c r="S245" s="88">
        <f t="shared" si="65"/>
        <v>0</v>
      </c>
      <c r="T245" s="88">
        <f t="shared" si="65"/>
        <v>0</v>
      </c>
      <c r="U245" s="88">
        <f t="shared" si="65"/>
        <v>0</v>
      </c>
      <c r="V245" s="88">
        <f t="shared" si="65"/>
        <v>0</v>
      </c>
      <c r="W245" s="88">
        <f t="shared" si="65"/>
        <v>0</v>
      </c>
      <c r="X245" s="88">
        <f t="shared" si="65"/>
        <v>0</v>
      </c>
      <c r="Y245" s="449">
        <f t="shared" si="64"/>
        <v>0</v>
      </c>
    </row>
    <row r="246" spans="4:25">
      <c r="D246" s="1" t="s">
        <v>367</v>
      </c>
      <c r="E246" s="87">
        <f t="shared" si="62"/>
        <v>0</v>
      </c>
      <c r="F246" s="88">
        <f t="shared" si="66"/>
        <v>0</v>
      </c>
      <c r="G246" s="88">
        <f t="shared" si="66"/>
        <v>0</v>
      </c>
      <c r="H246" s="88">
        <f t="shared" si="66"/>
        <v>0</v>
      </c>
      <c r="I246" s="88">
        <f t="shared" si="66"/>
        <v>0</v>
      </c>
      <c r="J246" s="88">
        <f t="shared" si="66"/>
        <v>0</v>
      </c>
      <c r="K246" s="88">
        <f t="shared" si="66"/>
        <v>0</v>
      </c>
      <c r="L246" s="88">
        <f t="shared" si="66"/>
        <v>0</v>
      </c>
      <c r="M246" s="88">
        <f t="shared" si="66"/>
        <v>0</v>
      </c>
      <c r="N246" s="88">
        <f t="shared" si="65"/>
        <v>0</v>
      </c>
      <c r="O246" s="88">
        <f t="shared" si="65"/>
        <v>0</v>
      </c>
      <c r="P246" s="88">
        <f t="shared" si="65"/>
        <v>0</v>
      </c>
      <c r="Q246" s="88">
        <f t="shared" si="65"/>
        <v>0</v>
      </c>
      <c r="R246" s="88">
        <f t="shared" si="65"/>
        <v>0</v>
      </c>
      <c r="S246" s="88">
        <f t="shared" si="65"/>
        <v>0</v>
      </c>
      <c r="T246" s="88">
        <f t="shared" si="65"/>
        <v>0</v>
      </c>
      <c r="U246" s="88">
        <f t="shared" si="65"/>
        <v>0</v>
      </c>
      <c r="V246" s="88">
        <f t="shared" si="65"/>
        <v>0</v>
      </c>
      <c r="W246" s="88">
        <f t="shared" si="65"/>
        <v>0</v>
      </c>
      <c r="X246" s="88">
        <f t="shared" si="65"/>
        <v>0</v>
      </c>
      <c r="Y246" s="449">
        <f t="shared" si="64"/>
        <v>0</v>
      </c>
    </row>
    <row r="247" spans="4:25">
      <c r="D247" s="1" t="s">
        <v>370</v>
      </c>
      <c r="E247" s="87">
        <f t="shared" si="62"/>
        <v>0</v>
      </c>
      <c r="F247" s="88">
        <f t="shared" si="66"/>
        <v>0</v>
      </c>
      <c r="G247" s="88">
        <f t="shared" si="66"/>
        <v>0</v>
      </c>
      <c r="H247" s="88">
        <f t="shared" si="66"/>
        <v>0</v>
      </c>
      <c r="I247" s="88">
        <f t="shared" si="66"/>
        <v>0</v>
      </c>
      <c r="J247" s="88">
        <f t="shared" si="66"/>
        <v>0</v>
      </c>
      <c r="K247" s="88">
        <f t="shared" si="66"/>
        <v>0</v>
      </c>
      <c r="L247" s="88">
        <f t="shared" si="66"/>
        <v>0</v>
      </c>
      <c r="M247" s="88">
        <f t="shared" si="66"/>
        <v>0</v>
      </c>
      <c r="N247" s="88">
        <f t="shared" si="65"/>
        <v>0</v>
      </c>
      <c r="O247" s="88">
        <f t="shared" si="65"/>
        <v>0</v>
      </c>
      <c r="P247" s="88">
        <f t="shared" si="65"/>
        <v>0</v>
      </c>
      <c r="Q247" s="88">
        <f t="shared" si="65"/>
        <v>0</v>
      </c>
      <c r="R247" s="88">
        <f t="shared" si="65"/>
        <v>0</v>
      </c>
      <c r="S247" s="88">
        <f t="shared" si="65"/>
        <v>0</v>
      </c>
      <c r="T247" s="88">
        <f t="shared" si="65"/>
        <v>0</v>
      </c>
      <c r="U247" s="88">
        <f t="shared" si="65"/>
        <v>0</v>
      </c>
      <c r="V247" s="88">
        <f t="shared" si="65"/>
        <v>0</v>
      </c>
      <c r="W247" s="88">
        <f t="shared" si="65"/>
        <v>0</v>
      </c>
      <c r="X247" s="88">
        <f t="shared" si="65"/>
        <v>0</v>
      </c>
      <c r="Y247" s="449">
        <f t="shared" si="64"/>
        <v>0</v>
      </c>
    </row>
    <row r="248" spans="4:25">
      <c r="D248" s="1" t="s">
        <v>373</v>
      </c>
      <c r="E248" s="87">
        <f t="shared" si="62"/>
        <v>0</v>
      </c>
      <c r="F248" s="88">
        <f t="shared" si="66"/>
        <v>0</v>
      </c>
      <c r="G248" s="88">
        <f t="shared" si="66"/>
        <v>0</v>
      </c>
      <c r="H248" s="88">
        <f t="shared" si="66"/>
        <v>0</v>
      </c>
      <c r="I248" s="88">
        <f t="shared" si="66"/>
        <v>0</v>
      </c>
      <c r="J248" s="88">
        <f t="shared" si="66"/>
        <v>0</v>
      </c>
      <c r="K248" s="88">
        <f t="shared" si="66"/>
        <v>0</v>
      </c>
      <c r="L248" s="88">
        <f t="shared" si="66"/>
        <v>0</v>
      </c>
      <c r="M248" s="88">
        <f t="shared" si="66"/>
        <v>0</v>
      </c>
      <c r="N248" s="88">
        <f t="shared" si="65"/>
        <v>0</v>
      </c>
      <c r="O248" s="88">
        <f t="shared" si="65"/>
        <v>0</v>
      </c>
      <c r="P248" s="88">
        <f t="shared" si="65"/>
        <v>0</v>
      </c>
      <c r="Q248" s="88">
        <f t="shared" si="65"/>
        <v>0</v>
      </c>
      <c r="R248" s="88">
        <f t="shared" si="65"/>
        <v>0</v>
      </c>
      <c r="S248" s="88">
        <f t="shared" si="65"/>
        <v>0</v>
      </c>
      <c r="T248" s="88">
        <f t="shared" si="65"/>
        <v>0</v>
      </c>
      <c r="U248" s="88">
        <f t="shared" si="65"/>
        <v>0</v>
      </c>
      <c r="V248" s="88">
        <f t="shared" si="65"/>
        <v>0</v>
      </c>
      <c r="W248" s="88">
        <f t="shared" si="65"/>
        <v>0</v>
      </c>
      <c r="X248" s="88">
        <f t="shared" si="65"/>
        <v>0</v>
      </c>
      <c r="Y248" s="449">
        <f t="shared" si="64"/>
        <v>0</v>
      </c>
    </row>
    <row r="249" spans="4:25">
      <c r="D249" s="1" t="s">
        <v>376</v>
      </c>
      <c r="E249" s="87">
        <f t="shared" si="62"/>
        <v>0</v>
      </c>
      <c r="F249" s="88">
        <f t="shared" si="66"/>
        <v>0</v>
      </c>
      <c r="G249" s="88">
        <f t="shared" si="66"/>
        <v>0</v>
      </c>
      <c r="H249" s="88">
        <f t="shared" si="66"/>
        <v>0</v>
      </c>
      <c r="I249" s="88">
        <f t="shared" si="66"/>
        <v>0</v>
      </c>
      <c r="J249" s="88">
        <f t="shared" si="66"/>
        <v>0</v>
      </c>
      <c r="K249" s="88">
        <f t="shared" si="66"/>
        <v>0</v>
      </c>
      <c r="L249" s="88">
        <f t="shared" si="66"/>
        <v>0</v>
      </c>
      <c r="M249" s="88">
        <f t="shared" si="66"/>
        <v>0</v>
      </c>
      <c r="N249" s="88">
        <f t="shared" si="65"/>
        <v>0</v>
      </c>
      <c r="O249" s="88">
        <f t="shared" si="65"/>
        <v>0</v>
      </c>
      <c r="P249" s="88">
        <f t="shared" si="65"/>
        <v>0</v>
      </c>
      <c r="Q249" s="88">
        <f t="shared" si="65"/>
        <v>0</v>
      </c>
      <c r="R249" s="88">
        <f t="shared" si="65"/>
        <v>0</v>
      </c>
      <c r="S249" s="88">
        <f t="shared" si="65"/>
        <v>0</v>
      </c>
      <c r="T249" s="88">
        <f t="shared" si="65"/>
        <v>0</v>
      </c>
      <c r="U249" s="88">
        <f t="shared" si="65"/>
        <v>0</v>
      </c>
      <c r="V249" s="88">
        <f t="shared" si="65"/>
        <v>0</v>
      </c>
      <c r="W249" s="88">
        <f t="shared" si="65"/>
        <v>0</v>
      </c>
      <c r="X249" s="88">
        <f t="shared" si="65"/>
        <v>0</v>
      </c>
      <c r="Y249" s="449">
        <f t="shared" si="64"/>
        <v>0</v>
      </c>
    </row>
    <row r="250" spans="4:25">
      <c r="D250" s="1" t="s">
        <v>379</v>
      </c>
      <c r="E250" s="87">
        <f t="shared" si="62"/>
        <v>0</v>
      </c>
      <c r="F250" s="88">
        <f t="shared" si="66"/>
        <v>4.6398574040082963E-3</v>
      </c>
      <c r="G250" s="88">
        <f t="shared" si="66"/>
        <v>1.0586630555863508E-2</v>
      </c>
      <c r="H250" s="88">
        <f t="shared" si="66"/>
        <v>1.7541844955268004E-2</v>
      </c>
      <c r="I250" s="88">
        <f t="shared" si="66"/>
        <v>2.5373246364658542E-2</v>
      </c>
      <c r="J250" s="88">
        <f t="shared" si="66"/>
        <v>3.3955650838105811E-2</v>
      </c>
      <c r="K250" s="88">
        <f t="shared" si="66"/>
        <v>4.317439276291779E-2</v>
      </c>
      <c r="L250" s="88">
        <f t="shared" si="66"/>
        <v>5.292687934314344E-2</v>
      </c>
      <c r="M250" s="88">
        <f t="shared" si="66"/>
        <v>6.4332037103991269E-2</v>
      </c>
      <c r="N250" s="88">
        <f t="shared" si="65"/>
        <v>7.5904740384469704E-2</v>
      </c>
      <c r="O250" s="88">
        <f t="shared" si="65"/>
        <v>8.7626277952761455E-2</v>
      </c>
      <c r="P250" s="88">
        <f t="shared" si="65"/>
        <v>9.9461157370367204E-2</v>
      </c>
      <c r="Q250" s="88">
        <f t="shared" si="65"/>
        <v>0.11136359011521435</v>
      </c>
      <c r="R250" s="88">
        <f t="shared" si="65"/>
        <v>0.12329307496248632</v>
      </c>
      <c r="S250" s="88">
        <f t="shared" si="65"/>
        <v>0.13523930017689523</v>
      </c>
      <c r="T250" s="88">
        <f t="shared" si="65"/>
        <v>0.14719601453844078</v>
      </c>
      <c r="U250" s="88">
        <f t="shared" si="65"/>
        <v>0.1591477549751481</v>
      </c>
      <c r="V250" s="88">
        <f t="shared" si="65"/>
        <v>0.17109384864900434</v>
      </c>
      <c r="W250" s="88">
        <f t="shared" si="65"/>
        <v>0.18302227870679744</v>
      </c>
      <c r="X250" s="88">
        <f t="shared" si="65"/>
        <v>0.19492462448638648</v>
      </c>
      <c r="Y250" s="449">
        <f t="shared" si="64"/>
        <v>0.10184256027622496</v>
      </c>
    </row>
    <row r="251" spans="4:25">
      <c r="D251" s="1" t="s">
        <v>382</v>
      </c>
      <c r="E251" s="87">
        <f t="shared" si="62"/>
        <v>0</v>
      </c>
      <c r="F251" s="88">
        <f t="shared" si="66"/>
        <v>0</v>
      </c>
      <c r="G251" s="88">
        <f t="shared" si="66"/>
        <v>0</v>
      </c>
      <c r="H251" s="88">
        <f t="shared" si="66"/>
        <v>0</v>
      </c>
      <c r="I251" s="88">
        <f t="shared" si="66"/>
        <v>0</v>
      </c>
      <c r="J251" s="88">
        <f t="shared" si="66"/>
        <v>0</v>
      </c>
      <c r="K251" s="88">
        <f t="shared" si="66"/>
        <v>0</v>
      </c>
      <c r="L251" s="88">
        <f t="shared" si="66"/>
        <v>0</v>
      </c>
      <c r="M251" s="88">
        <f t="shared" si="66"/>
        <v>0</v>
      </c>
      <c r="N251" s="88">
        <f t="shared" si="65"/>
        <v>0</v>
      </c>
      <c r="O251" s="88">
        <f t="shared" si="65"/>
        <v>0</v>
      </c>
      <c r="P251" s="88">
        <f t="shared" si="65"/>
        <v>0</v>
      </c>
      <c r="Q251" s="88">
        <f t="shared" si="65"/>
        <v>0</v>
      </c>
      <c r="R251" s="88">
        <f t="shared" si="65"/>
        <v>0</v>
      </c>
      <c r="S251" s="88">
        <f t="shared" si="65"/>
        <v>0</v>
      </c>
      <c r="T251" s="88">
        <f t="shared" si="65"/>
        <v>0</v>
      </c>
      <c r="U251" s="88">
        <f t="shared" si="65"/>
        <v>0</v>
      </c>
      <c r="V251" s="88">
        <f t="shared" si="65"/>
        <v>0</v>
      </c>
      <c r="W251" s="88">
        <f t="shared" si="65"/>
        <v>0</v>
      </c>
      <c r="X251" s="88">
        <f t="shared" si="65"/>
        <v>0</v>
      </c>
      <c r="Y251" s="449">
        <f t="shared" si="64"/>
        <v>0</v>
      </c>
    </row>
    <row r="252" spans="4:25">
      <c r="D252" s="1" t="s">
        <v>385</v>
      </c>
      <c r="E252" s="87">
        <f t="shared" si="62"/>
        <v>0</v>
      </c>
      <c r="F252" s="88">
        <f t="shared" si="66"/>
        <v>0</v>
      </c>
      <c r="G252" s="88">
        <f t="shared" si="66"/>
        <v>0</v>
      </c>
      <c r="H252" s="88">
        <f t="shared" si="66"/>
        <v>0</v>
      </c>
      <c r="I252" s="88">
        <f t="shared" si="66"/>
        <v>0</v>
      </c>
      <c r="J252" s="88">
        <f t="shared" si="66"/>
        <v>0</v>
      </c>
      <c r="K252" s="88">
        <f t="shared" si="66"/>
        <v>0</v>
      </c>
      <c r="L252" s="88">
        <f t="shared" si="66"/>
        <v>0</v>
      </c>
      <c r="M252" s="88">
        <f t="shared" si="66"/>
        <v>0</v>
      </c>
      <c r="N252" s="88">
        <f t="shared" si="65"/>
        <v>0</v>
      </c>
      <c r="O252" s="88">
        <f t="shared" si="65"/>
        <v>0</v>
      </c>
      <c r="P252" s="88">
        <f t="shared" si="65"/>
        <v>0</v>
      </c>
      <c r="Q252" s="88">
        <f t="shared" si="65"/>
        <v>0</v>
      </c>
      <c r="R252" s="88">
        <f t="shared" si="65"/>
        <v>0</v>
      </c>
      <c r="S252" s="88">
        <f t="shared" si="65"/>
        <v>0</v>
      </c>
      <c r="T252" s="88">
        <f t="shared" si="65"/>
        <v>0</v>
      </c>
      <c r="U252" s="88">
        <f t="shared" si="65"/>
        <v>0</v>
      </c>
      <c r="V252" s="88">
        <f t="shared" si="65"/>
        <v>0</v>
      </c>
      <c r="W252" s="88">
        <f t="shared" si="65"/>
        <v>0</v>
      </c>
      <c r="X252" s="88">
        <f t="shared" si="65"/>
        <v>0</v>
      </c>
      <c r="Y252" s="449">
        <f t="shared" si="64"/>
        <v>0</v>
      </c>
    </row>
    <row r="253" spans="4:25">
      <c r="D253" s="1" t="s">
        <v>388</v>
      </c>
      <c r="E253" s="87">
        <f t="shared" si="62"/>
        <v>0</v>
      </c>
      <c r="F253" s="88">
        <f t="shared" si="66"/>
        <v>0</v>
      </c>
      <c r="G253" s="88">
        <f t="shared" si="66"/>
        <v>0</v>
      </c>
      <c r="H253" s="88">
        <f t="shared" si="66"/>
        <v>0</v>
      </c>
      <c r="I253" s="88">
        <f t="shared" si="66"/>
        <v>0</v>
      </c>
      <c r="J253" s="88">
        <f t="shared" si="66"/>
        <v>0</v>
      </c>
      <c r="K253" s="88">
        <f t="shared" si="66"/>
        <v>0</v>
      </c>
      <c r="L253" s="88">
        <f t="shared" si="66"/>
        <v>0</v>
      </c>
      <c r="M253" s="88">
        <f t="shared" si="66"/>
        <v>0</v>
      </c>
      <c r="N253" s="88">
        <f t="shared" si="66"/>
        <v>0</v>
      </c>
      <c r="O253" s="88">
        <f t="shared" si="66"/>
        <v>0</v>
      </c>
      <c r="P253" s="88">
        <f t="shared" si="66"/>
        <v>0</v>
      </c>
      <c r="Q253" s="88">
        <f t="shared" si="66"/>
        <v>0</v>
      </c>
      <c r="R253" s="88">
        <f t="shared" si="66"/>
        <v>0</v>
      </c>
      <c r="S253" s="88">
        <f t="shared" si="66"/>
        <v>0</v>
      </c>
      <c r="T253" s="88">
        <f t="shared" si="66"/>
        <v>0</v>
      </c>
      <c r="U253" s="88">
        <f t="shared" si="66"/>
        <v>0</v>
      </c>
      <c r="V253" s="88">
        <f t="shared" ref="V253:X255" si="67">U253+V214</f>
        <v>0</v>
      </c>
      <c r="W253" s="88">
        <f t="shared" si="67"/>
        <v>0</v>
      </c>
      <c r="X253" s="88">
        <f t="shared" si="67"/>
        <v>0</v>
      </c>
      <c r="Y253" s="449">
        <f t="shared" si="64"/>
        <v>0</v>
      </c>
    </row>
    <row r="254" spans="4:25">
      <c r="D254" s="1" t="s">
        <v>391</v>
      </c>
      <c r="E254" s="87">
        <f t="shared" si="62"/>
        <v>0</v>
      </c>
      <c r="F254" s="88">
        <f t="shared" ref="F254:U255" si="68">E254+F215</f>
        <v>0</v>
      </c>
      <c r="G254" s="88">
        <f t="shared" si="68"/>
        <v>0</v>
      </c>
      <c r="H254" s="88">
        <f t="shared" si="68"/>
        <v>0</v>
      </c>
      <c r="I254" s="88">
        <f t="shared" si="68"/>
        <v>0</v>
      </c>
      <c r="J254" s="88">
        <f t="shared" si="68"/>
        <v>0</v>
      </c>
      <c r="K254" s="88">
        <f t="shared" si="68"/>
        <v>0</v>
      </c>
      <c r="L254" s="88">
        <f t="shared" si="68"/>
        <v>0</v>
      </c>
      <c r="M254" s="88">
        <f t="shared" si="68"/>
        <v>0</v>
      </c>
      <c r="N254" s="88">
        <f t="shared" si="68"/>
        <v>0</v>
      </c>
      <c r="O254" s="88">
        <f t="shared" si="68"/>
        <v>0</v>
      </c>
      <c r="P254" s="88">
        <f t="shared" si="68"/>
        <v>0</v>
      </c>
      <c r="Q254" s="88">
        <f t="shared" si="68"/>
        <v>0</v>
      </c>
      <c r="R254" s="88">
        <f t="shared" si="68"/>
        <v>0</v>
      </c>
      <c r="S254" s="88">
        <f t="shared" si="68"/>
        <v>0</v>
      </c>
      <c r="T254" s="88">
        <f t="shared" si="68"/>
        <v>0</v>
      </c>
      <c r="U254" s="88">
        <f t="shared" si="68"/>
        <v>0</v>
      </c>
      <c r="V254" s="88">
        <f t="shared" si="67"/>
        <v>0</v>
      </c>
      <c r="W254" s="88">
        <f t="shared" si="67"/>
        <v>0</v>
      </c>
      <c r="X254" s="88">
        <f t="shared" si="67"/>
        <v>0</v>
      </c>
      <c r="Y254" s="449">
        <f t="shared" si="64"/>
        <v>0</v>
      </c>
    </row>
    <row r="255" spans="4:25">
      <c r="D255" s="1" t="s">
        <v>394</v>
      </c>
      <c r="E255" s="87">
        <f t="shared" si="62"/>
        <v>0</v>
      </c>
      <c r="F255" s="88">
        <f t="shared" si="68"/>
        <v>0</v>
      </c>
      <c r="G255" s="88">
        <f t="shared" si="68"/>
        <v>0</v>
      </c>
      <c r="H255" s="88">
        <f t="shared" si="68"/>
        <v>0</v>
      </c>
      <c r="I255" s="88">
        <f t="shared" si="68"/>
        <v>0</v>
      </c>
      <c r="J255" s="88">
        <f t="shared" si="68"/>
        <v>0</v>
      </c>
      <c r="K255" s="88">
        <f t="shared" si="68"/>
        <v>0</v>
      </c>
      <c r="L255" s="88">
        <f t="shared" si="68"/>
        <v>0</v>
      </c>
      <c r="M255" s="88">
        <f t="shared" si="68"/>
        <v>0</v>
      </c>
      <c r="N255" s="88">
        <f t="shared" si="68"/>
        <v>0</v>
      </c>
      <c r="O255" s="88">
        <f t="shared" si="68"/>
        <v>0</v>
      </c>
      <c r="P255" s="88">
        <f t="shared" si="68"/>
        <v>0</v>
      </c>
      <c r="Q255" s="88">
        <f t="shared" si="68"/>
        <v>0</v>
      </c>
      <c r="R255" s="88">
        <f t="shared" si="68"/>
        <v>0</v>
      </c>
      <c r="S255" s="88">
        <f t="shared" si="68"/>
        <v>0</v>
      </c>
      <c r="T255" s="88">
        <f t="shared" si="68"/>
        <v>0</v>
      </c>
      <c r="U255" s="88">
        <f t="shared" si="68"/>
        <v>0</v>
      </c>
      <c r="V255" s="88">
        <f t="shared" si="67"/>
        <v>0</v>
      </c>
      <c r="W255" s="88">
        <f t="shared" si="67"/>
        <v>0</v>
      </c>
      <c r="X255" s="88">
        <f t="shared" si="67"/>
        <v>0</v>
      </c>
      <c r="Y255" s="449">
        <f t="shared" si="64"/>
        <v>0</v>
      </c>
    </row>
    <row r="257" spans="4:79" ht="15">
      <c r="D257" s="77" t="s">
        <v>146</v>
      </c>
      <c r="E257" s="77">
        <f>SUM(E224:E255)</f>
        <v>0</v>
      </c>
      <c r="F257" s="77">
        <f>SUM(F224:F255)</f>
        <v>16.878204904338542</v>
      </c>
      <c r="G257" s="77">
        <f t="shared" ref="G257:X257" si="69">SUM(G224:G255)</f>
        <v>38.510519658222762</v>
      </c>
      <c r="H257" s="77">
        <f t="shared" si="69"/>
        <v>63.811196718999724</v>
      </c>
      <c r="I257" s="77">
        <f t="shared" si="69"/>
        <v>92.299140672119222</v>
      </c>
      <c r="J257" s="77">
        <f t="shared" si="69"/>
        <v>123.51897539153006</v>
      </c>
      <c r="K257" s="77">
        <f t="shared" si="69"/>
        <v>157.05358682871321</v>
      </c>
      <c r="L257" s="77">
        <f t="shared" si="69"/>
        <v>192.5297776887376</v>
      </c>
      <c r="M257" s="77">
        <f t="shared" si="69"/>
        <v>234.01781770646554</v>
      </c>
      <c r="N257" s="77">
        <f t="shared" si="69"/>
        <v>276.1153306809901</v>
      </c>
      <c r="O257" s="77">
        <f t="shared" si="69"/>
        <v>318.75425158850527</v>
      </c>
      <c r="P257" s="77">
        <f t="shared" si="69"/>
        <v>361.805471148864</v>
      </c>
      <c r="Q257" s="77">
        <f t="shared" si="69"/>
        <v>405.10242647215284</v>
      </c>
      <c r="R257" s="77">
        <f t="shared" si="69"/>
        <v>448.49778803686581</v>
      </c>
      <c r="S257" s="77">
        <f t="shared" si="69"/>
        <v>491.95404529773595</v>
      </c>
      <c r="T257" s="77">
        <f t="shared" si="69"/>
        <v>535.44845846708949</v>
      </c>
      <c r="U257" s="77">
        <f t="shared" si="69"/>
        <v>578.92477820919146</v>
      </c>
      <c r="V257" s="77">
        <f t="shared" si="69"/>
        <v>622.3805569707938</v>
      </c>
      <c r="W257" s="77">
        <f t="shared" si="69"/>
        <v>665.77208157431107</v>
      </c>
      <c r="X257" s="77">
        <f t="shared" si="69"/>
        <v>709.06872054793484</v>
      </c>
      <c r="Y257" s="77">
        <f>SUM(Y224:Y255)</f>
        <v>370.46819560473205</v>
      </c>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row>
    <row r="258" spans="4:79">
      <c r="E258" s="37"/>
      <c r="F258" s="31"/>
      <c r="G258" s="31"/>
      <c r="H258" s="31"/>
      <c r="I258" s="31"/>
      <c r="J258" s="31"/>
      <c r="K258" s="31"/>
      <c r="L258" s="31"/>
      <c r="M258" s="31"/>
      <c r="N258" s="31"/>
      <c r="O258" s="31"/>
      <c r="P258" s="31"/>
      <c r="Q258" s="31"/>
      <c r="R258" s="31"/>
      <c r="S258" s="31"/>
      <c r="T258" s="31"/>
      <c r="U258" s="31"/>
      <c r="V258" s="31"/>
      <c r="W258" s="31"/>
      <c r="X258" s="31"/>
      <c r="Y258" s="31"/>
    </row>
    <row r="261" spans="4:79" customFormat="1"/>
    <row r="262" spans="4:79" customFormat="1"/>
    <row r="263" spans="4:79" customFormat="1"/>
    <row r="264" spans="4:79" customFormat="1"/>
    <row r="265" spans="4:79" customFormat="1"/>
    <row r="266" spans="4:79" customFormat="1"/>
    <row r="267" spans="4:79" customFormat="1"/>
    <row r="268" spans="4:79" customFormat="1"/>
    <row r="269" spans="4:79" customFormat="1"/>
    <row r="270" spans="4:79" customFormat="1"/>
    <row r="271" spans="4:79" customFormat="1"/>
    <row r="272" spans="4:79" customFormat="1"/>
    <row r="273" customFormat="1"/>
    <row r="274" customFormat="1"/>
    <row r="275" customFormat="1"/>
    <row r="276" customFormat="1"/>
    <row r="277" customFormat="1"/>
    <row r="278" customFormat="1"/>
    <row r="279" customFormat="1"/>
  </sheetData>
  <mergeCells count="2">
    <mergeCell ref="B1:T6"/>
    <mergeCell ref="U1:U6"/>
  </mergeCell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dimension ref="A1:H17"/>
  <sheetViews>
    <sheetView workbookViewId="0">
      <selection activeCell="H18" sqref="H18"/>
    </sheetView>
  </sheetViews>
  <sheetFormatPr defaultRowHeight="12.75"/>
  <cols>
    <col min="4" max="4" width="14.42578125" bestFit="1" customWidth="1"/>
    <col min="6" max="6" width="15.28515625" bestFit="1" customWidth="1"/>
  </cols>
  <sheetData>
    <row r="1" spans="1:7">
      <c r="A1" s="462" t="s">
        <v>788</v>
      </c>
      <c r="B1" s="463" t="s">
        <v>789</v>
      </c>
      <c r="C1" s="463" t="s">
        <v>790</v>
      </c>
      <c r="D1" s="463" t="s">
        <v>791</v>
      </c>
      <c r="E1" s="463" t="s">
        <v>792</v>
      </c>
      <c r="F1" s="463" t="s">
        <v>793</v>
      </c>
      <c r="G1" s="464" t="s">
        <v>794</v>
      </c>
    </row>
    <row r="2" spans="1:7">
      <c r="A2" s="465">
        <v>2010</v>
      </c>
      <c r="B2" s="466" t="s">
        <v>795</v>
      </c>
      <c r="C2" s="466" t="s">
        <v>396</v>
      </c>
      <c r="D2" s="466" t="s">
        <v>796</v>
      </c>
      <c r="E2" s="466" t="s">
        <v>797</v>
      </c>
      <c r="F2" s="467">
        <v>9439481.4643792603</v>
      </c>
      <c r="G2" s="468">
        <v>1.0775663911358606</v>
      </c>
    </row>
    <row r="3" spans="1:7">
      <c r="A3" s="469">
        <v>2010</v>
      </c>
      <c r="B3" s="470" t="s">
        <v>795</v>
      </c>
      <c r="C3" s="470" t="s">
        <v>396</v>
      </c>
      <c r="D3" s="470" t="s">
        <v>796</v>
      </c>
      <c r="E3" s="470" t="s">
        <v>798</v>
      </c>
      <c r="F3" s="471">
        <v>267143533.33136547</v>
      </c>
      <c r="G3" s="472">
        <v>30.495837277460623</v>
      </c>
    </row>
    <row r="4" spans="1:7">
      <c r="A4" s="473">
        <v>2010</v>
      </c>
      <c r="B4" s="474" t="s">
        <v>795</v>
      </c>
      <c r="C4" s="474" t="s">
        <v>396</v>
      </c>
      <c r="D4" s="474" t="s">
        <v>796</v>
      </c>
      <c r="E4" s="474" t="s">
        <v>799</v>
      </c>
      <c r="F4" s="475">
        <v>198682097.54918727</v>
      </c>
      <c r="G4" s="476">
        <v>22.680604802750167</v>
      </c>
    </row>
    <row r="5" spans="1:7">
      <c r="A5" s="469">
        <v>2010</v>
      </c>
      <c r="B5" s="470" t="s">
        <v>795</v>
      </c>
      <c r="C5" s="470" t="s">
        <v>396</v>
      </c>
      <c r="D5" s="470" t="s">
        <v>800</v>
      </c>
      <c r="E5" s="470" t="s">
        <v>800</v>
      </c>
      <c r="F5" s="471">
        <v>73264.12</v>
      </c>
      <c r="G5" s="472">
        <v>8.3634838583748206E-3</v>
      </c>
    </row>
    <row r="6" spans="1:7">
      <c r="A6" s="465">
        <v>2011</v>
      </c>
      <c r="B6" s="466" t="s">
        <v>795</v>
      </c>
      <c r="C6" s="466" t="s">
        <v>396</v>
      </c>
      <c r="D6" s="466" t="s">
        <v>796</v>
      </c>
      <c r="E6" s="466" t="s">
        <v>797</v>
      </c>
      <c r="F6" s="467">
        <v>9854205.932354426</v>
      </c>
      <c r="G6" s="468">
        <v>1.1249093498622642</v>
      </c>
    </row>
    <row r="7" spans="1:7">
      <c r="A7" s="469">
        <v>2011</v>
      </c>
      <c r="B7" s="470" t="s">
        <v>795</v>
      </c>
      <c r="C7" s="470" t="s">
        <v>396</v>
      </c>
      <c r="D7" s="470" t="s">
        <v>796</v>
      </c>
      <c r="E7" s="470" t="s">
        <v>798</v>
      </c>
      <c r="F7" s="471">
        <v>355335072.70581162</v>
      </c>
      <c r="G7" s="472">
        <v>40.56336480367861</v>
      </c>
    </row>
    <row r="8" spans="1:7">
      <c r="A8" s="473">
        <v>2011</v>
      </c>
      <c r="B8" s="474" t="s">
        <v>795</v>
      </c>
      <c r="C8" s="474" t="s">
        <v>396</v>
      </c>
      <c r="D8" s="474" t="s">
        <v>796</v>
      </c>
      <c r="E8" s="474" t="s">
        <v>799</v>
      </c>
      <c r="F8" s="475">
        <v>161052852.87662977</v>
      </c>
      <c r="G8" s="476">
        <v>18.385028927950771</v>
      </c>
    </row>
    <row r="9" spans="1:7">
      <c r="A9" s="469">
        <v>2011</v>
      </c>
      <c r="B9" s="470" t="s">
        <v>795</v>
      </c>
      <c r="C9" s="470" t="s">
        <v>396</v>
      </c>
      <c r="D9" s="470" t="s">
        <v>800</v>
      </c>
      <c r="E9" s="470" t="s">
        <v>800</v>
      </c>
      <c r="F9" s="471">
        <v>68834.759999999995</v>
      </c>
      <c r="G9" s="472">
        <v>7.8578493485110812E-3</v>
      </c>
    </row>
    <row r="10" spans="1:7">
      <c r="A10" s="465">
        <v>2012</v>
      </c>
      <c r="B10" s="466" t="s">
        <v>795</v>
      </c>
      <c r="C10" s="466" t="s">
        <v>396</v>
      </c>
      <c r="D10" s="466" t="s">
        <v>796</v>
      </c>
      <c r="E10" s="466" t="s">
        <v>797</v>
      </c>
      <c r="F10" s="467">
        <v>14716241.944558997</v>
      </c>
      <c r="G10" s="468">
        <v>1.6799363068116691</v>
      </c>
    </row>
    <row r="11" spans="1:7">
      <c r="A11" s="469">
        <v>2012</v>
      </c>
      <c r="B11" s="470" t="s">
        <v>795</v>
      </c>
      <c r="C11" s="470" t="s">
        <v>396</v>
      </c>
      <c r="D11" s="470" t="s">
        <v>796</v>
      </c>
      <c r="E11" s="470" t="s">
        <v>798</v>
      </c>
      <c r="F11" s="471">
        <v>235411782.06301099</v>
      </c>
      <c r="G11" s="472">
        <v>26.873491082993041</v>
      </c>
    </row>
    <row r="12" spans="1:7">
      <c r="A12" s="473">
        <v>2012</v>
      </c>
      <c r="B12" s="474" t="s">
        <v>795</v>
      </c>
      <c r="C12" s="474" t="s">
        <v>396</v>
      </c>
      <c r="D12" s="474" t="s">
        <v>796</v>
      </c>
      <c r="E12" s="474" t="s">
        <v>799</v>
      </c>
      <c r="F12" s="475">
        <v>80481975.939026237</v>
      </c>
      <c r="G12" s="476">
        <v>9.1874399614753202</v>
      </c>
    </row>
    <row r="13" spans="1:7">
      <c r="A13" s="469">
        <v>2012</v>
      </c>
      <c r="B13" s="470" t="s">
        <v>795</v>
      </c>
      <c r="C13" s="470" t="s">
        <v>396</v>
      </c>
      <c r="D13" s="470" t="s">
        <v>800</v>
      </c>
      <c r="E13" s="470" t="s">
        <v>800</v>
      </c>
      <c r="F13" s="471">
        <v>70910.539999999994</v>
      </c>
      <c r="G13" s="472">
        <v>8.0948104332492221E-3</v>
      </c>
    </row>
    <row r="14" spans="1:7">
      <c r="A14" s="465">
        <v>2013</v>
      </c>
      <c r="B14" s="466" t="s">
        <v>795</v>
      </c>
      <c r="C14" s="466" t="s">
        <v>396</v>
      </c>
      <c r="D14" s="466" t="s">
        <v>796</v>
      </c>
      <c r="E14" s="466" t="s">
        <v>797</v>
      </c>
      <c r="F14" s="467">
        <v>8710077.1121601518</v>
      </c>
      <c r="G14" s="468">
        <v>0.99430102713313318</v>
      </c>
    </row>
    <row r="15" spans="1:7">
      <c r="A15" s="469">
        <v>2013</v>
      </c>
      <c r="B15" s="470" t="s">
        <v>795</v>
      </c>
      <c r="C15" s="470" t="s">
        <v>396</v>
      </c>
      <c r="D15" s="470" t="s">
        <v>796</v>
      </c>
      <c r="E15" s="470" t="s">
        <v>798</v>
      </c>
      <c r="F15" s="471">
        <v>324862884.54250413</v>
      </c>
      <c r="G15" s="472">
        <v>37.084804296974198</v>
      </c>
    </row>
    <row r="17" spans="7:8">
      <c r="G17" s="477">
        <f>SUM(G2:G15)</f>
        <v>190.17160037186579</v>
      </c>
      <c r="H17">
        <f>G17/4</f>
        <v>47.542900092966448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B2:F19"/>
  <sheetViews>
    <sheetView workbookViewId="0">
      <selection activeCell="E19" sqref="E19"/>
    </sheetView>
  </sheetViews>
  <sheetFormatPr defaultRowHeight="12.75"/>
  <cols>
    <col min="2" max="2" width="54.140625" customWidth="1"/>
  </cols>
  <sheetData>
    <row r="2" spans="2:6">
      <c r="B2" t="s">
        <v>761</v>
      </c>
      <c r="C2" t="s">
        <v>472</v>
      </c>
      <c r="E2" t="s">
        <v>809</v>
      </c>
    </row>
    <row r="3" spans="2:6">
      <c r="B3" s="41" t="s">
        <v>717</v>
      </c>
      <c r="C3" s="435">
        <f>'Summary Tables'!H49</f>
        <v>8.1081096380314688E-2</v>
      </c>
      <c r="D3" s="435"/>
      <c r="E3" s="480">
        <v>14.586273128172119</v>
      </c>
      <c r="F3" s="435"/>
    </row>
    <row r="4" spans="2:6">
      <c r="B4" s="41" t="s">
        <v>719</v>
      </c>
      <c r="C4" s="435">
        <f>'Summary Tables'!H50</f>
        <v>2.2238302428260096E-2</v>
      </c>
      <c r="D4" s="435"/>
      <c r="E4" s="480">
        <v>26.421082363791715</v>
      </c>
      <c r="F4" s="435"/>
    </row>
    <row r="5" spans="2:6">
      <c r="B5" s="41" t="s">
        <v>721</v>
      </c>
      <c r="C5" s="435">
        <f>'Summary Tables'!H51</f>
        <v>4.3690429447174121E-4</v>
      </c>
      <c r="D5" s="435"/>
      <c r="E5" s="480">
        <v>22.965427755930161</v>
      </c>
      <c r="F5" s="435"/>
    </row>
    <row r="6" spans="2:6">
      <c r="B6" s="41" t="s">
        <v>723</v>
      </c>
      <c r="C6" s="435">
        <f>'Summary Tables'!H52</f>
        <v>6.7706707657562287E-2</v>
      </c>
      <c r="D6" s="436"/>
      <c r="E6" s="480">
        <v>1.786930875529545</v>
      </c>
      <c r="F6" s="436"/>
    </row>
    <row r="7" spans="2:6">
      <c r="B7" s="41" t="s">
        <v>725</v>
      </c>
      <c r="C7" s="435">
        <f>'Summary Tables'!H53</f>
        <v>0.52245631623218058</v>
      </c>
      <c r="D7" s="436"/>
      <c r="E7" s="480">
        <v>6.9745193151439029</v>
      </c>
      <c r="F7" s="436"/>
    </row>
    <row r="8" spans="2:6">
      <c r="B8" s="41" t="s">
        <v>727</v>
      </c>
      <c r="C8" s="435">
        <f>'Summary Tables'!H54</f>
        <v>5.2089564583772424E-2</v>
      </c>
      <c r="D8" s="436"/>
      <c r="E8" s="480">
        <v>13.031573228896434</v>
      </c>
      <c r="F8" s="436"/>
    </row>
    <row r="9" spans="2:6">
      <c r="B9" s="41" t="s">
        <v>729</v>
      </c>
      <c r="C9" s="435">
        <f>'Summary Tables'!H55</f>
        <v>4.4519699203299436E-2</v>
      </c>
      <c r="D9" s="435"/>
      <c r="E9" s="480">
        <v>9.5276209768126652</v>
      </c>
      <c r="F9" s="435"/>
    </row>
    <row r="10" spans="2:6">
      <c r="B10" s="41" t="s">
        <v>731</v>
      </c>
      <c r="C10" s="435">
        <f>'Summary Tables'!H56</f>
        <v>2.7146974784998612E-2</v>
      </c>
      <c r="D10" s="435"/>
      <c r="E10" s="480">
        <v>13.284196599978246</v>
      </c>
      <c r="F10" s="435"/>
    </row>
    <row r="11" spans="2:6">
      <c r="B11" s="41" t="s">
        <v>733</v>
      </c>
      <c r="C11" s="435">
        <f>'Summary Tables'!H57</f>
        <v>2.0455466875122243E-3</v>
      </c>
      <c r="D11" s="435"/>
      <c r="E11" s="480">
        <v>31.047305266523942</v>
      </c>
      <c r="F11" s="435"/>
    </row>
    <row r="12" spans="2:6">
      <c r="B12" s="41" t="s">
        <v>735</v>
      </c>
      <c r="C12" s="435">
        <f>'Summary Tables'!H58</f>
        <v>1.4160782440713806E-2</v>
      </c>
      <c r="D12" s="435"/>
      <c r="E12" s="480">
        <v>17.834555869383941</v>
      </c>
      <c r="F12" s="435"/>
    </row>
    <row r="13" spans="2:6">
      <c r="B13" s="41" t="s">
        <v>737</v>
      </c>
      <c r="C13" s="435">
        <f>'Summary Tables'!H59</f>
        <v>0.14309044911569505</v>
      </c>
      <c r="D13" s="435"/>
      <c r="E13" s="480">
        <v>30.760348216951932</v>
      </c>
      <c r="F13" s="435"/>
    </row>
    <row r="14" spans="2:6">
      <c r="B14" s="41" t="s">
        <v>739</v>
      </c>
      <c r="C14" s="435">
        <f>'Summary Tables'!H60</f>
        <v>1.1758790054771059E-2</v>
      </c>
      <c r="D14" s="435"/>
      <c r="E14" s="480">
        <v>70.63583297352767</v>
      </c>
      <c r="F14" s="435"/>
    </row>
    <row r="15" spans="2:6">
      <c r="B15" s="41" t="s">
        <v>741</v>
      </c>
      <c r="C15" s="435">
        <f>'Summary Tables'!H61</f>
        <v>1.8451136646785988E-4</v>
      </c>
      <c r="D15" s="435"/>
      <c r="E15" s="480">
        <v>15.966949235764652</v>
      </c>
      <c r="F15" s="435"/>
    </row>
    <row r="16" spans="2:6">
      <c r="B16" s="41" t="s">
        <v>743</v>
      </c>
      <c r="C16" s="435">
        <f>'Summary Tables'!H62</f>
        <v>2.2775014342185534E-3</v>
      </c>
      <c r="D16" s="435"/>
      <c r="E16" s="480">
        <v>27.768118813395134</v>
      </c>
      <c r="F16" s="435"/>
    </row>
    <row r="17" spans="2:6">
      <c r="B17" s="41" t="s">
        <v>745</v>
      </c>
      <c r="C17" s="435">
        <f>'Summary Tables'!H63</f>
        <v>8.8068533357615695E-3</v>
      </c>
      <c r="D17" s="435"/>
      <c r="E17" s="480">
        <v>60.368172650236723</v>
      </c>
      <c r="F17" s="435"/>
    </row>
    <row r="19" spans="2:6">
      <c r="C19" s="436">
        <f>SUM(C3:C17)</f>
        <v>1.0000000000000002</v>
      </c>
      <c r="E19">
        <f>SUMPRODUCT(E3:E17,C3:C17)</f>
        <v>13.154740758551007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EA34"/>
  <sheetViews>
    <sheetView workbookViewId="0">
      <selection sqref="A1:EA34"/>
    </sheetView>
  </sheetViews>
  <sheetFormatPr defaultRowHeight="12.75"/>
  <sheetData>
    <row r="1" spans="1:131" ht="13.5" thickBot="1">
      <c r="A1" s="43" t="s">
        <v>34</v>
      </c>
      <c r="B1" s="44"/>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row>
    <row r="2" spans="1:131" ht="13.5" thickBot="1">
      <c r="A2" s="45"/>
      <c r="B2" s="46"/>
      <c r="C2" s="47"/>
      <c r="D2" s="47"/>
      <c r="E2" s="47"/>
      <c r="F2" s="47"/>
      <c r="G2" s="47"/>
      <c r="H2" s="47"/>
      <c r="I2" s="47"/>
      <c r="J2" s="47"/>
      <c r="K2" s="47"/>
      <c r="L2" s="47"/>
      <c r="M2" s="47"/>
      <c r="N2" s="47"/>
      <c r="O2" s="48" t="s">
        <v>765</v>
      </c>
      <c r="P2" s="49"/>
      <c r="Q2" s="49"/>
      <c r="R2" s="49"/>
      <c r="S2" s="49"/>
      <c r="T2" s="49"/>
      <c r="U2" s="49"/>
      <c r="V2" s="49"/>
      <c r="W2" s="49"/>
      <c r="X2" s="49"/>
      <c r="Y2" s="49"/>
      <c r="Z2" s="50"/>
      <c r="AA2" s="47"/>
      <c r="AB2" s="48" t="s">
        <v>766</v>
      </c>
      <c r="AC2" s="49"/>
      <c r="AD2" s="49"/>
      <c r="AE2" s="49"/>
      <c r="AF2" s="49"/>
      <c r="AG2" s="49"/>
      <c r="AH2" s="49"/>
      <c r="AI2" s="49"/>
      <c r="AJ2" s="49"/>
      <c r="AK2" s="49"/>
      <c r="AL2" s="49"/>
      <c r="AM2" s="50"/>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row>
    <row r="3" spans="1:131" ht="204">
      <c r="A3" s="51" t="s">
        <v>35</v>
      </c>
      <c r="B3" s="52" t="s">
        <v>25</v>
      </c>
      <c r="C3" s="53" t="s">
        <v>36</v>
      </c>
      <c r="D3" s="53" t="s">
        <v>37</v>
      </c>
      <c r="E3" s="53" t="s">
        <v>38</v>
      </c>
      <c r="F3" s="53" t="s">
        <v>39</v>
      </c>
      <c r="G3" s="53" t="s">
        <v>40</v>
      </c>
      <c r="H3" s="53" t="s">
        <v>41</v>
      </c>
      <c r="I3" s="53" t="s">
        <v>42</v>
      </c>
      <c r="J3" s="53" t="s">
        <v>43</v>
      </c>
      <c r="K3" s="53" t="s">
        <v>44</v>
      </c>
      <c r="L3" s="53" t="s">
        <v>45</v>
      </c>
      <c r="M3" s="53" t="s">
        <v>46</v>
      </c>
      <c r="N3" s="53" t="s">
        <v>767</v>
      </c>
      <c r="O3" s="53" t="s">
        <v>47</v>
      </c>
      <c r="P3" s="53" t="s">
        <v>48</v>
      </c>
      <c r="Q3" s="53" t="s">
        <v>49</v>
      </c>
      <c r="R3" s="53" t="s">
        <v>50</v>
      </c>
      <c r="S3" s="53" t="s">
        <v>51</v>
      </c>
      <c r="T3" s="53" t="s">
        <v>52</v>
      </c>
      <c r="U3" s="53" t="s">
        <v>53</v>
      </c>
      <c r="V3" s="53" t="s">
        <v>54</v>
      </c>
      <c r="W3" s="53" t="s">
        <v>55</v>
      </c>
      <c r="X3" s="53" t="s">
        <v>56</v>
      </c>
      <c r="Y3" s="53" t="s">
        <v>57</v>
      </c>
      <c r="Z3" s="53" t="s">
        <v>58</v>
      </c>
      <c r="AA3" s="53"/>
      <c r="AB3" s="53" t="s">
        <v>47</v>
      </c>
      <c r="AC3" s="53" t="s">
        <v>48</v>
      </c>
      <c r="AD3" s="53" t="s">
        <v>49</v>
      </c>
      <c r="AE3" s="53" t="s">
        <v>50</v>
      </c>
      <c r="AF3" s="53" t="s">
        <v>51</v>
      </c>
      <c r="AG3" s="53" t="s">
        <v>52</v>
      </c>
      <c r="AH3" s="53" t="s">
        <v>53</v>
      </c>
      <c r="AI3" s="53" t="s">
        <v>54</v>
      </c>
      <c r="AJ3" s="53" t="s">
        <v>55</v>
      </c>
      <c r="AK3" s="53" t="s">
        <v>56</v>
      </c>
      <c r="AL3" s="53" t="s">
        <v>57</v>
      </c>
      <c r="AM3" s="53" t="s">
        <v>58</v>
      </c>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row>
    <row r="4" spans="1:131">
      <c r="A4" s="1" t="s">
        <v>753</v>
      </c>
      <c r="B4" s="1"/>
      <c r="C4" s="31">
        <v>10.331554133000125</v>
      </c>
      <c r="D4" s="31">
        <v>1.9510287475567527</v>
      </c>
      <c r="E4" s="31">
        <v>0.39020574951135056</v>
      </c>
      <c r="F4" s="31">
        <v>2.3412344970681032</v>
      </c>
      <c r="G4" s="31">
        <v>-12.519581230060096</v>
      </c>
      <c r="H4" s="31">
        <v>6.5044375629636768</v>
      </c>
      <c r="I4" s="31">
        <v>1985.1044605968707</v>
      </c>
      <c r="J4" s="31">
        <v>-2.8795726447932513</v>
      </c>
      <c r="K4" s="31">
        <v>-97.483290128606981</v>
      </c>
      <c r="L4" s="36">
        <v>5.5531830910269324</v>
      </c>
      <c r="M4" s="31">
        <v>8.4359027936712572E-2</v>
      </c>
      <c r="N4" s="31">
        <v>2.6990998985958756E-3</v>
      </c>
      <c r="O4" s="31">
        <v>0.73921002945803449</v>
      </c>
      <c r="P4" s="31">
        <v>0.58793412073249252</v>
      </c>
      <c r="Q4" s="31">
        <v>0.59400078642178622</v>
      </c>
      <c r="R4" s="31">
        <v>0.48445128633513773</v>
      </c>
      <c r="S4" s="31">
        <v>0.44113664046505252</v>
      </c>
      <c r="T4" s="31">
        <v>0.4532774979066459</v>
      </c>
      <c r="U4" s="31">
        <v>0.37408556799080311</v>
      </c>
      <c r="V4" s="31">
        <v>0.42670124568152651</v>
      </c>
      <c r="W4" s="31">
        <v>0.46986252455702143</v>
      </c>
      <c r="X4" s="31">
        <v>0.68572359048721321</v>
      </c>
      <c r="Y4" s="31">
        <v>0.69221501746668568</v>
      </c>
      <c r="Z4" s="31">
        <v>0.75991508966784882</v>
      </c>
      <c r="AA4" s="31"/>
      <c r="AB4" s="31">
        <v>0.38563300948377344</v>
      </c>
      <c r="AC4" s="31">
        <v>0.29637725643853452</v>
      </c>
      <c r="AD4" s="31">
        <v>0.27623405486777952</v>
      </c>
      <c r="AE4" s="31">
        <v>0.27097202925012304</v>
      </c>
      <c r="AF4" s="31">
        <v>0.26327148672567968</v>
      </c>
      <c r="AG4" s="31">
        <v>0.24620513668917057</v>
      </c>
      <c r="AH4" s="31">
        <v>0.28087214682367551</v>
      </c>
      <c r="AI4" s="31">
        <v>0.25409021792280639</v>
      </c>
      <c r="AJ4" s="31">
        <v>0.29450642656211723</v>
      </c>
      <c r="AK4" s="31">
        <v>0.29277963858072437</v>
      </c>
      <c r="AL4" s="31">
        <v>0.36873668420453914</v>
      </c>
      <c r="AM4" s="37">
        <v>0.39336264828095202</v>
      </c>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row>
    <row r="5" spans="1:131">
      <c r="A5" s="1" t="s">
        <v>757</v>
      </c>
      <c r="B5" s="1"/>
      <c r="C5" s="31">
        <v>87.041761167225999</v>
      </c>
      <c r="D5" s="31">
        <v>12.02981381264515</v>
      </c>
      <c r="E5" s="31">
        <v>2.4059627625290303</v>
      </c>
      <c r="F5" s="31">
        <v>14.435776575174181</v>
      </c>
      <c r="G5" s="31">
        <v>-21.550484615360059</v>
      </c>
      <c r="H5" s="31">
        <v>60.483911521684078</v>
      </c>
      <c r="I5" s="31">
        <v>1452.8359847358083</v>
      </c>
      <c r="J5" s="31">
        <v>-6.084577770530081</v>
      </c>
      <c r="K5" s="31">
        <v>-31.342168529326845</v>
      </c>
      <c r="L5" s="36">
        <v>4.7046933169704879</v>
      </c>
      <c r="M5" s="31">
        <v>0.7964304347978024</v>
      </c>
      <c r="N5" s="31">
        <v>2.2739503245659785E-2</v>
      </c>
      <c r="O5" s="31">
        <v>6.2277312791681956</v>
      </c>
      <c r="P5" s="31">
        <v>4.9532549179026795</v>
      </c>
      <c r="Q5" s="31">
        <v>5.0043656471512685</v>
      </c>
      <c r="R5" s="31">
        <v>4.0814278877609365</v>
      </c>
      <c r="S5" s="31">
        <v>3.7165086304708308</v>
      </c>
      <c r="T5" s="31">
        <v>3.8187934948961253</v>
      </c>
      <c r="U5" s="31">
        <v>3.1516136145633622</v>
      </c>
      <c r="V5" s="31">
        <v>3.594892640376083</v>
      </c>
      <c r="W5" s="31">
        <v>3.9585198042267882</v>
      </c>
      <c r="X5" s="31">
        <v>5.777116222938341</v>
      </c>
      <c r="Y5" s="31">
        <v>5.831805500999323</v>
      </c>
      <c r="Z5" s="31">
        <v>6.4021682402038298</v>
      </c>
      <c r="AA5" s="31"/>
      <c r="AB5" s="31">
        <v>3.2488990405103846</v>
      </c>
      <c r="AC5" s="31">
        <v>2.4969329917094965</v>
      </c>
      <c r="AD5" s="31">
        <v>2.3272296036524454</v>
      </c>
      <c r="AE5" s="31">
        <v>2.2828978437669774</v>
      </c>
      <c r="AF5" s="31">
        <v>2.2180219524303819</v>
      </c>
      <c r="AG5" s="31">
        <v>2.0742405672920801</v>
      </c>
      <c r="AH5" s="31">
        <v>2.3663048180006183</v>
      </c>
      <c r="AI5" s="31">
        <v>2.1406711689892717</v>
      </c>
      <c r="AJ5" s="31">
        <v>2.4811715365410532</v>
      </c>
      <c r="AK5" s="31">
        <v>2.4666236122764214</v>
      </c>
      <c r="AL5" s="31">
        <v>3.1065500879107617</v>
      </c>
      <c r="AM5" s="37">
        <v>3.3140200634883259</v>
      </c>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row>
    <row r="6" spans="1:131">
      <c r="A6" s="1" t="s">
        <v>730</v>
      </c>
      <c r="B6" s="1"/>
      <c r="C6" s="31">
        <v>9.8723739493112301</v>
      </c>
      <c r="D6" s="31">
        <v>2.4831274968904125</v>
      </c>
      <c r="E6" s="31">
        <v>0.49662549937808254</v>
      </c>
      <c r="F6" s="31">
        <v>2.9797529962684948</v>
      </c>
      <c r="G6" s="31">
        <v>-11.629535175530112</v>
      </c>
      <c r="H6" s="31">
        <v>6.215351449054177</v>
      </c>
      <c r="I6" s="31">
        <v>2644.0080553404409</v>
      </c>
      <c r="J6" s="31">
        <v>1.0879540720638337</v>
      </c>
      <c r="K6" s="31">
        <v>-94.996719014918995</v>
      </c>
      <c r="L6" s="36">
        <v>4.5494032437001746</v>
      </c>
      <c r="M6" s="31">
        <v>8.0609737806192017E-2</v>
      </c>
      <c r="N6" s="31">
        <v>2.5791399031027257E-3</v>
      </c>
      <c r="O6" s="31">
        <v>0.70635625037101069</v>
      </c>
      <c r="P6" s="31">
        <v>0.5618037153666039</v>
      </c>
      <c r="Q6" s="31">
        <v>0.5676007514697069</v>
      </c>
      <c r="R6" s="31">
        <v>0.46292011805357608</v>
      </c>
      <c r="S6" s="31">
        <v>0.42153056755549467</v>
      </c>
      <c r="T6" s="31">
        <v>0.43313183133301719</v>
      </c>
      <c r="U6" s="31">
        <v>0.35745954274676744</v>
      </c>
      <c r="V6" s="31">
        <v>0.40773674587345871</v>
      </c>
      <c r="W6" s="31">
        <v>0.44897974568782045</v>
      </c>
      <c r="X6" s="31">
        <v>0.65524698646555923</v>
      </c>
      <c r="Y6" s="31">
        <v>0.66144990557927741</v>
      </c>
      <c r="Z6" s="31">
        <v>0.72614108568261104</v>
      </c>
      <c r="AA6" s="31"/>
      <c r="AB6" s="31">
        <v>0.36849376461782796</v>
      </c>
      <c r="AC6" s="31">
        <v>0.28320493393015522</v>
      </c>
      <c r="AD6" s="31">
        <v>0.26395698576254489</v>
      </c>
      <c r="AE6" s="31">
        <v>0.25892882795011757</v>
      </c>
      <c r="AF6" s="31">
        <v>0.25157053176009392</v>
      </c>
      <c r="AG6" s="31">
        <v>0.2352626861696519</v>
      </c>
      <c r="AH6" s="31">
        <v>0.26838894029817884</v>
      </c>
      <c r="AI6" s="31">
        <v>0.24279731934845944</v>
      </c>
      <c r="AJ6" s="31">
        <v>0.28141725204824536</v>
      </c>
      <c r="AK6" s="31">
        <v>0.27976721019935885</v>
      </c>
      <c r="AL6" s="31">
        <v>0.35234838712878186</v>
      </c>
      <c r="AM6" s="37">
        <v>0.37587986391290973</v>
      </c>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row>
    <row r="7" spans="1:131">
      <c r="A7" s="1" t="s">
        <v>752</v>
      </c>
      <c r="B7" s="1"/>
      <c r="C7" s="31">
        <v>15.001215681785107</v>
      </c>
      <c r="D7" s="31">
        <v>2.0666793267960895</v>
      </c>
      <c r="E7" s="31">
        <v>0.4133358653592179</v>
      </c>
      <c r="F7" s="31">
        <v>2.4800151921553075</v>
      </c>
      <c r="G7" s="31">
        <v>-6.6340495828991957</v>
      </c>
      <c r="H7" s="31">
        <v>9.4166888759552272</v>
      </c>
      <c r="I7" s="31">
        <v>1448.2115012624949</v>
      </c>
      <c r="J7" s="31">
        <v>-6.1124236676816492</v>
      </c>
      <c r="K7" s="31">
        <v>-40.723166254238713</v>
      </c>
      <c r="L7" s="36">
        <v>4.3350975677046533</v>
      </c>
      <c r="M7" s="31">
        <v>0.12207109444997921</v>
      </c>
      <c r="N7" s="31">
        <v>3.9190405629480479E-3</v>
      </c>
      <c r="O7" s="31">
        <v>1.0733185872412989</v>
      </c>
      <c r="P7" s="31">
        <v>0.85366890965780484</v>
      </c>
      <c r="Q7" s="31">
        <v>0.86247759025927351</v>
      </c>
      <c r="R7" s="31">
        <v>0.70341384655953076</v>
      </c>
      <c r="S7" s="31">
        <v>0.64052182310278416</v>
      </c>
      <c r="T7" s="31">
        <v>0.65815011200284546</v>
      </c>
      <c r="U7" s="31">
        <v>0.54316496982275031</v>
      </c>
      <c r="V7" s="31">
        <v>0.61956191060445931</v>
      </c>
      <c r="W7" s="31">
        <v>0.68223124816761238</v>
      </c>
      <c r="X7" s="31">
        <v>0.99565731801471724</v>
      </c>
      <c r="Y7" s="31">
        <v>1.0050827437491268</v>
      </c>
      <c r="Z7" s="31">
        <v>1.1033819320114413</v>
      </c>
      <c r="AA7" s="31"/>
      <c r="AB7" s="31">
        <v>0.55993163030566262</v>
      </c>
      <c r="AC7" s="31">
        <v>0.43033401265440924</v>
      </c>
      <c r="AD7" s="31">
        <v>0.40108647570162925</v>
      </c>
      <c r="AE7" s="31">
        <v>0.39344611683621805</v>
      </c>
      <c r="AF7" s="31">
        <v>0.38226507884436772</v>
      </c>
      <c r="AG7" s="31">
        <v>0.35748507048330508</v>
      </c>
      <c r="AH7" s="31">
        <v>0.40782089502389868</v>
      </c>
      <c r="AI7" s="31">
        <v>0.36893405509214999</v>
      </c>
      <c r="AJ7" s="31">
        <v>0.42761760405616928</v>
      </c>
      <c r="AK7" s="31">
        <v>0.42511034148829985</v>
      </c>
      <c r="AL7" s="31">
        <v>0.53539849458566535</v>
      </c>
      <c r="AM7" s="37">
        <v>0.57115491551968489</v>
      </c>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row>
    <row r="8" spans="1:131">
      <c r="A8" s="1" t="s">
        <v>738</v>
      </c>
      <c r="B8" s="1"/>
      <c r="C8" s="31">
        <v>83.173238448682625</v>
      </c>
      <c r="D8" s="31">
        <v>15.310672125184738</v>
      </c>
      <c r="E8" s="31">
        <v>3.0621344250369478</v>
      </c>
      <c r="F8" s="31">
        <v>18.372806550221686</v>
      </c>
      <c r="G8" s="31">
        <v>-16.062565314281859</v>
      </c>
      <c r="H8" s="31">
        <v>57.795737676275905</v>
      </c>
      <c r="I8" s="31">
        <v>1935.0669564134444</v>
      </c>
      <c r="J8" s="31">
        <v>-3.1808688226807722</v>
      </c>
      <c r="K8" s="31">
        <v>-27.334459272113147</v>
      </c>
      <c r="L8" s="36">
        <v>3.6817126988879871</v>
      </c>
      <c r="M8" s="31">
        <v>0.76103352658456636</v>
      </c>
      <c r="N8" s="31">
        <v>2.1728858656963793E-2</v>
      </c>
      <c r="O8" s="31">
        <v>5.9509432223162761</v>
      </c>
      <c r="P8" s="31">
        <v>4.7331102548847825</v>
      </c>
      <c r="Q8" s="31">
        <v>4.7819493961667678</v>
      </c>
      <c r="R8" s="31">
        <v>3.9000310927493396</v>
      </c>
      <c r="S8" s="31">
        <v>3.5513304691165719</v>
      </c>
      <c r="T8" s="31">
        <v>3.6490693395674088</v>
      </c>
      <c r="U8" s="31">
        <v>3.0115418983605462</v>
      </c>
      <c r="V8" s="31">
        <v>3.4351196341371462</v>
      </c>
      <c r="W8" s="31">
        <v>3.7825855907055974</v>
      </c>
      <c r="X8" s="31">
        <v>5.5203555019188597</v>
      </c>
      <c r="Y8" s="31">
        <v>5.5726141453993536</v>
      </c>
      <c r="Z8" s="31">
        <v>6.1176274295281043</v>
      </c>
      <c r="AA8" s="31"/>
      <c r="AB8" s="31">
        <v>3.104503527598812</v>
      </c>
      <c r="AC8" s="31">
        <v>2.3859581920779633</v>
      </c>
      <c r="AD8" s="31">
        <v>2.2237971768234481</v>
      </c>
      <c r="AE8" s="31">
        <v>2.181435717377334</v>
      </c>
      <c r="AF8" s="31">
        <v>2.1194431989890319</v>
      </c>
      <c r="AG8" s="31">
        <v>1.9820520976346545</v>
      </c>
      <c r="AH8" s="31">
        <v>2.2611357149783688</v>
      </c>
      <c r="AI8" s="31">
        <v>2.0455302281453043</v>
      </c>
      <c r="AJ8" s="31">
        <v>2.3708972460281177</v>
      </c>
      <c r="AK8" s="31">
        <v>2.3569958961752469</v>
      </c>
      <c r="AL8" s="31">
        <v>2.9684811951147281</v>
      </c>
      <c r="AM8" s="37">
        <v>3.1667302828888446</v>
      </c>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row>
    <row r="9" spans="1:131">
      <c r="A9" s="1" t="s">
        <v>759</v>
      </c>
      <c r="B9" s="1"/>
      <c r="C9" s="31">
        <v>54.583633546821666</v>
      </c>
      <c r="D9" s="31">
        <v>5.5772508450117817</v>
      </c>
      <c r="E9" s="31">
        <v>1.1154501690023564</v>
      </c>
      <c r="F9" s="31">
        <v>6.6927010140141379</v>
      </c>
      <c r="G9" s="31">
        <v>-3.1090675092151869</v>
      </c>
      <c r="H9" s="31">
        <v>34.234234404520798</v>
      </c>
      <c r="I9" s="31">
        <v>1074.0959711389107</v>
      </c>
      <c r="J9" s="31">
        <v>-8.3651255390899042</v>
      </c>
      <c r="K9" s="31">
        <v>-12.334283459818346</v>
      </c>
      <c r="L9" s="36">
        <v>3.6129679940075823</v>
      </c>
      <c r="M9" s="31">
        <v>0.44372537252869609</v>
      </c>
      <c r="N9" s="31">
        <v>1.4259875898113245E-2</v>
      </c>
      <c r="O9" s="31">
        <v>3.9053920487329368</v>
      </c>
      <c r="P9" s="31">
        <v>3.1061716545849691</v>
      </c>
      <c r="Q9" s="31">
        <v>3.1382230432311156</v>
      </c>
      <c r="R9" s="31">
        <v>2.5594514769216872</v>
      </c>
      <c r="S9" s="31">
        <v>2.3306116792545248</v>
      </c>
      <c r="T9" s="31">
        <v>2.3947542182186701</v>
      </c>
      <c r="U9" s="31">
        <v>1.9763676689399765</v>
      </c>
      <c r="V9" s="31">
        <v>2.2543466479896805</v>
      </c>
      <c r="W9" s="31">
        <v>2.4823761776445838</v>
      </c>
      <c r="X9" s="31">
        <v>3.6228126664904727</v>
      </c>
      <c r="Y9" s="31">
        <v>3.6571081526179396</v>
      </c>
      <c r="Z9" s="31">
        <v>4.0147809562011307</v>
      </c>
      <c r="AA9" s="31"/>
      <c r="AB9" s="31">
        <v>2.0373750746740664</v>
      </c>
      <c r="AC9" s="31">
        <v>1.5658193674251897</v>
      </c>
      <c r="AD9" s="31">
        <v>1.4593988697107205</v>
      </c>
      <c r="AE9" s="31">
        <v>1.4315985529015838</v>
      </c>
      <c r="AF9" s="31">
        <v>1.3909150714180603</v>
      </c>
      <c r="AG9" s="31">
        <v>1.3007501858275035</v>
      </c>
      <c r="AH9" s="31">
        <v>1.4839028222059658</v>
      </c>
      <c r="AI9" s="31">
        <v>1.3424086216255566</v>
      </c>
      <c r="AJ9" s="31">
        <v>1.5559354050427407</v>
      </c>
      <c r="AK9" s="31">
        <v>1.5468124443365345</v>
      </c>
      <c r="AL9" s="31">
        <v>1.9481084633339767</v>
      </c>
      <c r="AM9" s="37">
        <v>2.0782122774920686</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row>
    <row r="10" spans="1:131">
      <c r="A10" s="1" t="s">
        <v>728</v>
      </c>
      <c r="B10" s="1"/>
      <c r="C10" s="31">
        <v>14.33449498481688</v>
      </c>
      <c r="D10" s="31">
        <v>2.630319143195023</v>
      </c>
      <c r="E10" s="31">
        <v>0.52606382863900458</v>
      </c>
      <c r="F10" s="31">
        <v>3.1563829718340277</v>
      </c>
      <c r="G10" s="31">
        <v>-5.6912445201357444</v>
      </c>
      <c r="H10" s="31">
        <v>8.9981693703572176</v>
      </c>
      <c r="I10" s="31">
        <v>1928.907496396135</v>
      </c>
      <c r="J10" s="31">
        <v>-3.2179574383372174</v>
      </c>
      <c r="K10" s="31">
        <v>-37.397069706053522</v>
      </c>
      <c r="L10" s="36">
        <v>3.5792508153034643</v>
      </c>
      <c r="M10" s="31">
        <v>0.11664571247442446</v>
      </c>
      <c r="N10" s="31">
        <v>3.7448609823725787E-3</v>
      </c>
      <c r="O10" s="31">
        <v>1.0256155389194634</v>
      </c>
      <c r="P10" s="31">
        <v>0.81572806922856911</v>
      </c>
      <c r="Q10" s="31">
        <v>0.82414525291441687</v>
      </c>
      <c r="R10" s="31">
        <v>0.67215100893466262</v>
      </c>
      <c r="S10" s="31">
        <v>0.61205418652043819</v>
      </c>
      <c r="T10" s="31">
        <v>0.62889899591383003</v>
      </c>
      <c r="U10" s="31">
        <v>0.51902430449729475</v>
      </c>
      <c r="V10" s="31">
        <v>0.59202582568870554</v>
      </c>
      <c r="W10" s="31">
        <v>0.65190985936016288</v>
      </c>
      <c r="X10" s="31">
        <v>0.95140588165850748</v>
      </c>
      <c r="Y10" s="31">
        <v>0.96041239958249891</v>
      </c>
      <c r="Z10" s="31">
        <v>1.0543427350331549</v>
      </c>
      <c r="AA10" s="31"/>
      <c r="AB10" s="31">
        <v>0.53504578006985537</v>
      </c>
      <c r="AC10" s="31">
        <v>0.4112080565364355</v>
      </c>
      <c r="AD10" s="31">
        <v>0.38326041011489015</v>
      </c>
      <c r="AE10" s="31">
        <v>0.37595962275460831</v>
      </c>
      <c r="AF10" s="31">
        <v>0.36527551978461797</v>
      </c>
      <c r="AG10" s="31">
        <v>0.34159684512849148</v>
      </c>
      <c r="AH10" s="31">
        <v>0.38969552191172535</v>
      </c>
      <c r="AI10" s="31">
        <v>0.35253698597694333</v>
      </c>
      <c r="AJ10" s="31">
        <v>0.40861237720922838</v>
      </c>
      <c r="AK10" s="31">
        <v>0.40621654853326428</v>
      </c>
      <c r="AL10" s="31">
        <v>0.51160300593741348</v>
      </c>
      <c r="AM10" s="37">
        <v>0.54577025260769885</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row>
    <row r="11" spans="1:131">
      <c r="A11" s="1" t="s">
        <v>756</v>
      </c>
      <c r="B11" s="1"/>
      <c r="C11" s="31">
        <v>16.258824982644914</v>
      </c>
      <c r="D11" s="31">
        <v>5.5856098464851964</v>
      </c>
      <c r="E11" s="31">
        <v>1.1171219692970393</v>
      </c>
      <c r="F11" s="31">
        <v>6.7027318157822355</v>
      </c>
      <c r="G11" s="31">
        <v>-10.620662924713676</v>
      </c>
      <c r="H11" s="31">
        <v>10.495660209542017</v>
      </c>
      <c r="I11" s="31">
        <v>3611.3268190614804</v>
      </c>
      <c r="J11" s="31">
        <v>6.9125740459068856</v>
      </c>
      <c r="K11" s="31">
        <v>-57.558538168362972</v>
      </c>
      <c r="L11" s="36">
        <v>3.0066942187403205</v>
      </c>
      <c r="M11" s="31">
        <v>0.13667036868623988</v>
      </c>
      <c r="N11" s="31">
        <v>4.2475887264408763E-3</v>
      </c>
      <c r="O11" s="31">
        <v>1.1632989906121636</v>
      </c>
      <c r="P11" s="31">
        <v>0.92523524024153736</v>
      </c>
      <c r="Q11" s="31">
        <v>0.93478238623725807</v>
      </c>
      <c r="R11" s="31">
        <v>0.76238372037188906</v>
      </c>
      <c r="S11" s="31">
        <v>0.69421921798230934</v>
      </c>
      <c r="T11" s="31">
        <v>0.71332535378153095</v>
      </c>
      <c r="U11" s="31">
        <v>0.58870056723301578</v>
      </c>
      <c r="V11" s="31">
        <v>0.67150215583276607</v>
      </c>
      <c r="W11" s="31">
        <v>0.73942530371836135</v>
      </c>
      <c r="X11" s="31">
        <v>1.0791270800770567</v>
      </c>
      <c r="Y11" s="31">
        <v>1.0893426753096991</v>
      </c>
      <c r="Z11" s="31">
        <v>1.1958826605879354</v>
      </c>
      <c r="AA11" s="31"/>
      <c r="AB11" s="31">
        <v>0.60687284100854089</v>
      </c>
      <c r="AC11" s="31">
        <v>0.46641055926707059</v>
      </c>
      <c r="AD11" s="31">
        <v>0.4347110893990323</v>
      </c>
      <c r="AE11" s="31">
        <v>0.42643021002015935</v>
      </c>
      <c r="AF11" s="31">
        <v>0.41431182283807694</v>
      </c>
      <c r="AG11" s="31">
        <v>0.38745441157505511</v>
      </c>
      <c r="AH11" s="31">
        <v>0.44201008085700272</v>
      </c>
      <c r="AI11" s="31">
        <v>0.39986320836412004</v>
      </c>
      <c r="AJ11" s="31">
        <v>0.46346642374385677</v>
      </c>
      <c r="AK11" s="31">
        <v>0.46074896776287089</v>
      </c>
      <c r="AL11" s="31">
        <v>0.58028299866454724</v>
      </c>
      <c r="AM11" s="37">
        <v>0.61903701715905535</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row>
    <row r="12" spans="1:131">
      <c r="A12" s="1" t="s">
        <v>742</v>
      </c>
      <c r="B12" s="1"/>
      <c r="C12" s="31">
        <v>52.157694278074032</v>
      </c>
      <c r="D12" s="31">
        <v>7.0983192572877227</v>
      </c>
      <c r="E12" s="31">
        <v>1.4196638514575446</v>
      </c>
      <c r="F12" s="31">
        <v>8.517983108745268</v>
      </c>
      <c r="G12" s="31">
        <v>-0.56476357933044219</v>
      </c>
      <c r="H12" s="31">
        <v>32.712712875430981</v>
      </c>
      <c r="I12" s="31">
        <v>1430.6140841807905</v>
      </c>
      <c r="J12" s="31">
        <v>-6.2183848780564643</v>
      </c>
      <c r="K12" s="31">
        <v>-8.9398321624848585</v>
      </c>
      <c r="L12" s="36">
        <v>3.0028238144541293</v>
      </c>
      <c r="M12" s="31">
        <v>0.42400424486075372</v>
      </c>
      <c r="N12" s="31">
        <v>1.3626103635974879E-2</v>
      </c>
      <c r="O12" s="31">
        <v>3.731819068789251</v>
      </c>
      <c r="P12" s="31">
        <v>2.9681195810478593</v>
      </c>
      <c r="Q12" s="31">
        <v>2.9987464635319547</v>
      </c>
      <c r="R12" s="31">
        <v>2.44569807794739</v>
      </c>
      <c r="S12" s="31">
        <v>2.2270289379543238</v>
      </c>
      <c r="T12" s="31">
        <v>2.2883206974089516</v>
      </c>
      <c r="U12" s="31">
        <v>1.8885291058759777</v>
      </c>
      <c r="V12" s="31">
        <v>2.154153463634584</v>
      </c>
      <c r="W12" s="31">
        <v>2.3720483475270466</v>
      </c>
      <c r="X12" s="31">
        <v>3.4617987702020074</v>
      </c>
      <c r="Y12" s="31">
        <v>3.4945700125015868</v>
      </c>
      <c r="Z12" s="31">
        <v>3.8363462470366358</v>
      </c>
      <c r="AA12" s="31"/>
      <c r="AB12" s="31">
        <v>1.9468250713552193</v>
      </c>
      <c r="AC12" s="31">
        <v>1.4962273955396257</v>
      </c>
      <c r="AD12" s="31">
        <v>1.3945366977235774</v>
      </c>
      <c r="AE12" s="31">
        <v>1.3679719505504024</v>
      </c>
      <c r="AF12" s="31">
        <v>1.3290966237994797</v>
      </c>
      <c r="AG12" s="31">
        <v>1.2429390664573923</v>
      </c>
      <c r="AH12" s="31">
        <v>1.4179515856634783</v>
      </c>
      <c r="AI12" s="31">
        <v>1.2827460162199764</v>
      </c>
      <c r="AJ12" s="31">
        <v>1.4867827203741746</v>
      </c>
      <c r="AK12" s="31">
        <v>1.4780652245882442</v>
      </c>
      <c r="AL12" s="31">
        <v>1.8615258649635777</v>
      </c>
      <c r="AM12" s="37">
        <v>1.98584728738131</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row>
    <row r="13" spans="1:131">
      <c r="A13" s="1" t="s">
        <v>746</v>
      </c>
      <c r="B13" s="1"/>
      <c r="C13" s="31">
        <v>20.131003317263307</v>
      </c>
      <c r="D13" s="31">
        <v>3.8938572916403871</v>
      </c>
      <c r="E13" s="31">
        <v>0.77877145832807748</v>
      </c>
      <c r="F13" s="31">
        <v>4.6726287499684647</v>
      </c>
      <c r="G13" s="31">
        <v>-3.4824199527046851</v>
      </c>
      <c r="H13" s="31">
        <v>12.732885655959414</v>
      </c>
      <c r="I13" s="31">
        <v>2033.2929861783089</v>
      </c>
      <c r="J13" s="31">
        <v>-2.5894099196001772</v>
      </c>
      <c r="K13" s="31">
        <v>-21.262756278752239</v>
      </c>
      <c r="L13" s="36">
        <v>2.9687066386203989</v>
      </c>
      <c r="M13" s="31">
        <v>0.16526304061809022</v>
      </c>
      <c r="N13" s="31">
        <v>5.2591883382486233E-3</v>
      </c>
      <c r="O13" s="31">
        <v>1.4403486023116614</v>
      </c>
      <c r="P13" s="31">
        <v>1.1455879321189004</v>
      </c>
      <c r="Q13" s="31">
        <v>1.1574088126508824</v>
      </c>
      <c r="R13" s="31">
        <v>0.94395192888885926</v>
      </c>
      <c r="S13" s="31">
        <v>0.85955346681125078</v>
      </c>
      <c r="T13" s="31">
        <v>0.88320989238719305</v>
      </c>
      <c r="U13" s="31">
        <v>0.72890464621476858</v>
      </c>
      <c r="V13" s="31">
        <v>0.83142614186746877</v>
      </c>
      <c r="W13" s="31">
        <v>0.91552576880013092</v>
      </c>
      <c r="X13" s="31">
        <v>1.3361304308256319</v>
      </c>
      <c r="Y13" s="31">
        <v>1.3487789575018005</v>
      </c>
      <c r="Z13" s="31">
        <v>1.4806923521872546</v>
      </c>
      <c r="AA13" s="31"/>
      <c r="AB13" s="31">
        <v>0.75140480253281761</v>
      </c>
      <c r="AC13" s="31">
        <v>0.57749022612854406</v>
      </c>
      <c r="AD13" s="31">
        <v>0.53824125618452068</v>
      </c>
      <c r="AE13" s="31">
        <v>0.52798821450261002</v>
      </c>
      <c r="AF13" s="31">
        <v>0.51298372968757655</v>
      </c>
      <c r="AG13" s="31">
        <v>0.47972999605023692</v>
      </c>
      <c r="AH13" s="31">
        <v>0.54727856493284177</v>
      </c>
      <c r="AI13" s="31">
        <v>0.4950940540058737</v>
      </c>
      <c r="AJ13" s="31">
        <v>0.57384491953058547</v>
      </c>
      <c r="AK13" s="31">
        <v>0.57048027814806623</v>
      </c>
      <c r="AL13" s="31">
        <v>0.71848236164278922</v>
      </c>
      <c r="AM13" s="37">
        <v>0.76646598135103916</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row>
    <row r="14" spans="1:131">
      <c r="A14" s="1" t="s">
        <v>760</v>
      </c>
      <c r="B14" s="1"/>
      <c r="C14" s="31">
        <v>48.844129164687544</v>
      </c>
      <c r="D14" s="31">
        <v>12.509870771200507</v>
      </c>
      <c r="E14" s="31">
        <v>2.5019741542401017</v>
      </c>
      <c r="F14" s="31">
        <v>15.011844925440609</v>
      </c>
      <c r="G14" s="31">
        <v>-14.497263387684168</v>
      </c>
      <c r="H14" s="31">
        <v>30.641509968973914</v>
      </c>
      <c r="I14" s="31">
        <v>2692.3145892000462</v>
      </c>
      <c r="J14" s="31">
        <v>1.3788273731289644</v>
      </c>
      <c r="K14" s="31">
        <v>-29.993229849727555</v>
      </c>
      <c r="L14" s="36">
        <v>2.7799937785209394</v>
      </c>
      <c r="M14" s="31">
        <v>0.3971733223277818</v>
      </c>
      <c r="N14" s="31">
        <v>1.2760440721528607E-2</v>
      </c>
      <c r="O14" s="31">
        <v>3.4947375480862015</v>
      </c>
      <c r="P14" s="31">
        <v>2.7795556954649423</v>
      </c>
      <c r="Q14" s="31">
        <v>2.808236859858241</v>
      </c>
      <c r="R14" s="31">
        <v>2.2903234982016438</v>
      </c>
      <c r="S14" s="31">
        <v>2.0855463533146543</v>
      </c>
      <c r="T14" s="31">
        <v>2.1429442628075841</v>
      </c>
      <c r="U14" s="31">
        <v>1.7685513298745517</v>
      </c>
      <c r="V14" s="31">
        <v>2.0173006394294912</v>
      </c>
      <c r="W14" s="31">
        <v>2.2213527165099398</v>
      </c>
      <c r="X14" s="31">
        <v>3.2418715707106038</v>
      </c>
      <c r="Y14" s="31">
        <v>3.2725608642831689</v>
      </c>
      <c r="Z14" s="31">
        <v>3.5926241411613451</v>
      </c>
      <c r="AA14" s="31"/>
      <c r="AB14" s="31">
        <v>1.8231437674249444</v>
      </c>
      <c r="AC14" s="31">
        <v>1.4011724478818377</v>
      </c>
      <c r="AD14" s="31">
        <v>1.3059421343543034</v>
      </c>
      <c r="AE14" s="31">
        <v>1.2810650388439813</v>
      </c>
      <c r="AF14" s="31">
        <v>1.2446594517599732</v>
      </c>
      <c r="AG14" s="31">
        <v>1.1639754622244163</v>
      </c>
      <c r="AH14" s="31">
        <v>1.3278694803910316</v>
      </c>
      <c r="AI14" s="31">
        <v>1.2012534865460023</v>
      </c>
      <c r="AJ14" s="31">
        <v>1.3923277905386595</v>
      </c>
      <c r="AK14" s="31">
        <v>1.3841641150531119</v>
      </c>
      <c r="AL14" s="31">
        <v>1.7432635980212496</v>
      </c>
      <c r="AM14" s="37">
        <v>1.8596869119456556</v>
      </c>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row>
    <row r="15" spans="1:131">
      <c r="A15" s="1" t="s">
        <v>754</v>
      </c>
      <c r="B15" s="1"/>
      <c r="C15" s="31">
        <v>11.177995908414712</v>
      </c>
      <c r="D15" s="31">
        <v>7.5966821450610711</v>
      </c>
      <c r="E15" s="31">
        <v>1.5193364290122142</v>
      </c>
      <c r="F15" s="31">
        <v>9.1160185740732853</v>
      </c>
      <c r="G15" s="31">
        <v>-16.607524950989351</v>
      </c>
      <c r="H15" s="31">
        <v>7.1932227771301305</v>
      </c>
      <c r="I15" s="31">
        <v>7144.064406819718</v>
      </c>
      <c r="J15" s="31">
        <v>28.184624881402506</v>
      </c>
      <c r="K15" s="31">
        <v>-118.66739310804593</v>
      </c>
      <c r="L15" s="36">
        <v>2.7577115222230888</v>
      </c>
      <c r="M15" s="31">
        <v>9.3620895304528676E-2</v>
      </c>
      <c r="N15" s="31">
        <v>2.920231287037374E-3</v>
      </c>
      <c r="O15" s="31">
        <v>0.79977190056512937</v>
      </c>
      <c r="P15" s="31">
        <v>0.63610228542226255</v>
      </c>
      <c r="Q15" s="31">
        <v>0.64266597984612883</v>
      </c>
      <c r="R15" s="31">
        <v>0.52414132731335006</v>
      </c>
      <c r="S15" s="31">
        <v>0.47727800664760928</v>
      </c>
      <c r="T15" s="31">
        <v>0.49041353815233252</v>
      </c>
      <c r="U15" s="31">
        <v>0.40473358553500982</v>
      </c>
      <c r="V15" s="31">
        <v>0.46165995134349902</v>
      </c>
      <c r="W15" s="31">
        <v>0.50835733999011201</v>
      </c>
      <c r="X15" s="31">
        <v>0.74190343389738511</v>
      </c>
      <c r="Y15" s="31">
        <v>0.74892668938075402</v>
      </c>
      <c r="Z15" s="31">
        <v>0.82217328135735079</v>
      </c>
      <c r="AA15" s="31"/>
      <c r="AB15" s="31">
        <v>0.41722708381217544</v>
      </c>
      <c r="AC15" s="31">
        <v>0.32065880090927812</v>
      </c>
      <c r="AD15" s="31">
        <v>0.29886531061326499</v>
      </c>
      <c r="AE15" s="31">
        <v>0.29317217867329254</v>
      </c>
      <c r="AF15" s="31">
        <v>0.28484074743625698</v>
      </c>
      <c r="AG15" s="31">
        <v>0.26637618843343092</v>
      </c>
      <c r="AH15" s="31">
        <v>0.30388339136263259</v>
      </c>
      <c r="AI15" s="31">
        <v>0.27490727723502484</v>
      </c>
      <c r="AJ15" s="31">
        <v>0.3186346980071661</v>
      </c>
      <c r="AK15" s="31">
        <v>0.31676643803947591</v>
      </c>
      <c r="AL15" s="31">
        <v>0.3989464793254543</v>
      </c>
      <c r="AM15" s="37">
        <v>0.42558999511633339</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row>
    <row r="16" spans="1:131">
      <c r="A16" s="1" t="s">
        <v>755</v>
      </c>
      <c r="B16" s="1"/>
      <c r="C16" s="31">
        <v>21.322455076849025</v>
      </c>
      <c r="D16" s="31">
        <v>7.7516912275500349</v>
      </c>
      <c r="E16" s="31">
        <v>1.550338245510007</v>
      </c>
      <c r="F16" s="31">
        <v>9.3020294730600419</v>
      </c>
      <c r="G16" s="31">
        <v>-11.790654345343119</v>
      </c>
      <c r="H16" s="31">
        <v>13.496329988396266</v>
      </c>
      <c r="I16" s="31">
        <v>3821.5945532688497</v>
      </c>
      <c r="J16" s="31">
        <v>8.1786816522637782</v>
      </c>
      <c r="K16" s="31">
        <v>-49.256412709384371</v>
      </c>
      <c r="L16" s="36">
        <v>2.7106954344406242</v>
      </c>
      <c r="M16" s="31">
        <v>0.17519263114542563</v>
      </c>
      <c r="N16" s="31">
        <v>5.5704529633071051E-3</v>
      </c>
      <c r="O16" s="31">
        <v>1.5255955147280642</v>
      </c>
      <c r="P16" s="31">
        <v>1.2133894587478662</v>
      </c>
      <c r="Q16" s="31">
        <v>1.2259099571124876</v>
      </c>
      <c r="R16" s="31">
        <v>0.99981964541118984</v>
      </c>
      <c r="S16" s="31">
        <v>0.91042606736425147</v>
      </c>
      <c r="T16" s="31">
        <v>0.93548259652339649</v>
      </c>
      <c r="U16" s="31">
        <v>0.77204480717028579</v>
      </c>
      <c r="V16" s="31">
        <v>0.88063402902945986</v>
      </c>
      <c r="W16" s="31">
        <v>0.96971108539821449</v>
      </c>
      <c r="X16" s="31">
        <v>1.4152091994172629</v>
      </c>
      <c r="Y16" s="31">
        <v>1.4286063280943841</v>
      </c>
      <c r="Z16" s="31">
        <v>1.5683270060897629</v>
      </c>
      <c r="AA16" s="31"/>
      <c r="AB16" s="31">
        <v>0.7958766333715297</v>
      </c>
      <c r="AC16" s="31">
        <v>0.61166893720522297</v>
      </c>
      <c r="AD16" s="31">
        <v>0.57009702023442965</v>
      </c>
      <c r="AE16" s="31">
        <v>0.55923715313202227</v>
      </c>
      <c r="AF16" s="31">
        <v>0.5433446291292342</v>
      </c>
      <c r="AG16" s="31">
        <v>0.50812277602807099</v>
      </c>
      <c r="AH16" s="31">
        <v>0.57966920135053146</v>
      </c>
      <c r="AI16" s="31">
        <v>0.52439615447792887</v>
      </c>
      <c r="AJ16" s="31">
        <v>0.60780788343898273</v>
      </c>
      <c r="AK16" s="31">
        <v>0.60424410603565037</v>
      </c>
      <c r="AL16" s="31">
        <v>0.7610056805514156</v>
      </c>
      <c r="AM16" s="37">
        <v>0.81182920680737636</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row>
    <row r="17" spans="1:131">
      <c r="A17" s="1" t="s">
        <v>758</v>
      </c>
      <c r="B17" s="1"/>
      <c r="C17" s="31">
        <v>50.673589083344737</v>
      </c>
      <c r="D17" s="31">
        <v>8.7470279229324603</v>
      </c>
      <c r="E17" s="31">
        <v>1.7494055845864922</v>
      </c>
      <c r="F17" s="31">
        <v>10.496433507518953</v>
      </c>
      <c r="G17" s="31">
        <v>1.1693365169335761</v>
      </c>
      <c r="H17" s="31">
        <v>31.76919757641544</v>
      </c>
      <c r="I17" s="31">
        <v>1814.5301958902987</v>
      </c>
      <c r="J17" s="31">
        <v>-3.906669716095398</v>
      </c>
      <c r="K17" s="31">
        <v>-6.4266835469852737</v>
      </c>
      <c r="L17" s="36">
        <v>2.5895318769153803</v>
      </c>
      <c r="M17" s="31">
        <v>0.41174803431834395</v>
      </c>
      <c r="N17" s="31">
        <v>1.3238383828380332E-2</v>
      </c>
      <c r="O17" s="31">
        <v>3.6256331619458151</v>
      </c>
      <c r="P17" s="31">
        <v>2.8836641282181006</v>
      </c>
      <c r="Q17" s="31">
        <v>2.9134195474210416</v>
      </c>
      <c r="R17" s="31">
        <v>2.3761077083488051</v>
      </c>
      <c r="S17" s="31">
        <v>2.1636606226678121</v>
      </c>
      <c r="T17" s="31">
        <v>2.2232083744576121</v>
      </c>
      <c r="U17" s="31">
        <v>1.83479253076042</v>
      </c>
      <c r="V17" s="31">
        <v>2.0928587612924954</v>
      </c>
      <c r="W17" s="31">
        <v>2.3045536217068179</v>
      </c>
      <c r="X17" s="31">
        <v>3.3632960735418895</v>
      </c>
      <c r="Y17" s="31">
        <v>3.3951348365283454</v>
      </c>
      <c r="Z17" s="31">
        <v>3.7271861034986045</v>
      </c>
      <c r="AA17" s="31"/>
      <c r="AB17" s="31">
        <v>1.8914297314802717</v>
      </c>
      <c r="AC17" s="31">
        <v>1.4536534497210483</v>
      </c>
      <c r="AD17" s="31">
        <v>1.3548562788327785</v>
      </c>
      <c r="AE17" s="31">
        <v>1.3290474101512062</v>
      </c>
      <c r="AF17" s="31">
        <v>1.291278249521628</v>
      </c>
      <c r="AG17" s="31">
        <v>1.2075722361019934</v>
      </c>
      <c r="AH17" s="31">
        <v>1.377604914989379</v>
      </c>
      <c r="AI17" s="31">
        <v>1.2462465111605538</v>
      </c>
      <c r="AJ17" s="31">
        <v>1.4444775151828353</v>
      </c>
      <c r="AK17" s="31">
        <v>1.4360080687204035</v>
      </c>
      <c r="AL17" s="31">
        <v>1.8085576453259091</v>
      </c>
      <c r="AM17" s="37">
        <v>1.9293416017689646</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row>
    <row r="18" spans="1:131">
      <c r="A18" s="1" t="s">
        <v>716</v>
      </c>
      <c r="B18" s="1"/>
      <c r="C18" s="31">
        <v>19.236292058718274</v>
      </c>
      <c r="D18" s="31">
        <v>4.9558183711786743</v>
      </c>
      <c r="E18" s="31">
        <v>0.99116367423573493</v>
      </c>
      <c r="F18" s="31">
        <v>5.9469820454144093</v>
      </c>
      <c r="G18" s="31">
        <v>-1.7060687207367309</v>
      </c>
      <c r="H18" s="31">
        <v>12.166979626805681</v>
      </c>
      <c r="I18" s="31">
        <v>2708.1915037892904</v>
      </c>
      <c r="J18" s="31">
        <v>1.4744287377543901</v>
      </c>
      <c r="K18" s="31">
        <v>-15.059976945801358</v>
      </c>
      <c r="L18" s="36">
        <v>2.3962000343412542</v>
      </c>
      <c r="M18" s="31">
        <v>0.15791801659061905</v>
      </c>
      <c r="N18" s="31">
        <v>5.0254466343264623E-3</v>
      </c>
      <c r="O18" s="31">
        <v>1.3763331088755877</v>
      </c>
      <c r="P18" s="31">
        <v>1.0946729129136159</v>
      </c>
      <c r="Q18" s="31">
        <v>1.10596842097751</v>
      </c>
      <c r="R18" s="31">
        <v>0.90199850982713226</v>
      </c>
      <c r="S18" s="31">
        <v>0.8213510905085285</v>
      </c>
      <c r="T18" s="31">
        <v>0.84395611939220683</v>
      </c>
      <c r="U18" s="31">
        <v>0.69650888416077883</v>
      </c>
      <c r="V18" s="31">
        <v>0.79447386889558136</v>
      </c>
      <c r="W18" s="31">
        <v>0.87483573463123632</v>
      </c>
      <c r="X18" s="31">
        <v>1.2767468561222706</v>
      </c>
      <c r="Y18" s="31">
        <v>1.2888332260572761</v>
      </c>
      <c r="Z18" s="31">
        <v>1.4148838032011544</v>
      </c>
      <c r="AA18" s="31"/>
      <c r="AB18" s="31">
        <v>0.71800903353135914</v>
      </c>
      <c r="AC18" s="31">
        <v>0.55182399385616432</v>
      </c>
      <c r="AD18" s="31">
        <v>0.5143194225763198</v>
      </c>
      <c r="AE18" s="31">
        <v>0.50452207163582741</v>
      </c>
      <c r="AF18" s="31">
        <v>0.49018445281257317</v>
      </c>
      <c r="AG18" s="31">
        <v>0.45840866289244864</v>
      </c>
      <c r="AH18" s="31">
        <v>0.52295507315804879</v>
      </c>
      <c r="AI18" s="31">
        <v>0.47308987382783491</v>
      </c>
      <c r="AJ18" s="31">
        <v>0.54834070088478171</v>
      </c>
      <c r="AK18" s="31">
        <v>0.54512559911926328</v>
      </c>
      <c r="AL18" s="31">
        <v>0.68654981223644318</v>
      </c>
      <c r="AM18" s="37">
        <v>0.73240082662432637</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row>
    <row r="19" spans="1:131">
      <c r="A19" s="1" t="s">
        <v>736</v>
      </c>
      <c r="B19" s="1"/>
      <c r="C19" s="31">
        <v>15.536210538971808</v>
      </c>
      <c r="D19" s="31">
        <v>7.1089579864357049</v>
      </c>
      <c r="E19" s="31">
        <v>1.4217915972871411</v>
      </c>
      <c r="F19" s="31">
        <v>8.5307495837228462</v>
      </c>
      <c r="G19" s="31">
        <v>-8.072545675168449</v>
      </c>
      <c r="H19" s="31">
        <v>10.029186422451275</v>
      </c>
      <c r="I19" s="31">
        <v>4810.0124651347414</v>
      </c>
      <c r="J19" s="31">
        <v>14.130348184412838</v>
      </c>
      <c r="K19" s="31">
        <v>-47.72588478334999</v>
      </c>
      <c r="L19" s="36">
        <v>2.3904493905809714</v>
      </c>
      <c r="M19" s="31">
        <v>0.1305961300779627</v>
      </c>
      <c r="N19" s="31">
        <v>4.0588070052657264E-3</v>
      </c>
      <c r="O19" s="31">
        <v>1.1115968132516232</v>
      </c>
      <c r="P19" s="31">
        <v>0.88411367400858021</v>
      </c>
      <c r="Q19" s="31">
        <v>0.89323650240449115</v>
      </c>
      <c r="R19" s="31">
        <v>0.72849999946647181</v>
      </c>
      <c r="S19" s="31">
        <v>0.66336503051642903</v>
      </c>
      <c r="T19" s="31">
        <v>0.68162200472457402</v>
      </c>
      <c r="U19" s="31">
        <v>0.5625360975782151</v>
      </c>
      <c r="V19" s="31">
        <v>0.64165761557353207</v>
      </c>
      <c r="W19" s="31">
        <v>0.70656195688643419</v>
      </c>
      <c r="X19" s="31">
        <v>1.0311658765180765</v>
      </c>
      <c r="Y19" s="31">
        <v>1.0409274452959347</v>
      </c>
      <c r="Z19" s="31">
        <v>1.1427323201173605</v>
      </c>
      <c r="AA19" s="31"/>
      <c r="AB19" s="31">
        <v>0.57990071474149463</v>
      </c>
      <c r="AC19" s="31">
        <v>0.44568120107742304</v>
      </c>
      <c r="AD19" s="31">
        <v>0.41539059653685312</v>
      </c>
      <c r="AE19" s="31">
        <v>0.40747775624148563</v>
      </c>
      <c r="AF19" s="31">
        <v>0.39589796404527355</v>
      </c>
      <c r="AG19" s="31">
        <v>0.3702342155050527</v>
      </c>
      <c r="AH19" s="31">
        <v>0.42236518837446929</v>
      </c>
      <c r="AI19" s="31">
        <v>0.38209151021460364</v>
      </c>
      <c r="AJ19" s="31">
        <v>0.44286791602190761</v>
      </c>
      <c r="AK19" s="31">
        <v>0.44027123586229888</v>
      </c>
      <c r="AL19" s="31">
        <v>0.55449264316834523</v>
      </c>
      <c r="AM19" s="37">
        <v>0.59152426084087517</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row>
    <row r="20" spans="1:131">
      <c r="A20" s="1" t="s">
        <v>744</v>
      </c>
      <c r="B20" s="1"/>
      <c r="C20" s="31">
        <v>46.673278979590322</v>
      </c>
      <c r="D20" s="31">
        <v>15.921653708800646</v>
      </c>
      <c r="E20" s="31">
        <v>3.1843307417601294</v>
      </c>
      <c r="F20" s="31">
        <v>19.105984450560776</v>
      </c>
      <c r="G20" s="31">
        <v>-8.7903453648050114</v>
      </c>
      <c r="H20" s="31">
        <v>29.279665081463968</v>
      </c>
      <c r="I20" s="31">
        <v>3585.9581209218372</v>
      </c>
      <c r="J20" s="31">
        <v>6.7598187893809403</v>
      </c>
      <c r="K20" s="31">
        <v>-22.011904676498236</v>
      </c>
      <c r="L20" s="36">
        <v>2.2332836353554177</v>
      </c>
      <c r="M20" s="31">
        <v>0.37952117466876895</v>
      </c>
      <c r="N20" s="31">
        <v>1.2193310022794003E-2</v>
      </c>
      <c r="O20" s="31">
        <v>3.3394158792823707</v>
      </c>
      <c r="P20" s="31">
        <v>2.6560198867776115</v>
      </c>
      <c r="Q20" s="31">
        <v>2.6834263327534305</v>
      </c>
      <c r="R20" s="31">
        <v>2.1885313427260153</v>
      </c>
      <c r="S20" s="31">
        <v>1.9928554042784474</v>
      </c>
      <c r="T20" s="31">
        <v>2.0477022955716913</v>
      </c>
      <c r="U20" s="31">
        <v>1.6899490485467938</v>
      </c>
      <c r="V20" s="31">
        <v>1.927642833232625</v>
      </c>
      <c r="W20" s="31">
        <v>2.1226259291094984</v>
      </c>
      <c r="X20" s="31">
        <v>3.0977883897901326</v>
      </c>
      <c r="Y20" s="31">
        <v>3.127113714759473</v>
      </c>
      <c r="Z20" s="31">
        <v>3.4329519571097302</v>
      </c>
      <c r="AA20" s="31"/>
      <c r="AB20" s="31">
        <v>1.7421151555393914</v>
      </c>
      <c r="AC20" s="31">
        <v>1.3388981168648673</v>
      </c>
      <c r="AD20" s="31">
        <v>1.2479002617163344</v>
      </c>
      <c r="AE20" s="31">
        <v>1.22412881489536</v>
      </c>
      <c r="AF20" s="31">
        <v>1.1893412539039743</v>
      </c>
      <c r="AG20" s="31">
        <v>1.1122432194588867</v>
      </c>
      <c r="AH20" s="31">
        <v>1.2688530590403191</v>
      </c>
      <c r="AI20" s="31">
        <v>1.1478644426995133</v>
      </c>
      <c r="AJ20" s="31">
        <v>1.330446555403608</v>
      </c>
      <c r="AK20" s="31">
        <v>1.3226457099396403</v>
      </c>
      <c r="AL20" s="31">
        <v>1.6657852158869719</v>
      </c>
      <c r="AM20" s="37">
        <v>1.7770341603036266</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row>
    <row r="21" spans="1:131">
      <c r="A21" s="1" t="s">
        <v>732</v>
      </c>
      <c r="B21" s="1"/>
      <c r="C21" s="31">
        <v>10.681196090262945</v>
      </c>
      <c r="D21" s="31">
        <v>9.6685045482595466</v>
      </c>
      <c r="E21" s="31">
        <v>1.9337009096519093</v>
      </c>
      <c r="F21" s="31">
        <v>11.602205457911456</v>
      </c>
      <c r="G21" s="31">
        <v>-13.14197018702332</v>
      </c>
      <c r="H21" s="31">
        <v>6.8735239870354583</v>
      </c>
      <c r="I21" s="31">
        <v>9515.3500555949759</v>
      </c>
      <c r="J21" s="31">
        <v>42.463100882853119</v>
      </c>
      <c r="K21" s="31">
        <v>-99.87829920820603</v>
      </c>
      <c r="L21" s="36">
        <v>2.1795149120847048</v>
      </c>
      <c r="M21" s="31">
        <v>8.9459966624327078E-2</v>
      </c>
      <c r="N21" s="31">
        <v>2.7904432298357131E-3</v>
      </c>
      <c r="O21" s="31">
        <v>0.7642264827622347</v>
      </c>
      <c r="P21" s="31">
        <v>0.60783107273682868</v>
      </c>
      <c r="Q21" s="31">
        <v>0.61410304740852306</v>
      </c>
      <c r="R21" s="31">
        <v>0.50084615721053449</v>
      </c>
      <c r="S21" s="31">
        <v>0.45606565079660444</v>
      </c>
      <c r="T21" s="31">
        <v>0.46861738090111776</v>
      </c>
      <c r="U21" s="31">
        <v>0.38674542617789825</v>
      </c>
      <c r="V21" s="31">
        <v>0.44114173128378797</v>
      </c>
      <c r="W21" s="31">
        <v>0.48576368043499596</v>
      </c>
      <c r="X21" s="31">
        <v>0.70892994794639019</v>
      </c>
      <c r="Y21" s="31">
        <v>0.71564105874160944</v>
      </c>
      <c r="Z21" s="31">
        <v>0.78563224663035736</v>
      </c>
      <c r="AA21" s="31"/>
      <c r="AB21" s="31">
        <v>0.39868365786496762</v>
      </c>
      <c r="AC21" s="31">
        <v>0.30640729864664351</v>
      </c>
      <c r="AD21" s="31">
        <v>0.28558240791934209</v>
      </c>
      <c r="AE21" s="31">
        <v>0.28014230406559065</v>
      </c>
      <c r="AF21" s="31">
        <v>0.27218115866131221</v>
      </c>
      <c r="AG21" s="31">
        <v>0.25453724672527844</v>
      </c>
      <c r="AH21" s="31">
        <v>0.29037746285762667</v>
      </c>
      <c r="AI21" s="31">
        <v>0.26268917602457925</v>
      </c>
      <c r="AJ21" s="31">
        <v>0.30447315587351431</v>
      </c>
      <c r="AK21" s="31">
        <v>0.30268792968216585</v>
      </c>
      <c r="AL21" s="31">
        <v>0.3812155246887674</v>
      </c>
      <c r="AM21" s="37">
        <v>0.4066748842222741</v>
      </c>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row>
    <row r="22" spans="1:131">
      <c r="A22" s="1" t="s">
        <v>734</v>
      </c>
      <c r="B22" s="1"/>
      <c r="C22" s="31">
        <v>20.374790406766845</v>
      </c>
      <c r="D22" s="31">
        <v>9.8657888350636807</v>
      </c>
      <c r="E22" s="31">
        <v>1.9731577670127363</v>
      </c>
      <c r="F22" s="31">
        <v>11.838946602076417</v>
      </c>
      <c r="G22" s="31">
        <v>-8.2543854914599706</v>
      </c>
      <c r="H22" s="31">
        <v>12.896493100023097</v>
      </c>
      <c r="I22" s="31">
        <v>5090.0730836350431</v>
      </c>
      <c r="J22" s="31">
        <v>15.81670715271061</v>
      </c>
      <c r="K22" s="31">
        <v>-38.377975660533203</v>
      </c>
      <c r="L22" s="36">
        <v>2.1597603385214326</v>
      </c>
      <c r="M22" s="31">
        <v>0.16740629198340662</v>
      </c>
      <c r="N22" s="31">
        <v>5.3228772760490119E-3</v>
      </c>
      <c r="O22" s="31">
        <v>1.4577912696290392</v>
      </c>
      <c r="P22" s="31">
        <v>1.1594610383590722</v>
      </c>
      <c r="Q22" s="31">
        <v>1.1714250701297106</v>
      </c>
      <c r="R22" s="31">
        <v>0.95538321672624815</v>
      </c>
      <c r="S22" s="31">
        <v>0.86996268659250697</v>
      </c>
      <c r="T22" s="31">
        <v>0.89390559223346777</v>
      </c>
      <c r="U22" s="31">
        <v>0.73773170462938431</v>
      </c>
      <c r="V22" s="31">
        <v>0.84149473885037285</v>
      </c>
      <c r="W22" s="31">
        <v>0.92661281493607173</v>
      </c>
      <c r="X22" s="31">
        <v>1.3523110127764957</v>
      </c>
      <c r="Y22" s="31">
        <v>1.3651127135124117</v>
      </c>
      <c r="Z22" s="31">
        <v>1.4986235835968849</v>
      </c>
      <c r="AA22" s="31"/>
      <c r="AB22" s="31">
        <v>0.76050433855501731</v>
      </c>
      <c r="AC22" s="31">
        <v>0.58448365110721312</v>
      </c>
      <c r="AD22" s="31">
        <v>0.54475937489067727</v>
      </c>
      <c r="AE22" s="31">
        <v>0.53438216854837683</v>
      </c>
      <c r="AF22" s="31">
        <v>0.51919597894571268</v>
      </c>
      <c r="AG22" s="31">
        <v>0.48553954153793449</v>
      </c>
      <c r="AH22" s="31">
        <v>0.55390612573495235</v>
      </c>
      <c r="AI22" s="31">
        <v>0.5010896587233542</v>
      </c>
      <c r="AJ22" s="31">
        <v>0.58079419973058355</v>
      </c>
      <c r="AK22" s="31">
        <v>0.57738881243406592</v>
      </c>
      <c r="AL22" s="31">
        <v>0.72718320586024165</v>
      </c>
      <c r="AM22" s="37">
        <v>0.77574790872704857</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row>
    <row r="23" spans="1:131">
      <c r="A23" s="1" t="s">
        <v>740</v>
      </c>
      <c r="B23" s="1"/>
      <c r="C23" s="31">
        <v>48.421429568529426</v>
      </c>
      <c r="D23" s="31">
        <v>11.132580992823133</v>
      </c>
      <c r="E23" s="31">
        <v>2.2265161985646267</v>
      </c>
      <c r="F23" s="31">
        <v>13.359097191387759</v>
      </c>
      <c r="G23" s="31">
        <v>5.1596712064757035</v>
      </c>
      <c r="H23" s="31">
        <v>30.357233239685861</v>
      </c>
      <c r="I23" s="31">
        <v>2416.816117147755</v>
      </c>
      <c r="J23" s="31">
        <v>-0.28006105461767672</v>
      </c>
      <c r="K23" s="31">
        <v>-0.28395098554769854</v>
      </c>
      <c r="L23" s="36">
        <v>2.093839740603169</v>
      </c>
      <c r="M23" s="31">
        <v>0.39344812168197285</v>
      </c>
      <c r="N23" s="31">
        <v>1.2650011213785653E-2</v>
      </c>
      <c r="O23" s="31">
        <v>3.4644939103037795</v>
      </c>
      <c r="P23" s="31">
        <v>2.7555012780750743</v>
      </c>
      <c r="Q23" s="31">
        <v>2.783934234202329</v>
      </c>
      <c r="R23" s="31">
        <v>2.2705029213110808</v>
      </c>
      <c r="S23" s="31">
        <v>2.067497928327021</v>
      </c>
      <c r="T23" s="31">
        <v>2.1243991133706071</v>
      </c>
      <c r="U23" s="31">
        <v>1.7532461960599572</v>
      </c>
      <c r="V23" s="31">
        <v>1.9998428163461626</v>
      </c>
      <c r="W23" s="31">
        <v>2.2021290162976261</v>
      </c>
      <c r="X23" s="31">
        <v>3.2138162480511396</v>
      </c>
      <c r="Y23" s="31">
        <v>3.2442399549048635</v>
      </c>
      <c r="Z23" s="31">
        <v>3.5615333877875557</v>
      </c>
      <c r="AA23" s="31"/>
      <c r="AB23" s="31">
        <v>1.8073661878589267</v>
      </c>
      <c r="AC23" s="31">
        <v>1.3890466297334463</v>
      </c>
      <c r="AD23" s="31">
        <v>1.2946404442179886</v>
      </c>
      <c r="AE23" s="31">
        <v>1.2699786363667083</v>
      </c>
      <c r="AF23" s="31">
        <v>1.2338881050984445</v>
      </c>
      <c r="AG23" s="31">
        <v>1.1539023589419051</v>
      </c>
      <c r="AH23" s="31">
        <v>1.3163780298787402</v>
      </c>
      <c r="AI23" s="31">
        <v>1.1908577773311961</v>
      </c>
      <c r="AJ23" s="31">
        <v>1.3802785145080427</v>
      </c>
      <c r="AK23" s="31">
        <v>1.3721854878883859</v>
      </c>
      <c r="AL23" s="31">
        <v>1.7281773055336467</v>
      </c>
      <c r="AM23" s="37">
        <v>1.8435930861347887</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row>
    <row r="24" spans="1:131">
      <c r="A24" s="1" t="s">
        <v>747</v>
      </c>
      <c r="B24" s="1"/>
      <c r="C24" s="31">
        <v>15.166068390464758</v>
      </c>
      <c r="D24" s="31">
        <v>7.2412963974195161</v>
      </c>
      <c r="E24" s="31">
        <v>1.4482592794839033</v>
      </c>
      <c r="F24" s="31">
        <v>8.689555676903419</v>
      </c>
      <c r="G24" s="31">
        <v>-2.2536614837457249</v>
      </c>
      <c r="H24" s="31">
        <v>9.6594989807017555</v>
      </c>
      <c r="I24" s="31">
        <v>5019.1325642137153</v>
      </c>
      <c r="J24" s="31">
        <v>15.389545412575663</v>
      </c>
      <c r="K24" s="31">
        <v>-19.792953526125213</v>
      </c>
      <c r="L24" s="36">
        <v>1.8927814549359303</v>
      </c>
      <c r="M24" s="31">
        <v>0.12551334229503877</v>
      </c>
      <c r="N24" s="31">
        <v>3.96210803600704E-3</v>
      </c>
      <c r="O24" s="31">
        <v>1.0851135964016425</v>
      </c>
      <c r="P24" s="31">
        <v>0.86305012482449117</v>
      </c>
      <c r="Q24" s="31">
        <v>0.87195560657113691</v>
      </c>
      <c r="R24" s="31">
        <v>0.71114386527187501</v>
      </c>
      <c r="S24" s="31">
        <v>0.64756070313402958</v>
      </c>
      <c r="T24" s="31">
        <v>0.66538271441207719</v>
      </c>
      <c r="U24" s="31">
        <v>0.54913396716500618</v>
      </c>
      <c r="V24" s="31">
        <v>0.62637045608000386</v>
      </c>
      <c r="W24" s="31">
        <v>0.68972848516440399</v>
      </c>
      <c r="X24" s="31">
        <v>1.0065988849699035</v>
      </c>
      <c r="Y24" s="31">
        <v>1.0161278894405794</v>
      </c>
      <c r="Z24" s="31">
        <v>1.1155073159842306</v>
      </c>
      <c r="AA24" s="31"/>
      <c r="AB24" s="31">
        <v>0.56608488134140256</v>
      </c>
      <c r="AC24" s="31">
        <v>0.435063077893382</v>
      </c>
      <c r="AD24" s="31">
        <v>0.40549413127680195</v>
      </c>
      <c r="AE24" s="31">
        <v>0.39776981029252217</v>
      </c>
      <c r="AF24" s="31">
        <v>0.38646590063227465</v>
      </c>
      <c r="AG24" s="31">
        <v>0.36141357757445147</v>
      </c>
      <c r="AH24" s="31">
        <v>0.4123025570856263</v>
      </c>
      <c r="AI24" s="31">
        <v>0.37298837839475796</v>
      </c>
      <c r="AJ24" s="31">
        <v>0.43231681789344234</v>
      </c>
      <c r="AK24" s="31">
        <v>0.42978200229024216</v>
      </c>
      <c r="AL24" s="31">
        <v>0.54128214387967721</v>
      </c>
      <c r="AM24" s="37">
        <v>0.57743150249079578</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row>
    <row r="25" spans="1:131">
      <c r="A25" s="1" t="s">
        <v>718</v>
      </c>
      <c r="B25" s="1"/>
      <c r="C25" s="31">
        <v>14.492020906444102</v>
      </c>
      <c r="D25" s="31">
        <v>9.216195414897566</v>
      </c>
      <c r="E25" s="31">
        <v>1.8432390829795133</v>
      </c>
      <c r="F25" s="31">
        <v>11.05943449787708</v>
      </c>
      <c r="G25" s="31">
        <v>1.0497687175142649</v>
      </c>
      <c r="H25" s="31">
        <v>9.2301879148927899</v>
      </c>
      <c r="I25" s="31">
        <v>6685.1025696715451</v>
      </c>
      <c r="J25" s="31">
        <v>25.421028863062588</v>
      </c>
      <c r="K25" s="31">
        <v>-3.5286913755547569</v>
      </c>
      <c r="L25" s="36">
        <v>1.4930168008530333</v>
      </c>
      <c r="M25" s="31">
        <v>0.11993497152637034</v>
      </c>
      <c r="N25" s="31">
        <v>3.7860143455178382E-3</v>
      </c>
      <c r="O25" s="31">
        <v>1.0368863254504586</v>
      </c>
      <c r="P25" s="31">
        <v>0.8246923414989582</v>
      </c>
      <c r="Q25" s="31">
        <v>0.83320202405686417</v>
      </c>
      <c r="R25" s="31">
        <v>0.67953747125979169</v>
      </c>
      <c r="S25" s="31">
        <v>0.61878022743918382</v>
      </c>
      <c r="T25" s="31">
        <v>0.63581014932709601</v>
      </c>
      <c r="U25" s="31">
        <v>0.52472801306878369</v>
      </c>
      <c r="V25" s="31">
        <v>0.59853176914311479</v>
      </c>
      <c r="W25" s="31">
        <v>0.65907388582376392</v>
      </c>
      <c r="X25" s="31">
        <v>0.96186115674901895</v>
      </c>
      <c r="Y25" s="31">
        <v>0.97096664990988701</v>
      </c>
      <c r="Z25" s="31">
        <v>1.065929213051598</v>
      </c>
      <c r="AA25" s="31"/>
      <c r="AB25" s="31">
        <v>0.5409255532817846</v>
      </c>
      <c r="AC25" s="31">
        <v>0.41572694109812058</v>
      </c>
      <c r="AD25" s="31">
        <v>0.3874721698867219</v>
      </c>
      <c r="AE25" s="31">
        <v>0.38009115205729899</v>
      </c>
      <c r="AF25" s="31">
        <v>0.36928963838195134</v>
      </c>
      <c r="AG25" s="31">
        <v>0.34535075190447584</v>
      </c>
      <c r="AH25" s="31">
        <v>0.39397799899293179</v>
      </c>
      <c r="AI25" s="31">
        <v>0.35641111713276868</v>
      </c>
      <c r="AJ25" s="31">
        <v>0.41310273709817824</v>
      </c>
      <c r="AK25" s="31">
        <v>0.41068057996623142</v>
      </c>
      <c r="AL25" s="31">
        <v>0.51722515970724714</v>
      </c>
      <c r="AM25" s="37">
        <v>0.55176788015787159</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row>
    <row r="26" spans="1:131">
      <c r="A26" s="1" t="s">
        <v>749</v>
      </c>
      <c r="B26" s="1"/>
      <c r="C26" s="31">
        <v>1.9210010172979759</v>
      </c>
      <c r="D26" s="31">
        <v>1.3200932224231732</v>
      </c>
      <c r="E26" s="31">
        <v>0.26401864448463463</v>
      </c>
      <c r="F26" s="31">
        <v>1.5841118669078078</v>
      </c>
      <c r="G26" s="31">
        <v>0.74943424862686059</v>
      </c>
      <c r="H26" s="31">
        <v>1.2226820472904469</v>
      </c>
      <c r="I26" s="31">
        <v>7223.7441985486957</v>
      </c>
      <c r="J26" s="31">
        <v>28.664409336974281</v>
      </c>
      <c r="K26" s="31">
        <v>19.879331870717266</v>
      </c>
      <c r="L26" s="36">
        <v>1.2001111462563916</v>
      </c>
      <c r="M26" s="31">
        <v>1.5885518265199343E-2</v>
      </c>
      <c r="N26" s="31">
        <v>5.0185805390402609E-4</v>
      </c>
      <c r="O26" s="31">
        <v>0.13744526721783706</v>
      </c>
      <c r="P26" s="31">
        <v>0.10931772988768557</v>
      </c>
      <c r="Q26" s="31">
        <v>0.11044573742756919</v>
      </c>
      <c r="R26" s="31">
        <v>9.0076614021560725E-2</v>
      </c>
      <c r="S26" s="31">
        <v>8.2022890669856893E-2</v>
      </c>
      <c r="T26" s="31">
        <v>8.4280305110698436E-2</v>
      </c>
      <c r="U26" s="31">
        <v>6.955572679733403E-2</v>
      </c>
      <c r="V26" s="31">
        <v>7.9338840651120859E-2</v>
      </c>
      <c r="W26" s="31">
        <v>8.7364047658735955E-2</v>
      </c>
      <c r="X26" s="31">
        <v>0.12750024807048468</v>
      </c>
      <c r="Y26" s="31">
        <v>0.12870723374473589</v>
      </c>
      <c r="Z26" s="31">
        <v>0.14129506960131633</v>
      </c>
      <c r="AA26" s="31"/>
      <c r="AB26" s="31">
        <v>7.1702804242762208E-2</v>
      </c>
      <c r="AC26" s="31">
        <v>5.5107005566942716E-2</v>
      </c>
      <c r="AD26" s="31">
        <v>5.1361672559833739E-2</v>
      </c>
      <c r="AE26" s="31">
        <v>5.0383276044223477E-2</v>
      </c>
      <c r="AF26" s="31">
        <v>4.8951473061557747E-2</v>
      </c>
      <c r="AG26" s="31">
        <v>4.5778235486682146E-2</v>
      </c>
      <c r="AH26" s="31">
        <v>5.2224057758701252E-2</v>
      </c>
      <c r="AI26" s="31">
        <v>4.7244350736749853E-2</v>
      </c>
      <c r="AJ26" s="31">
        <v>5.4759152180170065E-2</v>
      </c>
      <c r="AK26" s="31">
        <v>5.4438081271939699E-2</v>
      </c>
      <c r="AL26" s="31">
        <v>6.8561180278722517E-2</v>
      </c>
      <c r="AM26" s="37">
        <v>7.3140017250754669E-2</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row>
    <row r="27" spans="1:131">
      <c r="A27" s="1" t="s">
        <v>750</v>
      </c>
      <c r="B27" s="1"/>
      <c r="C27" s="31">
        <v>7.4978046901704554</v>
      </c>
      <c r="D27" s="31">
        <v>3.4925672929957736</v>
      </c>
      <c r="E27" s="31">
        <v>0.69851345859915481</v>
      </c>
      <c r="F27" s="31">
        <v>4.191080751594928</v>
      </c>
      <c r="G27" s="31">
        <v>4.821694988712542</v>
      </c>
      <c r="H27" s="31">
        <v>4.8175252472340242</v>
      </c>
      <c r="I27" s="31">
        <v>4896.6155963095534</v>
      </c>
      <c r="J27" s="31">
        <v>14.651820884578129</v>
      </c>
      <c r="K27" s="31">
        <v>38.047469279788793</v>
      </c>
      <c r="L27" s="127">
        <v>0.99934936379134165</v>
      </c>
      <c r="M27" s="31">
        <v>6.2685492561143794E-2</v>
      </c>
      <c r="N27" s="31">
        <v>1.9587879633994761E-3</v>
      </c>
      <c r="O27" s="31">
        <v>0.53645873162376279</v>
      </c>
      <c r="P27" s="31">
        <v>0.42667493691573455</v>
      </c>
      <c r="Q27" s="31">
        <v>0.43107763121257736</v>
      </c>
      <c r="R27" s="31">
        <v>0.35157548226366747</v>
      </c>
      <c r="S27" s="31">
        <v>0.32014122263757089</v>
      </c>
      <c r="T27" s="31">
        <v>0.32895207303785196</v>
      </c>
      <c r="U27" s="31">
        <v>0.27148098825205935</v>
      </c>
      <c r="V27" s="31">
        <v>0.30966518299057599</v>
      </c>
      <c r="W27" s="31">
        <v>0.34098814128131166</v>
      </c>
      <c r="X27" s="31">
        <v>0.49764260891720863</v>
      </c>
      <c r="Y27" s="31">
        <v>0.50235356053455782</v>
      </c>
      <c r="Z27" s="31">
        <v>0.55148478632501485</v>
      </c>
      <c r="AA27" s="31"/>
      <c r="AB27" s="31">
        <v>0.27986118544900518</v>
      </c>
      <c r="AC27" s="31">
        <v>0.21508659343774925</v>
      </c>
      <c r="AD27" s="31">
        <v>0.20046829020204826</v>
      </c>
      <c r="AE27" s="31">
        <v>0.19664953845879962</v>
      </c>
      <c r="AF27" s="31">
        <v>0.19106110876919372</v>
      </c>
      <c r="AG27" s="31">
        <v>0.17867573501994241</v>
      </c>
      <c r="AH27" s="31">
        <v>0.20383424145901183</v>
      </c>
      <c r="AI27" s="31">
        <v>0.18439808794911994</v>
      </c>
      <c r="AJ27" s="31">
        <v>0.21372889673100612</v>
      </c>
      <c r="AK27" s="31">
        <v>0.21247573395809255</v>
      </c>
      <c r="AL27" s="31">
        <v>0.26759920188927711</v>
      </c>
      <c r="AM27" s="37">
        <v>0.28547073085531477</v>
      </c>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row>
    <row r="28" spans="1:131">
      <c r="A28" s="1" t="s">
        <v>722</v>
      </c>
      <c r="B28" s="1"/>
      <c r="C28" s="31">
        <v>1.835623194306955</v>
      </c>
      <c r="D28" s="31">
        <v>1.6801186467204023</v>
      </c>
      <c r="E28" s="31">
        <v>0.33602372934408048</v>
      </c>
      <c r="F28" s="31">
        <v>2.016142376064483</v>
      </c>
      <c r="G28" s="31">
        <v>1.3516518047243213</v>
      </c>
      <c r="H28" s="31">
        <v>1.1683406229664273</v>
      </c>
      <c r="I28" s="31">
        <v>9621.4774737540774</v>
      </c>
      <c r="J28" s="31">
        <v>43.102137261310219</v>
      </c>
      <c r="K28" s="31">
        <v>45.354656455601045</v>
      </c>
      <c r="L28" s="127">
        <v>0.93807418020603051</v>
      </c>
      <c r="M28" s="31">
        <v>1.5179495231190485E-2</v>
      </c>
      <c r="N28" s="31">
        <v>4.7955325150829165E-4</v>
      </c>
      <c r="O28" s="31">
        <v>0.13133658867482209</v>
      </c>
      <c r="P28" s="31">
        <v>0.10445916411489954</v>
      </c>
      <c r="Q28" s="31">
        <v>0.1055370379863439</v>
      </c>
      <c r="R28" s="31">
        <v>8.6073208953935804E-2</v>
      </c>
      <c r="S28" s="31">
        <v>7.837742886230771E-2</v>
      </c>
      <c r="T28" s="31">
        <v>8.0534513772445179E-2</v>
      </c>
      <c r="U28" s="31">
        <v>6.6464361161896968E-2</v>
      </c>
      <c r="V28" s="31">
        <v>7.5812669955515485E-2</v>
      </c>
      <c r="W28" s="31">
        <v>8.3481201096125474E-2</v>
      </c>
      <c r="X28" s="31">
        <v>0.12183357037846314</v>
      </c>
      <c r="Y28" s="31">
        <v>0.12298691224496987</v>
      </c>
      <c r="Z28" s="31">
        <v>0.13501528873014673</v>
      </c>
      <c r="AA28" s="31"/>
      <c r="AB28" s="31">
        <v>6.851601294308389E-2</v>
      </c>
      <c r="AC28" s="31">
        <v>5.2657805319523042E-2</v>
      </c>
      <c r="AD28" s="31">
        <v>4.9078931557174459E-2</v>
      </c>
      <c r="AE28" s="31">
        <v>4.8144019331146884E-2</v>
      </c>
      <c r="AF28" s="31">
        <v>4.6775852036599626E-2</v>
      </c>
      <c r="AG28" s="31">
        <v>4.3743647242829607E-2</v>
      </c>
      <c r="AH28" s="31">
        <v>4.99029885249812E-2</v>
      </c>
      <c r="AI28" s="31">
        <v>4.5144601815116529E-2</v>
      </c>
      <c r="AJ28" s="31">
        <v>5.2325412083273619E-2</v>
      </c>
      <c r="AK28" s="31">
        <v>5.2018610993186824E-2</v>
      </c>
      <c r="AL28" s="31">
        <v>6.5514016710779291E-2</v>
      </c>
      <c r="AM28" s="37">
        <v>6.98893498173878E-2</v>
      </c>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row>
    <row r="29" spans="1:131">
      <c r="A29" s="1" t="s">
        <v>724</v>
      </c>
      <c r="B29" s="1"/>
      <c r="C29" s="31">
        <v>7.1645689261628798</v>
      </c>
      <c r="D29" s="31">
        <v>4.4450856456309848</v>
      </c>
      <c r="E29" s="31">
        <v>0.88901712912619701</v>
      </c>
      <c r="F29" s="31">
        <v>5.3341027747571816</v>
      </c>
      <c r="G29" s="31">
        <v>6.4149804506536565</v>
      </c>
      <c r="H29" s="31">
        <v>4.6034130140236211</v>
      </c>
      <c r="I29" s="31">
        <v>6521.9192931818579</v>
      </c>
      <c r="J29" s="31">
        <v>24.438435939936909</v>
      </c>
      <c r="K29" s="31">
        <v>56.611757463143533</v>
      </c>
      <c r="L29" s="127">
        <v>0.7728958770817479</v>
      </c>
      <c r="M29" s="31">
        <v>5.9899470669537443E-2</v>
      </c>
      <c r="N29" s="31">
        <v>1.8717307205817217E-3</v>
      </c>
      <c r="O29" s="31">
        <v>0.5126161213293734</v>
      </c>
      <c r="P29" s="31">
        <v>0.40771160638614634</v>
      </c>
      <c r="Q29" s="31">
        <v>0.41191862538090729</v>
      </c>
      <c r="R29" s="31">
        <v>0.33594990527417118</v>
      </c>
      <c r="S29" s="31">
        <v>0.3059127238536789</v>
      </c>
      <c r="T29" s="31">
        <v>0.31433198090283632</v>
      </c>
      <c r="U29" s="31">
        <v>0.25941516655196784</v>
      </c>
      <c r="V29" s="31">
        <v>0.2959022859687726</v>
      </c>
      <c r="W29" s="31">
        <v>0.32583311277992005</v>
      </c>
      <c r="X29" s="31">
        <v>0.47552515963199937</v>
      </c>
      <c r="Y29" s="31">
        <v>0.48002673562191084</v>
      </c>
      <c r="Z29" s="31">
        <v>0.52697435137723647</v>
      </c>
      <c r="AA29" s="31"/>
      <c r="AB29" s="31">
        <v>0.26742291054016054</v>
      </c>
      <c r="AC29" s="31">
        <v>0.20552718928496042</v>
      </c>
      <c r="AD29" s="31">
        <v>0.19155858841529055</v>
      </c>
      <c r="AE29" s="31">
        <v>0.18790955897174189</v>
      </c>
      <c r="AF29" s="31">
        <v>0.18256950393500734</v>
      </c>
      <c r="AG29" s="31">
        <v>0.17073459124127832</v>
      </c>
      <c r="AH29" s="31">
        <v>0.19477494183861133</v>
      </c>
      <c r="AI29" s="31">
        <v>0.17620261737360352</v>
      </c>
      <c r="AJ29" s="31">
        <v>0.20422983465407252</v>
      </c>
      <c r="AK29" s="31">
        <v>0.20303236800439955</v>
      </c>
      <c r="AL29" s="31">
        <v>0.25570590402753146</v>
      </c>
      <c r="AM29" s="37">
        <v>0.27278314281730076</v>
      </c>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row>
    <row r="30" spans="1:131">
      <c r="A30" s="1" t="s">
        <v>751</v>
      </c>
      <c r="B30" s="1"/>
      <c r="C30" s="31">
        <v>14.009308234872018</v>
      </c>
      <c r="D30" s="31">
        <v>9.2685010927030476</v>
      </c>
      <c r="E30" s="31">
        <v>1.8537002185406095</v>
      </c>
      <c r="F30" s="31">
        <v>11.122201311243657</v>
      </c>
      <c r="G30" s="31">
        <v>14.121683248284867</v>
      </c>
      <c r="H30" s="31">
        <v>9.1017903519535359</v>
      </c>
      <c r="I30" s="31">
        <v>6954.696252879221</v>
      </c>
      <c r="J30" s="31">
        <v>27.044362153934426</v>
      </c>
      <c r="K30" s="31">
        <v>64.372768585347757</v>
      </c>
      <c r="L30" s="127">
        <v>0.69505862549913056</v>
      </c>
      <c r="M30" s="31">
        <v>0.118639775803542</v>
      </c>
      <c r="N30" s="31">
        <v>3.659906529973458E-3</v>
      </c>
      <c r="O30" s="31">
        <v>1.0023488257113993</v>
      </c>
      <c r="P30" s="31">
        <v>0.79722278111397538</v>
      </c>
      <c r="Q30" s="31">
        <v>0.80544901586095996</v>
      </c>
      <c r="R30" s="31">
        <v>0.65690285388635883</v>
      </c>
      <c r="S30" s="31">
        <v>0.59816936449388325</v>
      </c>
      <c r="T30" s="31">
        <v>0.61463203912592634</v>
      </c>
      <c r="U30" s="31">
        <v>0.50724992200941221</v>
      </c>
      <c r="V30" s="31">
        <v>0.57859535922699556</v>
      </c>
      <c r="W30" s="31">
        <v>0.63712088711894432</v>
      </c>
      <c r="X30" s="31">
        <v>0.92982265972689038</v>
      </c>
      <c r="Y30" s="31">
        <v>0.93862485930585982</v>
      </c>
      <c r="Z30" s="31">
        <v>1.0304243278833694</v>
      </c>
      <c r="AA30" s="31"/>
      <c r="AB30" s="31">
        <v>0.52290794064984647</v>
      </c>
      <c r="AC30" s="31">
        <v>0.40187955130497377</v>
      </c>
      <c r="AD30" s="31">
        <v>0.37456591426555569</v>
      </c>
      <c r="AE30" s="31">
        <v>0.36743074971348882</v>
      </c>
      <c r="AF30" s="31">
        <v>0.35698902212711459</v>
      </c>
      <c r="AG30" s="31">
        <v>0.33384751262836426</v>
      </c>
      <c r="AH30" s="31">
        <v>0.38085504163162015</v>
      </c>
      <c r="AI30" s="31">
        <v>0.34453946971797317</v>
      </c>
      <c r="AJ30" s="31">
        <v>0.39934275654434592</v>
      </c>
      <c r="AK30" s="31">
        <v>0.39700127870120755</v>
      </c>
      <c r="AL30" s="31">
        <v>0.49999698012771288</v>
      </c>
      <c r="AM30" s="37">
        <v>0.53338912199583788</v>
      </c>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row>
    <row r="31" spans="1:131">
      <c r="A31" s="1" t="s">
        <v>726</v>
      </c>
      <c r="B31" s="1"/>
      <c r="C31" s="31">
        <v>13.386672313322151</v>
      </c>
      <c r="D31" s="31">
        <v>11.796274117985698</v>
      </c>
      <c r="E31" s="31">
        <v>2.3592548235971398</v>
      </c>
      <c r="F31" s="31">
        <v>14.155528941582837</v>
      </c>
      <c r="G31" s="31">
        <v>18.349910453700371</v>
      </c>
      <c r="H31" s="31">
        <v>8.6972663363111558</v>
      </c>
      <c r="I31" s="31">
        <v>9263.1260873444171</v>
      </c>
      <c r="J31" s="31">
        <v>40.944357715189497</v>
      </c>
      <c r="K31" s="31">
        <v>91.063681093838966</v>
      </c>
      <c r="L31" s="127">
        <v>0.53250219897303108</v>
      </c>
      <c r="M31" s="31">
        <v>0.11336689687893985</v>
      </c>
      <c r="N31" s="31">
        <v>3.4972440175301935E-3</v>
      </c>
      <c r="O31" s="31">
        <v>0.95779998901311492</v>
      </c>
      <c r="P31" s="31">
        <v>0.76179065750890984</v>
      </c>
      <c r="Q31" s="31">
        <v>0.76965128182269515</v>
      </c>
      <c r="R31" s="31">
        <v>0.62770717149140953</v>
      </c>
      <c r="S31" s="31">
        <v>0.57158405940526624</v>
      </c>
      <c r="T31" s="31">
        <v>0.58731505960921848</v>
      </c>
      <c r="U31" s="31">
        <v>0.48470548103121619</v>
      </c>
      <c r="V31" s="31">
        <v>0.552880009928018</v>
      </c>
      <c r="W31" s="31">
        <v>0.60880440324699125</v>
      </c>
      <c r="X31" s="31">
        <v>0.888497208183473</v>
      </c>
      <c r="Y31" s="31">
        <v>0.89690819889226614</v>
      </c>
      <c r="Z31" s="31">
        <v>0.98462769108855308</v>
      </c>
      <c r="AA31" s="31"/>
      <c r="AB31" s="31">
        <v>0.49966758773207559</v>
      </c>
      <c r="AC31" s="31">
        <v>0.38401823791364159</v>
      </c>
      <c r="AD31" s="31">
        <v>0.35791854029819764</v>
      </c>
      <c r="AE31" s="31">
        <v>0.35110049417066713</v>
      </c>
      <c r="AF31" s="31">
        <v>0.34112284336590948</v>
      </c>
      <c r="AG31" s="31">
        <v>0.31900984540043698</v>
      </c>
      <c r="AH31" s="31">
        <v>0.36392815089243707</v>
      </c>
      <c r="AI31" s="31">
        <v>0.32922660439717438</v>
      </c>
      <c r="AJ31" s="31">
        <v>0.38159418958681945</v>
      </c>
      <c r="AK31" s="31">
        <v>0.37935677742559831</v>
      </c>
      <c r="AL31" s="31">
        <v>0.47777489212203672</v>
      </c>
      <c r="AM31" s="37">
        <v>0.50968293879602289</v>
      </c>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row>
    <row r="32" spans="1:131">
      <c r="A32" s="1" t="s">
        <v>748</v>
      </c>
      <c r="B32" s="1"/>
      <c r="C32" s="31">
        <v>7.5107020440195642</v>
      </c>
      <c r="D32" s="31">
        <v>19.103497090677337</v>
      </c>
      <c r="E32" s="31">
        <v>3.8206994181354674</v>
      </c>
      <c r="F32" s="31">
        <v>22.924196508812805</v>
      </c>
      <c r="G32" s="31">
        <v>26.782669954381539</v>
      </c>
      <c r="H32" s="31">
        <v>4.7694158771376838</v>
      </c>
      <c r="I32" s="31">
        <v>26737.309007897726</v>
      </c>
      <c r="J32" s="31">
        <v>146.16352504956146</v>
      </c>
      <c r="K32" s="31">
        <v>253.66864707291808</v>
      </c>
      <c r="L32" s="127">
        <v>0.32430364083465879</v>
      </c>
      <c r="M32" s="31">
        <v>6.1942980598568342E-2</v>
      </c>
      <c r="N32" s="31">
        <v>1.962157373850039E-3</v>
      </c>
      <c r="O32" s="31">
        <v>0.53738152147667351</v>
      </c>
      <c r="P32" s="31">
        <v>0.42740888209933781</v>
      </c>
      <c r="Q32" s="31">
        <v>0.43181914969377672</v>
      </c>
      <c r="R32" s="31">
        <v>0.35218024506915513</v>
      </c>
      <c r="S32" s="31">
        <v>0.32069191377993372</v>
      </c>
      <c r="T32" s="31">
        <v>0.32951792017053727</v>
      </c>
      <c r="U32" s="31">
        <v>0.27194797645907187</v>
      </c>
      <c r="V32" s="31">
        <v>0.31019785376619841</v>
      </c>
      <c r="W32" s="31">
        <v>0.34157469226499099</v>
      </c>
      <c r="X32" s="31">
        <v>0.49849862919018445</v>
      </c>
      <c r="Y32" s="31">
        <v>0.50321768435416969</v>
      </c>
      <c r="Z32" s="31">
        <v>0.5524334232561634</v>
      </c>
      <c r="AA32" s="31"/>
      <c r="AB32" s="31">
        <v>0.28034258885793889</v>
      </c>
      <c r="AC32" s="31">
        <v>0.21545657478807742</v>
      </c>
      <c r="AD32" s="31">
        <v>0.20081312586810013</v>
      </c>
      <c r="AE32" s="31">
        <v>0.19698780529643709</v>
      </c>
      <c r="AF32" s="31">
        <v>0.19138976266569091</v>
      </c>
      <c r="AG32" s="31">
        <v>0.17898308420734163</v>
      </c>
      <c r="AH32" s="31">
        <v>0.20418486706841296</v>
      </c>
      <c r="AI32" s="31">
        <v>0.18471528044581126</v>
      </c>
      <c r="AJ32" s="31">
        <v>0.21409654263841862</v>
      </c>
      <c r="AK32" s="31">
        <v>0.21284122423670696</v>
      </c>
      <c r="AL32" s="31">
        <v>0.26805951283883145</v>
      </c>
      <c r="AM32" s="37">
        <v>0.28596178352760315</v>
      </c>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row>
    <row r="33" spans="1:131">
      <c r="A33" s="1" t="s">
        <v>720</v>
      </c>
      <c r="B33" s="1"/>
      <c r="C33" s="31">
        <v>7.1768930642853626</v>
      </c>
      <c r="D33" s="31">
        <v>24.313541751771158</v>
      </c>
      <c r="E33" s="31">
        <v>4.8627083503542323</v>
      </c>
      <c r="F33" s="31">
        <v>29.17625010212539</v>
      </c>
      <c r="G33" s="31">
        <v>35.497555490832511</v>
      </c>
      <c r="H33" s="31">
        <v>4.5574418381537862</v>
      </c>
      <c r="I33" s="31">
        <v>35612.060623626989</v>
      </c>
      <c r="J33" s="31">
        <v>199.6020165402318</v>
      </c>
      <c r="K33" s="31">
        <v>355.22288385759038</v>
      </c>
      <c r="L33" s="127">
        <v>0.2502232669347928</v>
      </c>
      <c r="M33" s="31">
        <v>5.9189959238631934E-2</v>
      </c>
      <c r="N33" s="31">
        <v>1.8749503794567041E-3</v>
      </c>
      <c r="O33" s="31">
        <v>0.51349789829993253</v>
      </c>
      <c r="P33" s="31">
        <v>0.40841293178381172</v>
      </c>
      <c r="Q33" s="31">
        <v>0.41262718748516447</v>
      </c>
      <c r="R33" s="31">
        <v>0.33652778973274827</v>
      </c>
      <c r="S33" s="31">
        <v>0.30643893983415893</v>
      </c>
      <c r="T33" s="31">
        <v>0.31487267927406898</v>
      </c>
      <c r="U33" s="31">
        <v>0.25986139972755762</v>
      </c>
      <c r="V33" s="31">
        <v>0.29641128248770077</v>
      </c>
      <c r="W33" s="31">
        <v>0.32639359483099145</v>
      </c>
      <c r="X33" s="31">
        <v>0.47634313455950961</v>
      </c>
      <c r="Y33" s="31">
        <v>0.4808524539384289</v>
      </c>
      <c r="Z33" s="31">
        <v>0.52788082666700065</v>
      </c>
      <c r="AA33" s="31"/>
      <c r="AB33" s="31">
        <v>0.26788291824203048</v>
      </c>
      <c r="AC33" s="31">
        <v>0.20588072701971843</v>
      </c>
      <c r="AD33" s="31">
        <v>0.19188809805174015</v>
      </c>
      <c r="AE33" s="31">
        <v>0.18823279172770654</v>
      </c>
      <c r="AF33" s="31">
        <v>0.18288355099166023</v>
      </c>
      <c r="AG33" s="31">
        <v>0.17102828046479313</v>
      </c>
      <c r="AH33" s="31">
        <v>0.19510998408759461</v>
      </c>
      <c r="AI33" s="31">
        <v>0.17650571242599744</v>
      </c>
      <c r="AJ33" s="31">
        <v>0.20458114074337783</v>
      </c>
      <c r="AK33" s="31">
        <v>0.20338161427063109</v>
      </c>
      <c r="AL33" s="31">
        <v>0.25614575671266115</v>
      </c>
      <c r="AM33" s="37">
        <v>0.27325237092637639</v>
      </c>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row>
    <row r="34" spans="1:131">
      <c r="A34" s="1"/>
      <c r="B34" s="1"/>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7PSourceSummary</vt:lpstr>
      <vt:lpstr>forRPM</vt:lpstr>
      <vt:lpstr>SC-New</vt:lpstr>
      <vt:lpstr>SC-New (2)</vt:lpstr>
      <vt:lpstr>SC-NR</vt:lpstr>
      <vt:lpstr>SC-NR (2)</vt:lpstr>
      <vt:lpstr>Accomplishments</vt:lpstr>
      <vt:lpstr>Bulb Weighting</vt:lpstr>
      <vt:lpstr>M_Input_Out</vt:lpstr>
      <vt:lpstr>M_Input</vt:lpstr>
      <vt:lpstr>Composite</vt:lpstr>
      <vt:lpstr>Trend</vt:lpstr>
      <vt:lpstr>RawRTF</vt:lpstr>
      <vt:lpstr>Measure Assembly</vt:lpstr>
      <vt:lpstr>Summary Tables</vt:lpstr>
      <vt:lpstr>CFL and LED Efficacy</vt:lpstr>
      <vt:lpstr>CFL and LED Cost</vt:lpstr>
      <vt:lpstr>Lifetime</vt:lpstr>
      <vt:lpstr>Space Conditioning Interaction</vt:lpstr>
      <vt:lpstr>StorageTakebackRemoval</vt:lpstr>
      <vt:lpstr>Stock</vt:lpstr>
      <vt:lpstr>Deflator</vt:lpstr>
      <vt:lpstr>MeasureOutput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2014-09-23T21:26:19Z</dcterms:created>
  <dcterms:modified xsi:type="dcterms:W3CDTF">2015-03-25T23:49:59Z</dcterms:modified>
</cp:coreProperties>
</file>