
<file path=[Content_Types].xml><?xml version="1.0" encoding="utf-8"?>
<Types xmlns="http://schemas.openxmlformats.org/package/2006/content-type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2980" yWindow="435" windowWidth="28365" windowHeight="11940" activeTab="2"/>
  </bookViews>
  <sheets>
    <sheet name="Bulb Weighting" sheetId="30" r:id="rId1"/>
    <sheet name="Trend" sheetId="28" r:id="rId2"/>
    <sheet name="Measure Assembly" sheetId="2" r:id="rId3"/>
    <sheet name="Summary Tables" sheetId="22" r:id="rId4"/>
    <sheet name="CFL and LED Efficacy" sheetId="23" r:id="rId5"/>
    <sheet name="CFL and LED Cost" sheetId="24" r:id="rId6"/>
    <sheet name="Lifetime" sheetId="25" r:id="rId7"/>
    <sheet name="Space Conditioning Interaction" sheetId="26" r:id="rId8"/>
    <sheet name="StorageTakebackRemoval" sheetId="27" r:id="rId9"/>
    <sheet name="Stock" sheetId="35" r:id="rId10"/>
  </sheets>
  <externalReferences>
    <externalReference r:id="rId11"/>
  </externalReferences>
  <definedNames>
    <definedName name="_xlnm._FilterDatabase" localSheetId="5" hidden="1">'CFL and LED Cost'!$A$72:$C$102</definedName>
    <definedName name="_Key1" localSheetId="5" hidden="1">#REF!</definedName>
    <definedName name="_Key1" localSheetId="4" hidden="1">#REF!</definedName>
    <definedName name="_Key1" localSheetId="6" hidden="1">#REF!</definedName>
    <definedName name="_Key1" localSheetId="7" hidden="1">#REF!</definedName>
    <definedName name="_Key1" localSheetId="8" hidden="1">#REF!</definedName>
    <definedName name="_Key1" localSheetId="3" hidden="1">#REF!</definedName>
    <definedName name="_Key1" hidden="1">#REF!</definedName>
    <definedName name="_Order1" hidden="1">255</definedName>
    <definedName name="_Sort" localSheetId="5" hidden="1">#REF!</definedName>
    <definedName name="_Sort" localSheetId="4" hidden="1">#REF!</definedName>
    <definedName name="_Sort" localSheetId="6" hidden="1">#REF!</definedName>
    <definedName name="_Sort" localSheetId="7" hidden="1">#REF!</definedName>
    <definedName name="_Sort" localSheetId="8" hidden="1">#REF!</definedName>
    <definedName name="_Sort" localSheetId="3" hidden="1">#REF!</definedName>
    <definedName name="_Sort" hidden="1">#REF!</definedName>
    <definedName name="anscount" hidden="1">1</definedName>
    <definedName name="CBWorkbookPriority" hidden="1">-738590518</definedName>
    <definedName name="Deflator">'CFL and LED Cost'!$J$32</definedName>
    <definedName name="JUNK" hidden="1">#REF!</definedName>
    <definedName name="limcount" hidden="1">1</definedName>
    <definedName name="MeasureOutput">#REF!</definedName>
    <definedName name="ResBase">'[1]Res Forecast (Base Case)'!$C$14:$BD$61</definedName>
    <definedName name="sencount" hidden="1">1</definedName>
    <definedName name="sort" hidden="1">#REF!</definedName>
  </definedNames>
  <calcPr calcId="125725" calcMode="manual"/>
</workbook>
</file>

<file path=xl/calcChain.xml><?xml version="1.0" encoding="utf-8"?>
<calcChain xmlns="http://schemas.openxmlformats.org/spreadsheetml/2006/main">
  <c r="Y10" i="2"/>
  <c r="P26"/>
  <c r="P27"/>
  <c r="P28"/>
  <c r="P29"/>
  <c r="P30"/>
  <c r="P31"/>
  <c r="P32"/>
  <c r="P33"/>
  <c r="P34"/>
  <c r="P35"/>
  <c r="P36"/>
  <c r="P37"/>
  <c r="P38"/>
  <c r="P39"/>
  <c r="P25"/>
  <c r="X38"/>
  <c r="A27"/>
  <c r="C27" s="1"/>
  <c r="H27" s="1"/>
  <c r="AA27" s="1"/>
  <c r="AB27" s="1"/>
  <c r="B26"/>
  <c r="G26" s="1"/>
  <c r="A26"/>
  <c r="C26" s="1"/>
  <c r="H26" s="1"/>
  <c r="AA26" s="1"/>
  <c r="AB26" s="1"/>
  <c r="E25"/>
  <c r="J25" s="1"/>
  <c r="D25"/>
  <c r="I25" s="1"/>
  <c r="C25"/>
  <c r="H25" s="1"/>
  <c r="B25"/>
  <c r="G25" s="1"/>
  <c r="S27" i="35"/>
  <c r="I50" i="22"/>
  <c r="I51"/>
  <c r="I52"/>
  <c r="I53"/>
  <c r="I54"/>
  <c r="I55"/>
  <c r="I56"/>
  <c r="I57"/>
  <c r="I58"/>
  <c r="I59"/>
  <c r="I60"/>
  <c r="I61"/>
  <c r="I62"/>
  <c r="I63"/>
  <c r="I49"/>
  <c r="S26" i="35"/>
  <c r="S25"/>
  <c r="S22"/>
  <c r="S24"/>
  <c r="S23"/>
  <c r="S21"/>
  <c r="S20"/>
  <c r="S19"/>
  <c r="S18"/>
  <c r="S17"/>
  <c r="Q23"/>
  <c r="Q21"/>
  <c r="Q20"/>
  <c r="Q19"/>
  <c r="J52"/>
  <c r="I52"/>
  <c r="I53"/>
  <c r="J53"/>
  <c r="H53"/>
  <c r="H52"/>
  <c r="E26" i="2" l="1"/>
  <c r="J26" s="1"/>
  <c r="D26"/>
  <c r="I26" s="1"/>
  <c r="O26" s="1"/>
  <c r="B27"/>
  <c r="G27" s="1"/>
  <c r="AD26"/>
  <c r="AE26"/>
  <c r="AD25"/>
  <c r="O25"/>
  <c r="AE25"/>
  <c r="M26"/>
  <c r="AD27"/>
  <c r="AE27"/>
  <c r="N25"/>
  <c r="M25"/>
  <c r="U25" s="1"/>
  <c r="E27"/>
  <c r="J27" s="1"/>
  <c r="AA25"/>
  <c r="AB25" s="1"/>
  <c r="N26"/>
  <c r="Z26" s="1"/>
  <c r="D27"/>
  <c r="I27" s="1"/>
  <c r="A28"/>
  <c r="Q22" i="35"/>
  <c r="Q24"/>
  <c r="Q26"/>
  <c r="V25" i="2" l="1"/>
  <c r="Q26"/>
  <c r="R26"/>
  <c r="U27"/>
  <c r="M27"/>
  <c r="T27" s="1"/>
  <c r="AJ27" s="1"/>
  <c r="C28"/>
  <c r="H28" s="1"/>
  <c r="D28"/>
  <c r="I28" s="1"/>
  <c r="E28"/>
  <c r="J28" s="1"/>
  <c r="B28"/>
  <c r="G28" s="1"/>
  <c r="A29"/>
  <c r="AR25"/>
  <c r="AS25"/>
  <c r="N27"/>
  <c r="Z27" s="1"/>
  <c r="T25"/>
  <c r="AJ25" s="1"/>
  <c r="T26"/>
  <c r="AJ26" s="1"/>
  <c r="V26"/>
  <c r="O27"/>
  <c r="U26"/>
  <c r="Z25"/>
  <c r="X25"/>
  <c r="AR26"/>
  <c r="AS26"/>
  <c r="R25"/>
  <c r="Q25"/>
  <c r="Q27" i="35"/>
  <c r="Q29"/>
  <c r="Q25"/>
  <c r="Y25" i="2" l="1"/>
  <c r="AK25" s="1"/>
  <c r="V27"/>
  <c r="C29"/>
  <c r="H29" s="1"/>
  <c r="A30"/>
  <c r="D29"/>
  <c r="I29" s="1"/>
  <c r="E29"/>
  <c r="J29" s="1"/>
  <c r="B29"/>
  <c r="G29" s="1"/>
  <c r="N28"/>
  <c r="AA28"/>
  <c r="AB28" s="1"/>
  <c r="V28"/>
  <c r="U28"/>
  <c r="M28"/>
  <c r="AG25"/>
  <c r="AH25"/>
  <c r="AH26"/>
  <c r="AG26"/>
  <c r="AS27"/>
  <c r="AR27"/>
  <c r="AD28"/>
  <c r="O28"/>
  <c r="AE28"/>
  <c r="R27"/>
  <c r="Q27"/>
  <c r="Q28" i="35"/>
  <c r="Q30"/>
  <c r="AL25" i="2" l="1"/>
  <c r="AM25" s="1"/>
  <c r="R28"/>
  <c r="Q28"/>
  <c r="U29"/>
  <c r="V29"/>
  <c r="M29"/>
  <c r="AE29"/>
  <c r="O29"/>
  <c r="AD29"/>
  <c r="N29"/>
  <c r="Z29" s="1"/>
  <c r="AA29"/>
  <c r="AB29" s="1"/>
  <c r="AR28"/>
  <c r="AS28"/>
  <c r="AG27"/>
  <c r="AH27"/>
  <c r="X28"/>
  <c r="Z28"/>
  <c r="D30"/>
  <c r="I30" s="1"/>
  <c r="A31"/>
  <c r="E30"/>
  <c r="J30" s="1"/>
  <c r="B30"/>
  <c r="G30" s="1"/>
  <c r="C30"/>
  <c r="H30" s="1"/>
  <c r="S30" i="35"/>
  <c r="S29"/>
  <c r="S28"/>
  <c r="S16"/>
  <c r="AN25" i="2" l="1"/>
  <c r="AP25"/>
  <c r="D31"/>
  <c r="I31" s="1"/>
  <c r="A32"/>
  <c r="E31"/>
  <c r="J31" s="1"/>
  <c r="B31"/>
  <c r="G31" s="1"/>
  <c r="C31"/>
  <c r="H31" s="1"/>
  <c r="AG28"/>
  <c r="AH28"/>
  <c r="X37"/>
  <c r="X26"/>
  <c r="Y26" s="1"/>
  <c r="AK26" s="1"/>
  <c r="AA30"/>
  <c r="AB30" s="1"/>
  <c r="N30"/>
  <c r="U30"/>
  <c r="V30"/>
  <c r="M30"/>
  <c r="Y28"/>
  <c r="AK28" s="1"/>
  <c r="T28"/>
  <c r="AJ28" s="1"/>
  <c r="AR29"/>
  <c r="AS29"/>
  <c r="Q29"/>
  <c r="R29"/>
  <c r="AE30"/>
  <c r="O30"/>
  <c r="AD30"/>
  <c r="AA10"/>
  <c r="V24"/>
  <c r="E75" i="24"/>
  <c r="C4" i="30"/>
  <c r="C5"/>
  <c r="C6"/>
  <c r="C7"/>
  <c r="C8"/>
  <c r="C9"/>
  <c r="C10"/>
  <c r="C11"/>
  <c r="C12"/>
  <c r="C13"/>
  <c r="C14"/>
  <c r="C15"/>
  <c r="C16"/>
  <c r="C17"/>
  <c r="C3"/>
  <c r="D6" i="28"/>
  <c r="D5"/>
  <c r="D4"/>
  <c r="C5"/>
  <c r="C6"/>
  <c r="C4"/>
  <c r="D18"/>
  <c r="D19"/>
  <c r="D20"/>
  <c r="D21"/>
  <c r="D22"/>
  <c r="D23"/>
  <c r="X23" i="2"/>
  <c r="V11"/>
  <c r="V12"/>
  <c r="V16"/>
  <c r="V17"/>
  <c r="V18"/>
  <c r="V19"/>
  <c r="V20"/>
  <c r="V21"/>
  <c r="V22"/>
  <c r="V23"/>
  <c r="V10"/>
  <c r="U11"/>
  <c r="U12"/>
  <c r="U13"/>
  <c r="U14"/>
  <c r="U15"/>
  <c r="U16"/>
  <c r="U17"/>
  <c r="U18"/>
  <c r="U19"/>
  <c r="U20"/>
  <c r="U21"/>
  <c r="U22"/>
  <c r="U23"/>
  <c r="U24"/>
  <c r="U10"/>
  <c r="I4" i="26"/>
  <c r="I5"/>
  <c r="I8"/>
  <c r="I7"/>
  <c r="I9"/>
  <c r="B23"/>
  <c r="B20"/>
  <c r="B21"/>
  <c r="B19"/>
  <c r="D7"/>
  <c r="AE24" i="2"/>
  <c r="AD24"/>
  <c r="AA24"/>
  <c r="AE23"/>
  <c r="AD23"/>
  <c r="AA23"/>
  <c r="AE22"/>
  <c r="AD22"/>
  <c r="AA22"/>
  <c r="AE20"/>
  <c r="AE16"/>
  <c r="AE12"/>
  <c r="AD21"/>
  <c r="AD20"/>
  <c r="AD19"/>
  <c r="AD18"/>
  <c r="AD17"/>
  <c r="AD16"/>
  <c r="AD15"/>
  <c r="AD14"/>
  <c r="AD13"/>
  <c r="AD12"/>
  <c r="AD11"/>
  <c r="F67" i="27"/>
  <c r="E67"/>
  <c r="D67"/>
  <c r="G67"/>
  <c r="C67"/>
  <c r="A67"/>
  <c r="F66"/>
  <c r="E66"/>
  <c r="D66"/>
  <c r="G66"/>
  <c r="C66"/>
  <c r="A66"/>
  <c r="G65"/>
  <c r="F65"/>
  <c r="E65"/>
  <c r="D65"/>
  <c r="C65"/>
  <c r="A65"/>
  <c r="E64"/>
  <c r="D64"/>
  <c r="G64"/>
  <c r="C64"/>
  <c r="A64"/>
  <c r="F63"/>
  <c r="E63"/>
  <c r="D63"/>
  <c r="G63"/>
  <c r="C63"/>
  <c r="A63"/>
  <c r="G62"/>
  <c r="F62"/>
  <c r="AE21" i="2"/>
  <c r="E62" i="27"/>
  <c r="D62"/>
  <c r="C62"/>
  <c r="A62"/>
  <c r="F61"/>
  <c r="E61"/>
  <c r="D61"/>
  <c r="G61"/>
  <c r="C61"/>
  <c r="F60"/>
  <c r="E60"/>
  <c r="D60"/>
  <c r="G60"/>
  <c r="C60"/>
  <c r="F59"/>
  <c r="E59"/>
  <c r="D59"/>
  <c r="G59"/>
  <c r="C59"/>
  <c r="F58"/>
  <c r="E58"/>
  <c r="D58"/>
  <c r="G58"/>
  <c r="C58"/>
  <c r="F57"/>
  <c r="E57"/>
  <c r="D57"/>
  <c r="G57"/>
  <c r="C57"/>
  <c r="F56"/>
  <c r="E56"/>
  <c r="D56"/>
  <c r="G56"/>
  <c r="C56"/>
  <c r="C73" i="25"/>
  <c r="F68"/>
  <c r="E68"/>
  <c r="D68"/>
  <c r="C68"/>
  <c r="E55"/>
  <c r="A54"/>
  <c r="A55"/>
  <c r="A56"/>
  <c r="A57"/>
  <c r="A58"/>
  <c r="A59"/>
  <c r="A60"/>
  <c r="A61"/>
  <c r="A62"/>
  <c r="A63"/>
  <c r="A64"/>
  <c r="A65"/>
  <c r="A66"/>
  <c r="G53"/>
  <c r="C53"/>
  <c r="F56"/>
  <c r="D29"/>
  <c r="D28"/>
  <c r="D21"/>
  <c r="D20"/>
  <c r="D19"/>
  <c r="AA20" i="2"/>
  <c r="B5" i="25"/>
  <c r="D102" i="24"/>
  <c r="D101"/>
  <c r="D100"/>
  <c r="D99"/>
  <c r="D98"/>
  <c r="D97"/>
  <c r="D96"/>
  <c r="D95"/>
  <c r="D94"/>
  <c r="D93"/>
  <c r="D92"/>
  <c r="D91"/>
  <c r="D90"/>
  <c r="D89"/>
  <c r="D88"/>
  <c r="D87"/>
  <c r="D86"/>
  <c r="D85"/>
  <c r="D84"/>
  <c r="D83"/>
  <c r="D82"/>
  <c r="D81"/>
  <c r="D80"/>
  <c r="D79"/>
  <c r="D78"/>
  <c r="D77"/>
  <c r="Z19" i="2" s="1"/>
  <c r="D76" i="24"/>
  <c r="D75"/>
  <c r="D74"/>
  <c r="D73"/>
  <c r="K58"/>
  <c r="K60"/>
  <c r="A65"/>
  <c r="I58"/>
  <c r="A64"/>
  <c r="F39"/>
  <c r="E96"/>
  <c r="F96"/>
  <c r="G96" s="1"/>
  <c r="H96" s="1"/>
  <c r="F38"/>
  <c r="E90"/>
  <c r="F90"/>
  <c r="K90" s="1"/>
  <c r="E27"/>
  <c r="E41"/>
  <c r="E101"/>
  <c r="F26"/>
  <c r="F27"/>
  <c r="F41"/>
  <c r="E102"/>
  <c r="E40"/>
  <c r="E98"/>
  <c r="D40"/>
  <c r="E97"/>
  <c r="F97"/>
  <c r="K97" s="1"/>
  <c r="D39"/>
  <c r="E94"/>
  <c r="D24"/>
  <c r="D23"/>
  <c r="D37"/>
  <c r="E91"/>
  <c r="F91"/>
  <c r="F23"/>
  <c r="F37"/>
  <c r="E93"/>
  <c r="F93"/>
  <c r="F36"/>
  <c r="E87"/>
  <c r="D22"/>
  <c r="D36"/>
  <c r="E85"/>
  <c r="F35"/>
  <c r="E84"/>
  <c r="E35"/>
  <c r="E83"/>
  <c r="D35"/>
  <c r="E82"/>
  <c r="E34"/>
  <c r="E80"/>
  <c r="F33"/>
  <c r="E33"/>
  <c r="E74"/>
  <c r="D33"/>
  <c r="E73"/>
  <c r="F18"/>
  <c r="F32"/>
  <c r="E78"/>
  <c r="E32"/>
  <c r="E77"/>
  <c r="D32"/>
  <c r="E76"/>
  <c r="E24"/>
  <c r="E86" i="23"/>
  <c r="D86"/>
  <c r="D85"/>
  <c r="E84"/>
  <c r="D84"/>
  <c r="E83"/>
  <c r="D83"/>
  <c r="E82"/>
  <c r="D82"/>
  <c r="D81"/>
  <c r="D80"/>
  <c r="E79"/>
  <c r="D79"/>
  <c r="D78"/>
  <c r="E77"/>
  <c r="D77"/>
  <c r="E76"/>
  <c r="D76"/>
  <c r="D75"/>
  <c r="D74"/>
  <c r="D73"/>
  <c r="E72"/>
  <c r="D72"/>
  <c r="D71"/>
  <c r="D70"/>
  <c r="D69"/>
  <c r="D68"/>
  <c r="D67"/>
  <c r="E66"/>
  <c r="D66"/>
  <c r="D65"/>
  <c r="D64"/>
  <c r="D63"/>
  <c r="D62"/>
  <c r="E61"/>
  <c r="D61"/>
  <c r="D60"/>
  <c r="D59"/>
  <c r="D58"/>
  <c r="K57"/>
  <c r="D57"/>
  <c r="K55"/>
  <c r="K58"/>
  <c r="F52"/>
  <c r="E85" s="1"/>
  <c r="X21" i="2" s="1"/>
  <c r="E52" i="23"/>
  <c r="E75" s="1"/>
  <c r="X20" i="2" s="1"/>
  <c r="E51" i="23"/>
  <c r="E74" s="1"/>
  <c r="X17" i="2" s="1"/>
  <c r="E50" i="23"/>
  <c r="E73"/>
  <c r="B47"/>
  <c r="K43"/>
  <c r="K41"/>
  <c r="B39"/>
  <c r="B53"/>
  <c r="K38"/>
  <c r="K37"/>
  <c r="B37"/>
  <c r="B51"/>
  <c r="K36"/>
  <c r="C36"/>
  <c r="C50"/>
  <c r="B34"/>
  <c r="B48"/>
  <c r="C33"/>
  <c r="C47"/>
  <c r="B33"/>
  <c r="C32"/>
  <c r="C46"/>
  <c r="B30"/>
  <c r="B44"/>
  <c r="C27"/>
  <c r="C39"/>
  <c r="C53"/>
  <c r="B27"/>
  <c r="C26"/>
  <c r="C38"/>
  <c r="C52"/>
  <c r="B26"/>
  <c r="C25"/>
  <c r="B25"/>
  <c r="C24"/>
  <c r="B24"/>
  <c r="C23"/>
  <c r="C35"/>
  <c r="C49"/>
  <c r="B23"/>
  <c r="C22"/>
  <c r="C34"/>
  <c r="C48"/>
  <c r="B22"/>
  <c r="C21"/>
  <c r="B21"/>
  <c r="C20"/>
  <c r="B20"/>
  <c r="C19"/>
  <c r="C31"/>
  <c r="C45"/>
  <c r="B19"/>
  <c r="C18"/>
  <c r="C30"/>
  <c r="C44"/>
  <c r="B18"/>
  <c r="F17"/>
  <c r="E17"/>
  <c r="D17"/>
  <c r="C17"/>
  <c r="B17"/>
  <c r="E38"/>
  <c r="F80" i="24"/>
  <c r="F85"/>
  <c r="I85" s="1"/>
  <c r="J85" s="1"/>
  <c r="F101"/>
  <c r="F102"/>
  <c r="K102" s="1"/>
  <c r="F73"/>
  <c r="I73" s="1"/>
  <c r="J73" s="1"/>
  <c r="F94"/>
  <c r="I94" s="1"/>
  <c r="J94" s="1"/>
  <c r="F98"/>
  <c r="K98" s="1"/>
  <c r="AA14" i="2"/>
  <c r="AA18"/>
  <c r="AE11"/>
  <c r="AE15"/>
  <c r="AE19"/>
  <c r="AA13"/>
  <c r="AA17"/>
  <c r="AA21"/>
  <c r="AE13"/>
  <c r="AE18"/>
  <c r="AA11"/>
  <c r="AA15"/>
  <c r="AB15" s="1"/>
  <c r="AA19"/>
  <c r="E37" i="23"/>
  <c r="F20" i="24"/>
  <c r="F34"/>
  <c r="E81"/>
  <c r="D30" i="23"/>
  <c r="D44"/>
  <c r="E57"/>
  <c r="D34"/>
  <c r="F40" i="24"/>
  <c r="E99"/>
  <c r="F33" i="23"/>
  <c r="F47"/>
  <c r="E80"/>
  <c r="E36"/>
  <c r="F37"/>
  <c r="D38"/>
  <c r="D52"/>
  <c r="E65"/>
  <c r="AA12" i="2"/>
  <c r="AA16"/>
  <c r="AE14"/>
  <c r="AE17"/>
  <c r="D54" i="25"/>
  <c r="C54"/>
  <c r="K91" i="24"/>
  <c r="I91"/>
  <c r="J91" s="1"/>
  <c r="G91"/>
  <c r="H91" s="1"/>
  <c r="E38"/>
  <c r="E89"/>
  <c r="E23"/>
  <c r="E37"/>
  <c r="E92"/>
  <c r="E25"/>
  <c r="E39"/>
  <c r="E95"/>
  <c r="I93"/>
  <c r="J93" s="1"/>
  <c r="K93"/>
  <c r="G93"/>
  <c r="H93" s="1"/>
  <c r="I90"/>
  <c r="J90" s="1"/>
  <c r="G90"/>
  <c r="H90" s="1"/>
  <c r="G97"/>
  <c r="H97" s="1"/>
  <c r="F78"/>
  <c r="F81"/>
  <c r="G81" s="1"/>
  <c r="H81" s="1"/>
  <c r="F84"/>
  <c r="I84" s="1"/>
  <c r="J84" s="1"/>
  <c r="F77"/>
  <c r="G77" s="1"/>
  <c r="H77" s="1"/>
  <c r="F75"/>
  <c r="G75" s="1"/>
  <c r="H75" s="1"/>
  <c r="F83"/>
  <c r="K83" s="1"/>
  <c r="F76"/>
  <c r="F74"/>
  <c r="F82"/>
  <c r="I82" s="1"/>
  <c r="J82" s="1"/>
  <c r="F87"/>
  <c r="G87" s="1"/>
  <c r="H87" s="1"/>
  <c r="D34"/>
  <c r="E79"/>
  <c r="D38"/>
  <c r="E88"/>
  <c r="D27"/>
  <c r="D41"/>
  <c r="E100"/>
  <c r="E36"/>
  <c r="E86"/>
  <c r="E30" i="23"/>
  <c r="E44"/>
  <c r="E67"/>
  <c r="F31"/>
  <c r="F45"/>
  <c r="E78"/>
  <c r="D33"/>
  <c r="D47"/>
  <c r="E60"/>
  <c r="E34"/>
  <c r="E48"/>
  <c r="E71"/>
  <c r="F35"/>
  <c r="D37"/>
  <c r="D51"/>
  <c r="E64"/>
  <c r="F39"/>
  <c r="E32"/>
  <c r="E46"/>
  <c r="E69"/>
  <c r="F32"/>
  <c r="E33"/>
  <c r="E47"/>
  <c r="E70"/>
  <c r="F36"/>
  <c r="F30"/>
  <c r="E31"/>
  <c r="E45"/>
  <c r="E68"/>
  <c r="D32"/>
  <c r="D46"/>
  <c r="E59"/>
  <c r="F34"/>
  <c r="F48"/>
  <c r="E81"/>
  <c r="E35"/>
  <c r="D36"/>
  <c r="D50"/>
  <c r="E63"/>
  <c r="F38"/>
  <c r="E39"/>
  <c r="B32"/>
  <c r="B46"/>
  <c r="B36"/>
  <c r="B50"/>
  <c r="B38"/>
  <c r="B52"/>
  <c r="D31"/>
  <c r="D45"/>
  <c r="E58"/>
  <c r="D35"/>
  <c r="D49"/>
  <c r="E62"/>
  <c r="D39"/>
  <c r="B31"/>
  <c r="B45"/>
  <c r="B35"/>
  <c r="B49"/>
  <c r="C37"/>
  <c r="C51"/>
  <c r="F100" i="24"/>
  <c r="K100" s="1"/>
  <c r="F86"/>
  <c r="I86" s="1"/>
  <c r="J86" s="1"/>
  <c r="F79"/>
  <c r="K79" s="1"/>
  <c r="F89"/>
  <c r="K89" s="1"/>
  <c r="F88"/>
  <c r="F92"/>
  <c r="K92" s="1"/>
  <c r="F99"/>
  <c r="G99" s="1"/>
  <c r="H99" s="1"/>
  <c r="F95"/>
  <c r="I95" s="1"/>
  <c r="J95" s="1"/>
  <c r="E56" i="25"/>
  <c r="F57"/>
  <c r="G54"/>
  <c r="C55"/>
  <c r="D55"/>
  <c r="G88" i="24"/>
  <c r="H88" s="1"/>
  <c r="K84"/>
  <c r="G82"/>
  <c r="H82" s="1"/>
  <c r="G86"/>
  <c r="H86" s="1"/>
  <c r="G83"/>
  <c r="H83" s="1"/>
  <c r="I81"/>
  <c r="J81" s="1"/>
  <c r="G89"/>
  <c r="H89" s="1"/>
  <c r="G55" i="25"/>
  <c r="D56"/>
  <c r="F58"/>
  <c r="E57"/>
  <c r="C56"/>
  <c r="E58"/>
  <c r="C57"/>
  <c r="F59"/>
  <c r="D57"/>
  <c r="G56"/>
  <c r="G57"/>
  <c r="D58"/>
  <c r="F60"/>
  <c r="E59"/>
  <c r="C58"/>
  <c r="C248" i="22"/>
  <c r="B248"/>
  <c r="C247"/>
  <c r="B247"/>
  <c r="C246"/>
  <c r="B246"/>
  <c r="C245"/>
  <c r="B245"/>
  <c r="C244"/>
  <c r="B244"/>
  <c r="C243"/>
  <c r="B243"/>
  <c r="C242"/>
  <c r="B242"/>
  <c r="C241"/>
  <c r="B241"/>
  <c r="C240"/>
  <c r="B240"/>
  <c r="C239"/>
  <c r="B239"/>
  <c r="F235"/>
  <c r="E235"/>
  <c r="D235"/>
  <c r="F234"/>
  <c r="E234"/>
  <c r="D234"/>
  <c r="F233"/>
  <c r="E233"/>
  <c r="D233"/>
  <c r="F232"/>
  <c r="E232"/>
  <c r="D232"/>
  <c r="F231"/>
  <c r="E231"/>
  <c r="D231"/>
  <c r="F230"/>
  <c r="E230"/>
  <c r="D230"/>
  <c r="F229"/>
  <c r="E229"/>
  <c r="D229"/>
  <c r="F228"/>
  <c r="E228"/>
  <c r="D228"/>
  <c r="F227"/>
  <c r="E227"/>
  <c r="D227"/>
  <c r="F226"/>
  <c r="E226"/>
  <c r="D226"/>
  <c r="B221"/>
  <c r="A221"/>
  <c r="A217"/>
  <c r="B213"/>
  <c r="A213"/>
  <c r="A212"/>
  <c r="A209"/>
  <c r="B206"/>
  <c r="A205"/>
  <c r="A204"/>
  <c r="B202"/>
  <c r="A201"/>
  <c r="B198"/>
  <c r="B197"/>
  <c r="A197"/>
  <c r="A196"/>
  <c r="C194"/>
  <c r="B194"/>
  <c r="A193"/>
  <c r="B178"/>
  <c r="A178"/>
  <c r="A177"/>
  <c r="B176"/>
  <c r="B219"/>
  <c r="A176"/>
  <c r="A219"/>
  <c r="A175"/>
  <c r="B174"/>
  <c r="B217"/>
  <c r="A174"/>
  <c r="A173"/>
  <c r="A216"/>
  <c r="B172"/>
  <c r="B215"/>
  <c r="A172"/>
  <c r="A215"/>
  <c r="A171"/>
  <c r="A214"/>
  <c r="B170"/>
  <c r="A170"/>
  <c r="A169"/>
  <c r="B168"/>
  <c r="B211"/>
  <c r="A168"/>
  <c r="A211"/>
  <c r="E211"/>
  <c r="A167"/>
  <c r="B166"/>
  <c r="B209"/>
  <c r="A166"/>
  <c r="A165"/>
  <c r="A208"/>
  <c r="B164"/>
  <c r="B207"/>
  <c r="A164"/>
  <c r="A207"/>
  <c r="B163"/>
  <c r="A163"/>
  <c r="A206"/>
  <c r="B162"/>
  <c r="B205"/>
  <c r="A162"/>
  <c r="B161"/>
  <c r="B204"/>
  <c r="A161"/>
  <c r="B160"/>
  <c r="B203"/>
  <c r="A160"/>
  <c r="A203"/>
  <c r="B159"/>
  <c r="A159"/>
  <c r="A202"/>
  <c r="B158"/>
  <c r="B201"/>
  <c r="A158"/>
  <c r="B157"/>
  <c r="B200"/>
  <c r="A157"/>
  <c r="A200"/>
  <c r="B156"/>
  <c r="B199"/>
  <c r="A156"/>
  <c r="A199" s="1"/>
  <c r="E199" s="1"/>
  <c r="B155"/>
  <c r="A155"/>
  <c r="A198"/>
  <c r="C154"/>
  <c r="C197"/>
  <c r="B154"/>
  <c r="A154"/>
  <c r="B153"/>
  <c r="B196"/>
  <c r="A153"/>
  <c r="C152"/>
  <c r="C195"/>
  <c r="B152"/>
  <c r="B195"/>
  <c r="A152"/>
  <c r="A195"/>
  <c r="E195"/>
  <c r="C151"/>
  <c r="B151"/>
  <c r="A151"/>
  <c r="A194"/>
  <c r="E194"/>
  <c r="C150"/>
  <c r="C193"/>
  <c r="B150"/>
  <c r="B193"/>
  <c r="A150"/>
  <c r="C149"/>
  <c r="C192"/>
  <c r="B149"/>
  <c r="B192"/>
  <c r="A149"/>
  <c r="B146"/>
  <c r="B145"/>
  <c r="B144"/>
  <c r="B143"/>
  <c r="B142"/>
  <c r="B141"/>
  <c r="B140"/>
  <c r="B139"/>
  <c r="B138"/>
  <c r="B137"/>
  <c r="E136"/>
  <c r="C136"/>
  <c r="C168"/>
  <c r="C211"/>
  <c r="B136"/>
  <c r="B135"/>
  <c r="C134"/>
  <c r="B134"/>
  <c r="C133"/>
  <c r="C165"/>
  <c r="C208"/>
  <c r="B133"/>
  <c r="C132"/>
  <c r="B132"/>
  <c r="E125"/>
  <c r="C125"/>
  <c r="C122"/>
  <c r="C121"/>
  <c r="E121"/>
  <c r="E120"/>
  <c r="F195"/>
  <c r="C120"/>
  <c r="C135"/>
  <c r="C167"/>
  <c r="C210"/>
  <c r="F194"/>
  <c r="E119"/>
  <c r="F193"/>
  <c r="E118"/>
  <c r="F192"/>
  <c r="E117"/>
  <c r="D103"/>
  <c r="D102"/>
  <c r="D101"/>
  <c r="D104"/>
  <c r="E100"/>
  <c r="D100"/>
  <c r="E99"/>
  <c r="E98"/>
  <c r="E97"/>
  <c r="D94"/>
  <c r="E94"/>
  <c r="E91"/>
  <c r="E89"/>
  <c r="E88"/>
  <c r="D88"/>
  <c r="D91"/>
  <c r="D87"/>
  <c r="E86"/>
  <c r="D86"/>
  <c r="D89"/>
  <c r="D92"/>
  <c r="E85"/>
  <c r="D85"/>
  <c r="E84"/>
  <c r="E83"/>
  <c r="E82"/>
  <c r="D78"/>
  <c r="E75"/>
  <c r="D75"/>
  <c r="E72"/>
  <c r="D72"/>
  <c r="D71"/>
  <c r="D70"/>
  <c r="E69"/>
  <c r="E68"/>
  <c r="E67"/>
  <c r="D62"/>
  <c r="E62"/>
  <c r="E59"/>
  <c r="D59"/>
  <c r="E56"/>
  <c r="D55"/>
  <c r="D54"/>
  <c r="D53"/>
  <c r="D56"/>
  <c r="E52"/>
  <c r="D52"/>
  <c r="E51"/>
  <c r="E50"/>
  <c r="E49"/>
  <c r="B45"/>
  <c r="B44"/>
  <c r="B43"/>
  <c r="B42"/>
  <c r="B41"/>
  <c r="AQ28"/>
  <c r="C30"/>
  <c r="C29"/>
  <c r="AQ29"/>
  <c r="C28"/>
  <c r="AQ27"/>
  <c r="AO26"/>
  <c r="C17"/>
  <c r="U14"/>
  <c r="C14"/>
  <c r="B14"/>
  <c r="B13"/>
  <c r="B12"/>
  <c r="R11"/>
  <c r="C11"/>
  <c r="B11"/>
  <c r="S10"/>
  <c r="R10"/>
  <c r="D10"/>
  <c r="B10"/>
  <c r="S9"/>
  <c r="R9"/>
  <c r="D9"/>
  <c r="B9"/>
  <c r="S8"/>
  <c r="R8"/>
  <c r="N8"/>
  <c r="D8"/>
  <c r="C8"/>
  <c r="B8"/>
  <c r="T8"/>
  <c r="U7"/>
  <c r="T7"/>
  <c r="S7"/>
  <c r="R7"/>
  <c r="O7"/>
  <c r="D7"/>
  <c r="U6"/>
  <c r="T6"/>
  <c r="S6"/>
  <c r="R6"/>
  <c r="N6"/>
  <c r="D6"/>
  <c r="U5"/>
  <c r="T5"/>
  <c r="S5"/>
  <c r="R5"/>
  <c r="D5"/>
  <c r="C5"/>
  <c r="G4"/>
  <c r="P13"/>
  <c r="F4"/>
  <c r="O11"/>
  <c r="E4"/>
  <c r="N13"/>
  <c r="C4"/>
  <c r="A11" i="2"/>
  <c r="A12"/>
  <c r="P11" i="22"/>
  <c r="N7"/>
  <c r="P12"/>
  <c r="G24"/>
  <c r="K24"/>
  <c r="O24"/>
  <c r="S24"/>
  <c r="W24"/>
  <c r="AA24"/>
  <c r="AE24"/>
  <c r="AI24"/>
  <c r="N10"/>
  <c r="E24"/>
  <c r="I24"/>
  <c r="M24"/>
  <c r="Q24"/>
  <c r="U24"/>
  <c r="Y24"/>
  <c r="AC24"/>
  <c r="AG24"/>
  <c r="M119"/>
  <c r="N9"/>
  <c r="AP27"/>
  <c r="AQ25"/>
  <c r="AQ26"/>
  <c r="E60" i="25"/>
  <c r="C59"/>
  <c r="F61"/>
  <c r="D59"/>
  <c r="G58"/>
  <c r="C33" i="22"/>
  <c r="AO30"/>
  <c r="AP30"/>
  <c r="D74"/>
  <c r="E71"/>
  <c r="B177"/>
  <c r="B220"/>
  <c r="P10"/>
  <c r="P9"/>
  <c r="P8"/>
  <c r="P6"/>
  <c r="P17"/>
  <c r="P7"/>
  <c r="B15"/>
  <c r="S12"/>
  <c r="D12"/>
  <c r="T12"/>
  <c r="T13"/>
  <c r="B16"/>
  <c r="S13"/>
  <c r="D13"/>
  <c r="S14"/>
  <c r="B17"/>
  <c r="R14"/>
  <c r="N14"/>
  <c r="D14"/>
  <c r="D58"/>
  <c r="E55"/>
  <c r="F211"/>
  <c r="B171"/>
  <c r="T9"/>
  <c r="U9"/>
  <c r="T10"/>
  <c r="U10"/>
  <c r="S11"/>
  <c r="D11"/>
  <c r="T11"/>
  <c r="C31"/>
  <c r="AO28"/>
  <c r="C164"/>
  <c r="C207"/>
  <c r="E132"/>
  <c r="E134"/>
  <c r="C166"/>
  <c r="C209"/>
  <c r="P5"/>
  <c r="T14"/>
  <c r="F24"/>
  <c r="J24"/>
  <c r="N24"/>
  <c r="R24"/>
  <c r="V24"/>
  <c r="Z24"/>
  <c r="AD24"/>
  <c r="AH24"/>
  <c r="AP25"/>
  <c r="AP28"/>
  <c r="E207"/>
  <c r="U11"/>
  <c r="U12"/>
  <c r="U13"/>
  <c r="P14"/>
  <c r="P15"/>
  <c r="P16"/>
  <c r="AP26"/>
  <c r="AQ30"/>
  <c r="C32"/>
  <c r="AO29"/>
  <c r="AP29"/>
  <c r="D81"/>
  <c r="E81"/>
  <c r="E78"/>
  <c r="E87"/>
  <c r="D90"/>
  <c r="D106"/>
  <c r="E103"/>
  <c r="F200"/>
  <c r="A220"/>
  <c r="R12"/>
  <c r="R13"/>
  <c r="O14"/>
  <c r="D57"/>
  <c r="E54"/>
  <c r="D73"/>
  <c r="E70"/>
  <c r="C157"/>
  <c r="C128"/>
  <c r="C140"/>
  <c r="D95"/>
  <c r="E95"/>
  <c r="E92"/>
  <c r="F196"/>
  <c r="A210"/>
  <c r="E167"/>
  <c r="A218"/>
  <c r="O5"/>
  <c r="U8"/>
  <c r="O12"/>
  <c r="O13"/>
  <c r="AO25"/>
  <c r="AO27"/>
  <c r="N5"/>
  <c r="O6"/>
  <c r="O8"/>
  <c r="O9"/>
  <c r="O10"/>
  <c r="N11"/>
  <c r="N12"/>
  <c r="E154"/>
  <c r="D107"/>
  <c r="E104"/>
  <c r="B169"/>
  <c r="B212"/>
  <c r="E212"/>
  <c r="A192"/>
  <c r="E192"/>
  <c r="E149"/>
  <c r="E151"/>
  <c r="E197"/>
  <c r="D105"/>
  <c r="E102"/>
  <c r="C137"/>
  <c r="C169"/>
  <c r="C212"/>
  <c r="E122"/>
  <c r="B173"/>
  <c r="B216"/>
  <c r="Q11" i="2"/>
  <c r="AG11" s="1"/>
  <c r="E53" i="22"/>
  <c r="E150"/>
  <c r="E166"/>
  <c r="C153"/>
  <c r="C124"/>
  <c r="E133"/>
  <c r="B165"/>
  <c r="B208"/>
  <c r="E208"/>
  <c r="E135"/>
  <c r="B167"/>
  <c r="B210"/>
  <c r="B175"/>
  <c r="B218"/>
  <c r="E193"/>
  <c r="E209"/>
  <c r="C123"/>
  <c r="E152"/>
  <c r="E164"/>
  <c r="E168"/>
  <c r="E101"/>
  <c r="A13" i="2"/>
  <c r="D12"/>
  <c r="I12"/>
  <c r="E12"/>
  <c r="J12"/>
  <c r="D11"/>
  <c r="I11"/>
  <c r="M11"/>
  <c r="E11"/>
  <c r="J11"/>
  <c r="E10"/>
  <c r="J10"/>
  <c r="D10"/>
  <c r="I10"/>
  <c r="D8"/>
  <c r="C12"/>
  <c r="H12"/>
  <c r="T11"/>
  <c r="M12"/>
  <c r="R11"/>
  <c r="P11"/>
  <c r="Q10"/>
  <c r="AG10" s="1"/>
  <c r="G59" i="25"/>
  <c r="D60"/>
  <c r="F62"/>
  <c r="E61"/>
  <c r="C60"/>
  <c r="F210" i="22"/>
  <c r="C196"/>
  <c r="E196"/>
  <c r="E153"/>
  <c r="F209"/>
  <c r="C36"/>
  <c r="AO33"/>
  <c r="AP33"/>
  <c r="AQ33"/>
  <c r="F208"/>
  <c r="C200"/>
  <c r="E200"/>
  <c r="E157"/>
  <c r="U17"/>
  <c r="R17"/>
  <c r="T17"/>
  <c r="N17"/>
  <c r="D17"/>
  <c r="O17"/>
  <c r="S17"/>
  <c r="B19"/>
  <c r="S16"/>
  <c r="N16"/>
  <c r="D16"/>
  <c r="R16"/>
  <c r="O16"/>
  <c r="T16"/>
  <c r="U16"/>
  <c r="E165"/>
  <c r="Q13" i="2"/>
  <c r="E210" i="22"/>
  <c r="R12" i="2"/>
  <c r="C143" i="22"/>
  <c r="C131"/>
  <c r="C160"/>
  <c r="E128"/>
  <c r="R13" i="2"/>
  <c r="T13" s="1"/>
  <c r="AO32" i="22"/>
  <c r="C35"/>
  <c r="AP32"/>
  <c r="AQ32"/>
  <c r="F207"/>
  <c r="F197"/>
  <c r="C172"/>
  <c r="E140"/>
  <c r="D93"/>
  <c r="E90"/>
  <c r="C155"/>
  <c r="E123"/>
  <c r="C138"/>
  <c r="C126"/>
  <c r="C139"/>
  <c r="C127"/>
  <c r="C156"/>
  <c r="E124"/>
  <c r="D108"/>
  <c r="E105"/>
  <c r="D110"/>
  <c r="E110"/>
  <c r="E107"/>
  <c r="D76"/>
  <c r="E73"/>
  <c r="D60"/>
  <c r="E57"/>
  <c r="D109"/>
  <c r="E109"/>
  <c r="E106"/>
  <c r="C34"/>
  <c r="AO31"/>
  <c r="AP31"/>
  <c r="AQ31"/>
  <c r="B214"/>
  <c r="D61"/>
  <c r="E61"/>
  <c r="E58"/>
  <c r="B18"/>
  <c r="N15"/>
  <c r="R15"/>
  <c r="S15"/>
  <c r="D15"/>
  <c r="O15"/>
  <c r="T15"/>
  <c r="U15"/>
  <c r="D77"/>
  <c r="E74"/>
  <c r="E137"/>
  <c r="M118"/>
  <c r="P12" i="2"/>
  <c r="E169" i="22"/>
  <c r="M117"/>
  <c r="M136"/>
  <c r="M10" i="2"/>
  <c r="N12"/>
  <c r="A14"/>
  <c r="D13"/>
  <c r="I13"/>
  <c r="M13"/>
  <c r="P13"/>
  <c r="V13" s="1"/>
  <c r="E13"/>
  <c r="J13"/>
  <c r="C13"/>
  <c r="H13"/>
  <c r="C8"/>
  <c r="C10"/>
  <c r="H10"/>
  <c r="C11"/>
  <c r="H11"/>
  <c r="T10"/>
  <c r="R10"/>
  <c r="P10"/>
  <c r="AB10" s="1"/>
  <c r="T12"/>
  <c r="Q12"/>
  <c r="AH12" s="1"/>
  <c r="M121" i="22"/>
  <c r="M132"/>
  <c r="E62" i="25"/>
  <c r="C61"/>
  <c r="F63"/>
  <c r="D61"/>
  <c r="G60"/>
  <c r="D80" i="22"/>
  <c r="E80"/>
  <c r="E77"/>
  <c r="U18"/>
  <c r="R18"/>
  <c r="T18"/>
  <c r="N18"/>
  <c r="D18"/>
  <c r="O18"/>
  <c r="S18"/>
  <c r="P18"/>
  <c r="AP34"/>
  <c r="AQ34"/>
  <c r="AO34"/>
  <c r="C37"/>
  <c r="F199"/>
  <c r="C141"/>
  <c r="E126"/>
  <c r="C158"/>
  <c r="C129"/>
  <c r="C175"/>
  <c r="E143"/>
  <c r="G167"/>
  <c r="G210"/>
  <c r="F212"/>
  <c r="E60"/>
  <c r="D63"/>
  <c r="E63"/>
  <c r="D111"/>
  <c r="E111"/>
  <c r="E108"/>
  <c r="C171"/>
  <c r="E139"/>
  <c r="C198"/>
  <c r="E198"/>
  <c r="E155"/>
  <c r="D96"/>
  <c r="E96"/>
  <c r="E93"/>
  <c r="C215"/>
  <c r="E215"/>
  <c r="E172"/>
  <c r="AP35"/>
  <c r="AQ35"/>
  <c r="C38"/>
  <c r="AO35"/>
  <c r="C163"/>
  <c r="E131"/>
  <c r="C146"/>
  <c r="G166"/>
  <c r="G209"/>
  <c r="R19"/>
  <c r="U19"/>
  <c r="T19"/>
  <c r="N19"/>
  <c r="D19"/>
  <c r="O19"/>
  <c r="S19"/>
  <c r="P19"/>
  <c r="G192"/>
  <c r="H192"/>
  <c r="D239"/>
  <c r="G149"/>
  <c r="M122"/>
  <c r="H210"/>
  <c r="G150"/>
  <c r="G193"/>
  <c r="H193"/>
  <c r="E239"/>
  <c r="C159"/>
  <c r="E127"/>
  <c r="C130"/>
  <c r="C142"/>
  <c r="F198"/>
  <c r="AP36"/>
  <c r="AQ36"/>
  <c r="AO36"/>
  <c r="C39"/>
  <c r="M125"/>
  <c r="G207"/>
  <c r="H207"/>
  <c r="G164"/>
  <c r="F215"/>
  <c r="C203"/>
  <c r="E203"/>
  <c r="E160"/>
  <c r="D79"/>
  <c r="E79"/>
  <c r="E76"/>
  <c r="C199"/>
  <c r="C170"/>
  <c r="E138"/>
  <c r="F203"/>
  <c r="G151"/>
  <c r="G194"/>
  <c r="H194"/>
  <c r="F239"/>
  <c r="G195"/>
  <c r="H195"/>
  <c r="D240"/>
  <c r="G152"/>
  <c r="G211"/>
  <c r="H211"/>
  <c r="G168"/>
  <c r="M120"/>
  <c r="M133"/>
  <c r="M134"/>
  <c r="M135"/>
  <c r="G197"/>
  <c r="H197"/>
  <c r="F240"/>
  <c r="G154"/>
  <c r="H209"/>
  <c r="N11" i="2"/>
  <c r="B12"/>
  <c r="G12"/>
  <c r="B11"/>
  <c r="G11"/>
  <c r="B10"/>
  <c r="G10"/>
  <c r="B8"/>
  <c r="N10"/>
  <c r="X10"/>
  <c r="N13"/>
  <c r="A15"/>
  <c r="B14"/>
  <c r="G14"/>
  <c r="D14"/>
  <c r="I14"/>
  <c r="C14"/>
  <c r="H14"/>
  <c r="E14"/>
  <c r="J14"/>
  <c r="B13"/>
  <c r="G13"/>
  <c r="X13"/>
  <c r="AD10"/>
  <c r="AE10"/>
  <c r="G61" i="25"/>
  <c r="D62"/>
  <c r="F64"/>
  <c r="E63"/>
  <c r="C62"/>
  <c r="C145" i="22"/>
  <c r="E130"/>
  <c r="C162"/>
  <c r="C213"/>
  <c r="E213"/>
  <c r="E170"/>
  <c r="M164"/>
  <c r="F202"/>
  <c r="C206"/>
  <c r="E206"/>
  <c r="E163"/>
  <c r="C214"/>
  <c r="E214"/>
  <c r="E171"/>
  <c r="C218"/>
  <c r="E218"/>
  <c r="E175"/>
  <c r="C161"/>
  <c r="E129"/>
  <c r="C144"/>
  <c r="G200"/>
  <c r="H200"/>
  <c r="G157"/>
  <c r="F213"/>
  <c r="G212"/>
  <c r="H212"/>
  <c r="G169"/>
  <c r="F218"/>
  <c r="C173"/>
  <c r="E141"/>
  <c r="G208"/>
  <c r="H208"/>
  <c r="G165"/>
  <c r="E142"/>
  <c r="C174"/>
  <c r="C178"/>
  <c r="E146"/>
  <c r="AP38"/>
  <c r="AQ38"/>
  <c r="AO38"/>
  <c r="F201"/>
  <c r="M128"/>
  <c r="G196"/>
  <c r="H196"/>
  <c r="E240"/>
  <c r="G153"/>
  <c r="F206"/>
  <c r="F214"/>
  <c r="H63"/>
  <c r="AP39"/>
  <c r="AQ39"/>
  <c r="AO39"/>
  <c r="C202"/>
  <c r="E202"/>
  <c r="E159"/>
  <c r="C201"/>
  <c r="E201"/>
  <c r="E158"/>
  <c r="AP37"/>
  <c r="AQ37"/>
  <c r="AO37"/>
  <c r="H72"/>
  <c r="M140"/>
  <c r="M137"/>
  <c r="M124"/>
  <c r="N14" i="2"/>
  <c r="A16"/>
  <c r="B15"/>
  <c r="G15"/>
  <c r="C15"/>
  <c r="H15"/>
  <c r="D15"/>
  <c r="I15"/>
  <c r="M15"/>
  <c r="E15"/>
  <c r="J15"/>
  <c r="O12"/>
  <c r="O14"/>
  <c r="O11"/>
  <c r="O13"/>
  <c r="O10"/>
  <c r="M14"/>
  <c r="R15"/>
  <c r="P15"/>
  <c r="V15" s="1"/>
  <c r="Q15"/>
  <c r="AG15" s="1"/>
  <c r="P14"/>
  <c r="V14" s="1"/>
  <c r="R14"/>
  <c r="T14" s="1"/>
  <c r="Q14"/>
  <c r="AG14" s="1"/>
  <c r="H110" i="22"/>
  <c r="H91"/>
  <c r="H74"/>
  <c r="M131"/>
  <c r="H108"/>
  <c r="M143"/>
  <c r="M123"/>
  <c r="M166"/>
  <c r="E64" i="25"/>
  <c r="C63"/>
  <c r="F65"/>
  <c r="D63"/>
  <c r="G62"/>
  <c r="C221" i="22"/>
  <c r="E221"/>
  <c r="E178"/>
  <c r="C217"/>
  <c r="E217"/>
  <c r="E174"/>
  <c r="C216"/>
  <c r="E216"/>
  <c r="E173"/>
  <c r="M157"/>
  <c r="F204"/>
  <c r="F205"/>
  <c r="G155"/>
  <c r="G198"/>
  <c r="H198"/>
  <c r="D241"/>
  <c r="F221"/>
  <c r="F216"/>
  <c r="C176"/>
  <c r="E144"/>
  <c r="C205"/>
  <c r="E205"/>
  <c r="E162"/>
  <c r="H106"/>
  <c r="H52"/>
  <c r="H111"/>
  <c r="H49"/>
  <c r="H77"/>
  <c r="H85"/>
  <c r="H99"/>
  <c r="M151"/>
  <c r="M154"/>
  <c r="M167"/>
  <c r="M149"/>
  <c r="M127"/>
  <c r="H100"/>
  <c r="G203"/>
  <c r="H203"/>
  <c r="G160"/>
  <c r="H76"/>
  <c r="H81"/>
  <c r="H102"/>
  <c r="H67"/>
  <c r="H101"/>
  <c r="H86"/>
  <c r="H97"/>
  <c r="H87"/>
  <c r="H68"/>
  <c r="H103"/>
  <c r="H88"/>
  <c r="H69"/>
  <c r="H83"/>
  <c r="H92"/>
  <c r="H84"/>
  <c r="H71"/>
  <c r="H78"/>
  <c r="H70"/>
  <c r="H98"/>
  <c r="H95"/>
  <c r="H104"/>
  <c r="G199"/>
  <c r="H199"/>
  <c r="G156"/>
  <c r="M153"/>
  <c r="H60"/>
  <c r="H54"/>
  <c r="H56"/>
  <c r="H55"/>
  <c r="H50"/>
  <c r="H53"/>
  <c r="H62"/>
  <c r="H51"/>
  <c r="H109"/>
  <c r="H82"/>
  <c r="H94"/>
  <c r="H73"/>
  <c r="M152"/>
  <c r="H93"/>
  <c r="M168"/>
  <c r="H57"/>
  <c r="M126"/>
  <c r="H105"/>
  <c r="H61"/>
  <c r="H96"/>
  <c r="M150"/>
  <c r="G215"/>
  <c r="H215"/>
  <c r="G172"/>
  <c r="O29"/>
  <c r="F217"/>
  <c r="C204"/>
  <c r="E204"/>
  <c r="E161"/>
  <c r="C177"/>
  <c r="E145"/>
  <c r="H90"/>
  <c r="H89"/>
  <c r="H75"/>
  <c r="H79"/>
  <c r="H107"/>
  <c r="H59"/>
  <c r="H80"/>
  <c r="M138"/>
  <c r="H58"/>
  <c r="AR11" i="2"/>
  <c r="AS11"/>
  <c r="AR10"/>
  <c r="AS10"/>
  <c r="AR14"/>
  <c r="AS14"/>
  <c r="A17"/>
  <c r="B16"/>
  <c r="G16"/>
  <c r="C16"/>
  <c r="H16"/>
  <c r="D16"/>
  <c r="I16"/>
  <c r="M16"/>
  <c r="E16"/>
  <c r="J16"/>
  <c r="O15"/>
  <c r="N15"/>
  <c r="AR13"/>
  <c r="AS13"/>
  <c r="AR12"/>
  <c r="AS12"/>
  <c r="T16"/>
  <c r="P16"/>
  <c r="R16"/>
  <c r="Q16"/>
  <c r="AH16" s="1"/>
  <c r="X15"/>
  <c r="X24" s="1"/>
  <c r="AH15"/>
  <c r="M32" i="22"/>
  <c r="M142"/>
  <c r="O38"/>
  <c r="M169"/>
  <c r="M165"/>
  <c r="M34"/>
  <c r="G63" i="25"/>
  <c r="D64"/>
  <c r="F66"/>
  <c r="E65"/>
  <c r="C64"/>
  <c r="N29" i="22"/>
  <c r="M139"/>
  <c r="O27"/>
  <c r="N30"/>
  <c r="C220"/>
  <c r="E220"/>
  <c r="E177"/>
  <c r="O39"/>
  <c r="O28"/>
  <c r="C219"/>
  <c r="E219"/>
  <c r="E176"/>
  <c r="G171"/>
  <c r="G214"/>
  <c r="H214"/>
  <c r="N37"/>
  <c r="M31"/>
  <c r="M35"/>
  <c r="O30"/>
  <c r="O34"/>
  <c r="N31"/>
  <c r="N32"/>
  <c r="O35"/>
  <c r="N34"/>
  <c r="M141"/>
  <c r="N39"/>
  <c r="O37"/>
  <c r="G163"/>
  <c r="G206"/>
  <c r="H206"/>
  <c r="F220"/>
  <c r="H117"/>
  <c r="F219"/>
  <c r="M37"/>
  <c r="O32"/>
  <c r="M33"/>
  <c r="O31"/>
  <c r="N28"/>
  <c r="N25"/>
  <c r="O33"/>
  <c r="H128"/>
  <c r="H118"/>
  <c r="O36"/>
  <c r="N27"/>
  <c r="O26"/>
  <c r="M30"/>
  <c r="N35"/>
  <c r="N33"/>
  <c r="N36"/>
  <c r="M130"/>
  <c r="M38"/>
  <c r="M25"/>
  <c r="G159"/>
  <c r="G202"/>
  <c r="H202"/>
  <c r="G213"/>
  <c r="H213"/>
  <c r="G170"/>
  <c r="G175"/>
  <c r="G218"/>
  <c r="H218"/>
  <c r="G158"/>
  <c r="G201"/>
  <c r="H201"/>
  <c r="M27"/>
  <c r="M36"/>
  <c r="H142"/>
  <c r="M39"/>
  <c r="N26"/>
  <c r="H143"/>
  <c r="O25"/>
  <c r="M28"/>
  <c r="N38"/>
  <c r="M29"/>
  <c r="H126"/>
  <c r="M129"/>
  <c r="M26"/>
  <c r="N16" i="2"/>
  <c r="A18"/>
  <c r="B17"/>
  <c r="G17"/>
  <c r="C17"/>
  <c r="H17"/>
  <c r="D17"/>
  <c r="I17"/>
  <c r="E17"/>
  <c r="J17"/>
  <c r="Y14"/>
  <c r="AR15"/>
  <c r="AS15"/>
  <c r="O16"/>
  <c r="X16"/>
  <c r="H139" i="22"/>
  <c r="H137"/>
  <c r="H123"/>
  <c r="M172"/>
  <c r="H133"/>
  <c r="H121"/>
  <c r="M155"/>
  <c r="H130"/>
  <c r="M156"/>
  <c r="E66" i="25"/>
  <c r="C65"/>
  <c r="D65"/>
  <c r="G64"/>
  <c r="H144" i="22"/>
  <c r="H127"/>
  <c r="M163"/>
  <c r="G204"/>
  <c r="H204"/>
  <c r="G161"/>
  <c r="H145"/>
  <c r="H120"/>
  <c r="H124"/>
  <c r="G221"/>
  <c r="H221"/>
  <c r="G178"/>
  <c r="M146"/>
  <c r="H146"/>
  <c r="G174"/>
  <c r="G217"/>
  <c r="H217"/>
  <c r="M175"/>
  <c r="G216"/>
  <c r="H216"/>
  <c r="G173"/>
  <c r="M171"/>
  <c r="G205"/>
  <c r="H205"/>
  <c r="G162"/>
  <c r="M160"/>
  <c r="H136"/>
  <c r="H122"/>
  <c r="H140"/>
  <c r="H129"/>
  <c r="H134"/>
  <c r="H141"/>
  <c r="H119"/>
  <c r="M159"/>
  <c r="H135"/>
  <c r="H132"/>
  <c r="H125"/>
  <c r="H131"/>
  <c r="H138"/>
  <c r="A19" i="2"/>
  <c r="B18"/>
  <c r="G18"/>
  <c r="C18"/>
  <c r="H18"/>
  <c r="D18"/>
  <c r="I18"/>
  <c r="M18"/>
  <c r="E18"/>
  <c r="J18"/>
  <c r="AR16"/>
  <c r="AS16"/>
  <c r="O17"/>
  <c r="N17"/>
  <c r="M17"/>
  <c r="T17"/>
  <c r="P17"/>
  <c r="Q17"/>
  <c r="AH17" s="1"/>
  <c r="R17"/>
  <c r="T18"/>
  <c r="Q18"/>
  <c r="R18"/>
  <c r="P18"/>
  <c r="G65" i="25"/>
  <c r="D66"/>
  <c r="C66"/>
  <c r="M174" i="22"/>
  <c r="M144"/>
  <c r="G219"/>
  <c r="H219"/>
  <c r="G176"/>
  <c r="M158"/>
  <c r="M170"/>
  <c r="M173"/>
  <c r="M145"/>
  <c r="G220"/>
  <c r="H220"/>
  <c r="G177"/>
  <c r="N18" i="2"/>
  <c r="A20"/>
  <c r="B19"/>
  <c r="G19"/>
  <c r="C19"/>
  <c r="H19"/>
  <c r="D19"/>
  <c r="I19"/>
  <c r="E19"/>
  <c r="J19"/>
  <c r="AR17"/>
  <c r="AS17"/>
  <c r="O18"/>
  <c r="AH18"/>
  <c r="AG18"/>
  <c r="M178" i="22"/>
  <c r="G66" i="25"/>
  <c r="M177" i="22"/>
  <c r="M162"/>
  <c r="M176"/>
  <c r="M161"/>
  <c r="A21" i="2"/>
  <c r="B20"/>
  <c r="G20"/>
  <c r="E20"/>
  <c r="J20"/>
  <c r="C20"/>
  <c r="H20"/>
  <c r="D20"/>
  <c r="I20"/>
  <c r="M20"/>
  <c r="N19"/>
  <c r="O19"/>
  <c r="AR18"/>
  <c r="AS18"/>
  <c r="M19"/>
  <c r="T19"/>
  <c r="P19"/>
  <c r="AB19" s="1"/>
  <c r="Q19"/>
  <c r="AH19" s="1"/>
  <c r="R19"/>
  <c r="X19"/>
  <c r="T20"/>
  <c r="P20"/>
  <c r="Q20"/>
  <c r="AH20" s="1"/>
  <c r="R20"/>
  <c r="A22"/>
  <c r="E21"/>
  <c r="J21"/>
  <c r="B21"/>
  <c r="G21"/>
  <c r="C21"/>
  <c r="H21"/>
  <c r="D21"/>
  <c r="I21"/>
  <c r="O20"/>
  <c r="AR19"/>
  <c r="AS19"/>
  <c r="N20"/>
  <c r="AR20"/>
  <c r="AS20"/>
  <c r="A23"/>
  <c r="B22"/>
  <c r="G22"/>
  <c r="C22"/>
  <c r="H22"/>
  <c r="E22"/>
  <c r="J22"/>
  <c r="D22"/>
  <c r="I22"/>
  <c r="M21"/>
  <c r="O21"/>
  <c r="N21"/>
  <c r="T21"/>
  <c r="P21"/>
  <c r="AB21" s="1"/>
  <c r="Q21"/>
  <c r="AH21" s="1"/>
  <c r="R21"/>
  <c r="M22"/>
  <c r="A24"/>
  <c r="C23"/>
  <c r="H23"/>
  <c r="D23"/>
  <c r="I23"/>
  <c r="M23"/>
  <c r="E23"/>
  <c r="J23"/>
  <c r="B23"/>
  <c r="G23"/>
  <c r="AR21"/>
  <c r="AS21"/>
  <c r="N22"/>
  <c r="O22"/>
  <c r="T22"/>
  <c r="P22"/>
  <c r="Q22"/>
  <c r="AG22" s="1"/>
  <c r="R22"/>
  <c r="T23"/>
  <c r="P23"/>
  <c r="AB23" s="1"/>
  <c r="Q23"/>
  <c r="AG23" s="1"/>
  <c r="R23"/>
  <c r="Y23" s="1"/>
  <c r="O23"/>
  <c r="B24"/>
  <c r="G24"/>
  <c r="C24"/>
  <c r="H24"/>
  <c r="D24"/>
  <c r="I24"/>
  <c r="M24"/>
  <c r="E24"/>
  <c r="J24"/>
  <c r="N23"/>
  <c r="AR22"/>
  <c r="AS22"/>
  <c r="T24"/>
  <c r="P24"/>
  <c r="Q24"/>
  <c r="AG24" s="1"/>
  <c r="R24"/>
  <c r="O24"/>
  <c r="AR23"/>
  <c r="AS23"/>
  <c r="N24"/>
  <c r="AR24"/>
  <c r="AS24"/>
  <c r="AT25" l="1"/>
  <c r="BF25"/>
  <c r="BA25"/>
  <c r="AZ25"/>
  <c r="AV25"/>
  <c r="AU25"/>
  <c r="AL26"/>
  <c r="AM26" s="1"/>
  <c r="AN26" s="1"/>
  <c r="AG29"/>
  <c r="AH29"/>
  <c r="AE31"/>
  <c r="O31"/>
  <c r="AD31"/>
  <c r="Y29"/>
  <c r="AK29" s="1"/>
  <c r="T29"/>
  <c r="AJ29" s="1"/>
  <c r="AA31"/>
  <c r="AB31" s="1"/>
  <c r="N31"/>
  <c r="M31"/>
  <c r="Q30"/>
  <c r="R30"/>
  <c r="D32"/>
  <c r="I32" s="1"/>
  <c r="A33"/>
  <c r="E32"/>
  <c r="J32" s="1"/>
  <c r="B32"/>
  <c r="G32" s="1"/>
  <c r="C32"/>
  <c r="H32" s="1"/>
  <c r="AL28"/>
  <c r="AM28" s="1"/>
  <c r="AR30"/>
  <c r="AS30"/>
  <c r="Z30"/>
  <c r="X30"/>
  <c r="AB20"/>
  <c r="AJ17"/>
  <c r="AH14"/>
  <c r="AB16"/>
  <c r="X12"/>
  <c r="K81" i="24"/>
  <c r="I83"/>
  <c r="J83" s="1"/>
  <c r="K87"/>
  <c r="I75"/>
  <c r="J75" s="1"/>
  <c r="G73"/>
  <c r="H73" s="1"/>
  <c r="K73"/>
  <c r="AJ22" i="2"/>
  <c r="Y19"/>
  <c r="AK19" s="1"/>
  <c r="Y16"/>
  <c r="AJ10"/>
  <c r="K86" i="24"/>
  <c r="I87"/>
  <c r="J87" s="1"/>
  <c r="AB17" i="2"/>
  <c r="Y24"/>
  <c r="AB22"/>
  <c r="Y20"/>
  <c r="AJ18"/>
  <c r="C19" i="30"/>
  <c r="AJ24" i="2"/>
  <c r="AG19"/>
  <c r="AK20"/>
  <c r="AG12"/>
  <c r="AH10"/>
  <c r="AJ21"/>
  <c r="AJ19"/>
  <c r="E156" i="22"/>
  <c r="AJ13" i="2"/>
  <c r="AH11"/>
  <c r="E241" i="22"/>
  <c r="D244"/>
  <c r="E245"/>
  <c r="F247"/>
  <c r="D242"/>
  <c r="D247"/>
  <c r="D246"/>
  <c r="F243"/>
  <c r="E244"/>
  <c r="E247"/>
  <c r="F248"/>
  <c r="F241"/>
  <c r="F242"/>
  <c r="F245"/>
  <c r="D245"/>
  <c r="F244"/>
  <c r="D243"/>
  <c r="E248"/>
  <c r="D248"/>
  <c r="E243"/>
  <c r="F246"/>
  <c r="E242"/>
  <c r="E246"/>
  <c r="AJ20" i="2"/>
  <c r="AL20" s="1"/>
  <c r="AM20" s="1"/>
  <c r="AB14"/>
  <c r="AG21"/>
  <c r="AB24"/>
  <c r="AK24"/>
  <c r="AL24" s="1"/>
  <c r="AM24" s="1"/>
  <c r="AN24" s="1"/>
  <c r="AJ16"/>
  <c r="AB18"/>
  <c r="AH22"/>
  <c r="AK14"/>
  <c r="AL14" s="1"/>
  <c r="AM14" s="1"/>
  <c r="AJ14"/>
  <c r="Y21"/>
  <c r="AK21" s="1"/>
  <c r="AG20"/>
  <c r="AJ11"/>
  <c r="AB11"/>
  <c r="AK23"/>
  <c r="AJ23"/>
  <c r="AL23" s="1"/>
  <c r="AM23" s="1"/>
  <c r="AN23" s="1"/>
  <c r="AG16"/>
  <c r="AK16"/>
  <c r="AL16" s="1"/>
  <c r="AM16" s="1"/>
  <c r="AK10"/>
  <c r="AL10" s="1"/>
  <c r="AM10" s="1"/>
  <c r="AJ12"/>
  <c r="AH24"/>
  <c r="AB13"/>
  <c r="G76" i="24"/>
  <c r="H76" s="1"/>
  <c r="I76"/>
  <c r="J76" s="1"/>
  <c r="X22" i="2"/>
  <c r="Y22" s="1"/>
  <c r="AK22" s="1"/>
  <c r="AL22" s="1"/>
  <c r="AM22" s="1"/>
  <c r="Y12"/>
  <c r="AK12" s="1"/>
  <c r="G74" i="24"/>
  <c r="H74" s="1"/>
  <c r="I74"/>
  <c r="J74" s="1"/>
  <c r="I101"/>
  <c r="J101" s="1"/>
  <c r="K101"/>
  <c r="Y15" i="2"/>
  <c r="AK15" s="1"/>
  <c r="T15"/>
  <c r="AJ15" s="1"/>
  <c r="AH13"/>
  <c r="AG13"/>
  <c r="I79" i="24"/>
  <c r="J79" s="1"/>
  <c r="AL19" i="2"/>
  <c r="AM19" s="1"/>
  <c r="Y17"/>
  <c r="AK17" s="1"/>
  <c r="AL17" s="1"/>
  <c r="AM17" s="1"/>
  <c r="X11"/>
  <c r="Y11" s="1"/>
  <c r="AK11" s="1"/>
  <c r="K95" i="24"/>
  <c r="K76"/>
  <c r="AH23" i="2"/>
  <c r="AG17"/>
  <c r="X18"/>
  <c r="Y18" s="1"/>
  <c r="AK18" s="1"/>
  <c r="AL18" s="1"/>
  <c r="AM18" s="1"/>
  <c r="Y13"/>
  <c r="AK13" s="1"/>
  <c r="AB12"/>
  <c r="G84" i="24"/>
  <c r="H84" s="1"/>
  <c r="K94"/>
  <c r="K85"/>
  <c r="K88"/>
  <c r="I88"/>
  <c r="J88" s="1"/>
  <c r="I78"/>
  <c r="J78" s="1"/>
  <c r="K78"/>
  <c r="K80"/>
  <c r="G80"/>
  <c r="H80" s="1"/>
  <c r="E19" i="30"/>
  <c r="I98" i="24"/>
  <c r="J98" s="1"/>
  <c r="I97"/>
  <c r="J97" s="1"/>
  <c r="I80"/>
  <c r="J80" s="1"/>
  <c r="Z15" i="2"/>
  <c r="G92" i="24"/>
  <c r="H92" s="1"/>
  <c r="K82"/>
  <c r="Z12" i="2"/>
  <c r="K99" i="24"/>
  <c r="I92"/>
  <c r="J92" s="1"/>
  <c r="G78"/>
  <c r="H78" s="1"/>
  <c r="G79"/>
  <c r="H79" s="1"/>
  <c r="Z18" i="2"/>
  <c r="Z16"/>
  <c r="Z14"/>
  <c r="I99" i="24"/>
  <c r="J99" s="1"/>
  <c r="G100"/>
  <c r="H100" s="1"/>
  <c r="I77"/>
  <c r="J77" s="1"/>
  <c r="I89"/>
  <c r="J89" s="1"/>
  <c r="I100"/>
  <c r="J100" s="1"/>
  <c r="K96"/>
  <c r="Z23" i="2"/>
  <c r="Z22"/>
  <c r="Z21"/>
  <c r="Z10"/>
  <c r="K77" i="24"/>
  <c r="K75"/>
  <c r="G94"/>
  <c r="H94" s="1"/>
  <c r="G98"/>
  <c r="H98" s="1"/>
  <c r="I96"/>
  <c r="J96" s="1"/>
  <c r="Z20" i="2"/>
  <c r="Z17"/>
  <c r="Z13"/>
  <c r="G101" i="24"/>
  <c r="H101" s="1"/>
  <c r="Z24" i="2"/>
  <c r="Z11"/>
  <c r="G95" i="24"/>
  <c r="H95" s="1"/>
  <c r="K74"/>
  <c r="G85"/>
  <c r="H85" s="1"/>
  <c r="G102"/>
  <c r="H102" s="1"/>
  <c r="I102"/>
  <c r="J102" s="1"/>
  <c r="AP26" i="2" l="1"/>
  <c r="BF26" s="1"/>
  <c r="AA32"/>
  <c r="AB32" s="1"/>
  <c r="N32"/>
  <c r="V32"/>
  <c r="M32"/>
  <c r="U32" s="1"/>
  <c r="Q31"/>
  <c r="R31"/>
  <c r="AN28"/>
  <c r="AP28"/>
  <c r="Z31"/>
  <c r="X31"/>
  <c r="X33" s="1"/>
  <c r="AE32"/>
  <c r="O32"/>
  <c r="AD32"/>
  <c r="Y30"/>
  <c r="AK30" s="1"/>
  <c r="T30"/>
  <c r="AJ30" s="1"/>
  <c r="T31"/>
  <c r="AJ31" s="1"/>
  <c r="V31"/>
  <c r="X39"/>
  <c r="X27"/>
  <c r="Y27" s="1"/>
  <c r="AK27" s="1"/>
  <c r="D33"/>
  <c r="I33" s="1"/>
  <c r="A34"/>
  <c r="E33"/>
  <c r="J33" s="1"/>
  <c r="B33"/>
  <c r="G33" s="1"/>
  <c r="C33"/>
  <c r="H33" s="1"/>
  <c r="AG30"/>
  <c r="AH30"/>
  <c r="BA26"/>
  <c r="AT26"/>
  <c r="AZ26"/>
  <c r="AV26"/>
  <c r="AU26"/>
  <c r="AR31"/>
  <c r="AS31"/>
  <c r="AL29"/>
  <c r="AM29" s="1"/>
  <c r="U31"/>
  <c r="AL13"/>
  <c r="AM13" s="1"/>
  <c r="AP13" s="1"/>
  <c r="AL21"/>
  <c r="AM21" s="1"/>
  <c r="AN16"/>
  <c r="AP16"/>
  <c r="BF16" s="1"/>
  <c r="AN20"/>
  <c r="AV20" s="1"/>
  <c r="AP20"/>
  <c r="AV24"/>
  <c r="AL15"/>
  <c r="AM15" s="1"/>
  <c r="AN15" s="1"/>
  <c r="AV15" s="1"/>
  <c r="AP24"/>
  <c r="AV16"/>
  <c r="AP23"/>
  <c r="BF23" s="1"/>
  <c r="AV23"/>
  <c r="AL11"/>
  <c r="AM11" s="1"/>
  <c r="AN11" s="1"/>
  <c r="AV11" s="1"/>
  <c r="AL12"/>
  <c r="AM12" s="1"/>
  <c r="AP12" s="1"/>
  <c r="AN18"/>
  <c r="AP18"/>
  <c r="AP11"/>
  <c r="AN13"/>
  <c r="AT24"/>
  <c r="BA24"/>
  <c r="BF24"/>
  <c r="AU24"/>
  <c r="AZ24"/>
  <c r="AN17"/>
  <c r="AV17" s="1"/>
  <c r="AP17"/>
  <c r="AP19"/>
  <c r="AN19"/>
  <c r="AZ16"/>
  <c r="AU16"/>
  <c r="BA16"/>
  <c r="AT16"/>
  <c r="AT23"/>
  <c r="BA23"/>
  <c r="AZ23"/>
  <c r="AU23"/>
  <c r="AN14"/>
  <c r="AV14" s="1"/>
  <c r="AP14"/>
  <c r="AP10"/>
  <c r="AN10"/>
  <c r="AP22"/>
  <c r="AN22"/>
  <c r="AV22" s="1"/>
  <c r="T32" l="1"/>
  <c r="AJ32" s="1"/>
  <c r="AL27"/>
  <c r="AM27" s="1"/>
  <c r="AP29"/>
  <c r="AN29"/>
  <c r="AE33"/>
  <c r="O33"/>
  <c r="AD33"/>
  <c r="AN27"/>
  <c r="AP27"/>
  <c r="AR32"/>
  <c r="AS32"/>
  <c r="Z32"/>
  <c r="X32"/>
  <c r="AA33"/>
  <c r="AB33" s="1"/>
  <c r="N33"/>
  <c r="Z33" s="1"/>
  <c r="U33"/>
  <c r="V33"/>
  <c r="M33"/>
  <c r="T33" s="1"/>
  <c r="AJ33" s="1"/>
  <c r="D34"/>
  <c r="I34" s="1"/>
  <c r="A35"/>
  <c r="E34"/>
  <c r="J34" s="1"/>
  <c r="B34"/>
  <c r="G34" s="1"/>
  <c r="C34"/>
  <c r="H34" s="1"/>
  <c r="BA28"/>
  <c r="AT28"/>
  <c r="AZ28"/>
  <c r="AU28"/>
  <c r="AV28"/>
  <c r="BF28"/>
  <c r="Q32"/>
  <c r="R32"/>
  <c r="AL30"/>
  <c r="AM30" s="1"/>
  <c r="AG31"/>
  <c r="AH31"/>
  <c r="Y31"/>
  <c r="AK31" s="1"/>
  <c r="AN12"/>
  <c r="AZ12" s="1"/>
  <c r="AU20"/>
  <c r="AP21"/>
  <c r="AN21"/>
  <c r="BF20"/>
  <c r="BA20"/>
  <c r="AP15"/>
  <c r="BF15" s="1"/>
  <c r="AT20"/>
  <c r="AZ20"/>
  <c r="BA12"/>
  <c r="AT12"/>
  <c r="BA10"/>
  <c r="BF10"/>
  <c r="AT10"/>
  <c r="AU10"/>
  <c r="AZ10"/>
  <c r="BF14"/>
  <c r="AU14"/>
  <c r="BA14"/>
  <c r="AT14"/>
  <c r="AZ14"/>
  <c r="AZ13"/>
  <c r="BF13"/>
  <c r="BA13"/>
  <c r="AT13"/>
  <c r="AU13"/>
  <c r="AZ18"/>
  <c r="BF18"/>
  <c r="AT18"/>
  <c r="AU18"/>
  <c r="BA18"/>
  <c r="AT19"/>
  <c r="BF19"/>
  <c r="BA19"/>
  <c r="AU19"/>
  <c r="AV19"/>
  <c r="AZ19"/>
  <c r="AZ17"/>
  <c r="AU17"/>
  <c r="BA17"/>
  <c r="BF17"/>
  <c r="AT17"/>
  <c r="AV10"/>
  <c r="AU22"/>
  <c r="BA22"/>
  <c r="BF22"/>
  <c r="AT22"/>
  <c r="AZ22"/>
  <c r="AZ15"/>
  <c r="AU15"/>
  <c r="AT15"/>
  <c r="BA15"/>
  <c r="BF11"/>
  <c r="BA11"/>
  <c r="AU11"/>
  <c r="AZ11"/>
  <c r="AT11"/>
  <c r="AV13"/>
  <c r="AV18"/>
  <c r="AL31" l="1"/>
  <c r="AM31" s="1"/>
  <c r="Y32"/>
  <c r="AK32" s="1"/>
  <c r="AP31"/>
  <c r="AN31"/>
  <c r="AA34"/>
  <c r="AB34" s="1"/>
  <c r="N34"/>
  <c r="M34"/>
  <c r="V34" s="1"/>
  <c r="BA27"/>
  <c r="AT27"/>
  <c r="AU27"/>
  <c r="AV27"/>
  <c r="AZ27"/>
  <c r="BF27"/>
  <c r="AP30"/>
  <c r="AN30"/>
  <c r="D35"/>
  <c r="I35" s="1"/>
  <c r="A36"/>
  <c r="E35"/>
  <c r="J35" s="1"/>
  <c r="B35"/>
  <c r="G35" s="1"/>
  <c r="C35"/>
  <c r="H35" s="1"/>
  <c r="AG32"/>
  <c r="AH32"/>
  <c r="AE34"/>
  <c r="O34"/>
  <c r="AD34"/>
  <c r="BF29"/>
  <c r="AU29"/>
  <c r="AV29"/>
  <c r="AT29"/>
  <c r="AZ29"/>
  <c r="BA29"/>
  <c r="Q33"/>
  <c r="R33"/>
  <c r="Y33" s="1"/>
  <c r="AK33" s="1"/>
  <c r="AR33"/>
  <c r="AS33"/>
  <c r="AT21"/>
  <c r="AV21"/>
  <c r="BA21"/>
  <c r="BF21"/>
  <c r="AU21"/>
  <c r="AZ21"/>
  <c r="BF12"/>
  <c r="AV12"/>
  <c r="AU12"/>
  <c r="AL33" l="1"/>
  <c r="AM33" s="1"/>
  <c r="AL32"/>
  <c r="AM32" s="1"/>
  <c r="AN32" s="1"/>
  <c r="AU32" s="1"/>
  <c r="AE35"/>
  <c r="O35"/>
  <c r="AD35"/>
  <c r="BF30"/>
  <c r="AU30"/>
  <c r="AV30"/>
  <c r="BA30"/>
  <c r="AT30"/>
  <c r="AZ30"/>
  <c r="Z34"/>
  <c r="X34"/>
  <c r="AR34"/>
  <c r="AS34"/>
  <c r="V35"/>
  <c r="M35"/>
  <c r="D36"/>
  <c r="I36" s="1"/>
  <c r="A37"/>
  <c r="E36"/>
  <c r="J36" s="1"/>
  <c r="B36"/>
  <c r="G36" s="1"/>
  <c r="C36"/>
  <c r="H36" s="1"/>
  <c r="BF31"/>
  <c r="AU31"/>
  <c r="AV31"/>
  <c r="AZ31"/>
  <c r="AT31"/>
  <c r="BA31"/>
  <c r="T34"/>
  <c r="AJ34" s="1"/>
  <c r="Q34"/>
  <c r="R34"/>
  <c r="Y34" s="1"/>
  <c r="AK34" s="1"/>
  <c r="AZ32"/>
  <c r="AG33"/>
  <c r="AN33" s="1"/>
  <c r="AH33"/>
  <c r="AP33" s="1"/>
  <c r="AA35"/>
  <c r="AB35" s="1"/>
  <c r="N35"/>
  <c r="U34"/>
  <c r="AV32" l="1"/>
  <c r="BA32"/>
  <c r="BF32"/>
  <c r="AT32"/>
  <c r="AP32"/>
  <c r="BF33"/>
  <c r="AU33"/>
  <c r="AV33"/>
  <c r="BA33"/>
  <c r="AT33"/>
  <c r="AZ33"/>
  <c r="Z35"/>
  <c r="X35"/>
  <c r="D37"/>
  <c r="I37" s="1"/>
  <c r="A38"/>
  <c r="E37"/>
  <c r="J37" s="1"/>
  <c r="B37"/>
  <c r="G37" s="1"/>
  <c r="C37"/>
  <c r="H37" s="1"/>
  <c r="Q35"/>
  <c r="R35"/>
  <c r="Y35" s="1"/>
  <c r="AK35" s="1"/>
  <c r="AR35"/>
  <c r="AS35"/>
  <c r="AE36"/>
  <c r="O36"/>
  <c r="AD36"/>
  <c r="AG34"/>
  <c r="AH34"/>
  <c r="AA36"/>
  <c r="AB36" s="1"/>
  <c r="N36"/>
  <c r="V36"/>
  <c r="M36"/>
  <c r="AL34"/>
  <c r="AM34" s="1"/>
  <c r="T35"/>
  <c r="AJ35" s="1"/>
  <c r="AL35" s="1"/>
  <c r="AM35" s="1"/>
  <c r="U35"/>
  <c r="AG35" l="1"/>
  <c r="AN35" s="1"/>
  <c r="AH35"/>
  <c r="AP35" s="1"/>
  <c r="D38"/>
  <c r="I38" s="1"/>
  <c r="A39"/>
  <c r="E38"/>
  <c r="J38" s="1"/>
  <c r="B38"/>
  <c r="G38" s="1"/>
  <c r="C38"/>
  <c r="H38" s="1"/>
  <c r="Q36"/>
  <c r="R36"/>
  <c r="AR36"/>
  <c r="AS36"/>
  <c r="Z36"/>
  <c r="X36"/>
  <c r="AP34"/>
  <c r="AN34"/>
  <c r="AA37"/>
  <c r="AB37" s="1"/>
  <c r="N37"/>
  <c r="Z37" s="1"/>
  <c r="U37"/>
  <c r="V37"/>
  <c r="M37"/>
  <c r="T37"/>
  <c r="AJ37" s="1"/>
  <c r="T36"/>
  <c r="AJ36" s="1"/>
  <c r="U36"/>
  <c r="AE37"/>
  <c r="O37"/>
  <c r="AD37"/>
  <c r="BF35" l="1"/>
  <c r="AU35"/>
  <c r="AV35"/>
  <c r="AZ35"/>
  <c r="BA35"/>
  <c r="AT35"/>
  <c r="BF34"/>
  <c r="AU34"/>
  <c r="AV34"/>
  <c r="AT34"/>
  <c r="AZ34"/>
  <c r="BA34"/>
  <c r="AA38"/>
  <c r="AB38" s="1"/>
  <c r="N38"/>
  <c r="Z38" s="1"/>
  <c r="V38"/>
  <c r="M38"/>
  <c r="T38"/>
  <c r="AJ38" s="1"/>
  <c r="Q37"/>
  <c r="R37"/>
  <c r="Y37" s="1"/>
  <c r="AK37" s="1"/>
  <c r="AG36"/>
  <c r="AH36"/>
  <c r="D39"/>
  <c r="I39" s="1"/>
  <c r="E39"/>
  <c r="J39" s="1"/>
  <c r="B39"/>
  <c r="G39" s="1"/>
  <c r="C39"/>
  <c r="H39" s="1"/>
  <c r="AE38"/>
  <c r="O38"/>
  <c r="AD38"/>
  <c r="AR37"/>
  <c r="AS37"/>
  <c r="Y36"/>
  <c r="AK36" s="1"/>
  <c r="AL37" l="1"/>
  <c r="AM37" s="1"/>
  <c r="AL36"/>
  <c r="AM36" s="1"/>
  <c r="AP36"/>
  <c r="AN36"/>
  <c r="AA39"/>
  <c r="AB39" s="1"/>
  <c r="N39"/>
  <c r="Z39" s="1"/>
  <c r="AR38"/>
  <c r="AS38"/>
  <c r="AE39"/>
  <c r="O39"/>
  <c r="AD39"/>
  <c r="Q38"/>
  <c r="R38"/>
  <c r="Y38" s="1"/>
  <c r="AK38" s="1"/>
  <c r="U39"/>
  <c r="M39"/>
  <c r="V39" s="1"/>
  <c r="AG37"/>
  <c r="AN37" s="1"/>
  <c r="AH37"/>
  <c r="AP37" s="1"/>
  <c r="U38"/>
  <c r="T39" l="1"/>
  <c r="AJ39" s="1"/>
  <c r="AL39" s="1"/>
  <c r="AM39" s="1"/>
  <c r="AL38"/>
  <c r="AM38" s="1"/>
  <c r="BF37"/>
  <c r="AU37"/>
  <c r="AV37"/>
  <c r="BA37"/>
  <c r="AT37"/>
  <c r="AZ37"/>
  <c r="AR39"/>
  <c r="AS39"/>
  <c r="Q39"/>
  <c r="R39"/>
  <c r="Y39" s="1"/>
  <c r="AK39" s="1"/>
  <c r="AG38"/>
  <c r="AN38" s="1"/>
  <c r="AH38"/>
  <c r="AP38" s="1"/>
  <c r="BF36"/>
  <c r="AU36"/>
  <c r="AV36"/>
  <c r="AT36"/>
  <c r="AZ36"/>
  <c r="BA36"/>
  <c r="BF38" l="1"/>
  <c r="AU38"/>
  <c r="AV38"/>
  <c r="AZ38"/>
  <c r="AT38"/>
  <c r="BA38"/>
  <c r="AN39"/>
  <c r="AG39"/>
  <c r="AH39"/>
  <c r="AP39" s="1"/>
  <c r="BF39" l="1"/>
  <c r="AU39"/>
  <c r="AV39"/>
  <c r="AT39"/>
  <c r="AZ39"/>
  <c r="BA39"/>
</calcChain>
</file>

<file path=xl/comments1.xml><?xml version="1.0" encoding="utf-8"?>
<comments xmlns="http://schemas.openxmlformats.org/spreadsheetml/2006/main">
  <authors>
    <author xml:space="preserve"> </author>
    <author>Tina Jayaweera</author>
  </authors>
  <commentList>
    <comment ref="AZ8"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BF8"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T9" authorId="1">
      <text>
        <r>
          <rPr>
            <b/>
            <sz val="9"/>
            <color indexed="81"/>
            <rFont val="Tahoma"/>
            <family val="2"/>
          </rPr>
          <t>Tina Jayaweera:</t>
        </r>
        <r>
          <rPr>
            <sz val="9"/>
            <color indexed="81"/>
            <rFont val="Tahoma"/>
            <family val="2"/>
          </rPr>
          <t xml:space="preserve">
If General Purpose, use 45 lm/W baseline. Else use current assumption</t>
        </r>
      </text>
    </comment>
    <comment ref="U9" authorId="1">
      <text>
        <r>
          <rPr>
            <b/>
            <sz val="9"/>
            <color indexed="81"/>
            <rFont val="Tahoma"/>
            <family val="2"/>
          </rPr>
          <t>Tina Jayaweera:</t>
        </r>
        <r>
          <rPr>
            <sz val="9"/>
            <color indexed="81"/>
            <rFont val="Tahoma"/>
            <family val="2"/>
          </rPr>
          <t xml:space="preserve">
Use CFL cost for general purpose, else use rbsa measure mix</t>
        </r>
      </text>
    </comment>
    <comment ref="V9" authorId="1">
      <text>
        <r>
          <rPr>
            <b/>
            <sz val="9"/>
            <color indexed="81"/>
            <rFont val="Tahoma"/>
            <family val="2"/>
          </rPr>
          <t>Tina Jayaweera:</t>
        </r>
        <r>
          <rPr>
            <sz val="9"/>
            <color indexed="81"/>
            <rFont val="Tahoma"/>
            <family val="2"/>
          </rPr>
          <t xml:space="preserve">
For general purpose, use CFL baseline</t>
        </r>
      </text>
    </comment>
    <comment ref="AR9"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AS9"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AT9"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AU9" authorId="0">
      <text>
        <r>
          <rPr>
            <b/>
            <sz val="8"/>
            <color indexed="81"/>
            <rFont val="Tahoma"/>
            <family val="2"/>
          </rPr>
          <t xml:space="preserve"> :ProCost</t>
        </r>
        <r>
          <rPr>
            <sz val="8"/>
            <color indexed="81"/>
            <rFont val="Tahoma"/>
            <family val="2"/>
          </rPr>
          <t xml:space="preserve">
Physical life of the measure in years.  Must be &gt;=1.</t>
        </r>
      </text>
    </comment>
    <comment ref="AV9"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AW9"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AX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AY9"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AZ9"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BA9"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BB9"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BC9"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BD9"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BE9"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BF9" authorId="0">
      <text>
        <r>
          <rPr>
            <b/>
            <sz val="8"/>
            <color indexed="81"/>
            <rFont val="Tahoma"/>
            <family val="2"/>
          </rPr>
          <t xml:space="preserve"> :</t>
        </r>
        <r>
          <rPr>
            <sz val="8"/>
            <color indexed="81"/>
            <rFont val="Tahoma"/>
            <family val="2"/>
          </rPr>
          <t xml:space="preserve">
Annual gas savings, or increases, in therms.</t>
        </r>
      </text>
    </comment>
    <comment ref="BG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P25" authorId="1">
      <text>
        <r>
          <rPr>
            <b/>
            <sz val="9"/>
            <color indexed="81"/>
            <rFont val="Tahoma"/>
            <charset val="1"/>
          </rPr>
          <t>Tina Jayaweera:</t>
        </r>
        <r>
          <rPr>
            <sz val="9"/>
            <color indexed="81"/>
            <rFont val="Tahoma"/>
            <charset val="1"/>
          </rPr>
          <t xml:space="preserve">
reduced by 0.1 from original</t>
        </r>
      </text>
    </comment>
  </commentList>
</comments>
</file>

<file path=xl/sharedStrings.xml><?xml version="1.0" encoding="utf-8"?>
<sst xmlns="http://schemas.openxmlformats.org/spreadsheetml/2006/main" count="1288" uniqueCount="396">
  <si>
    <t>Parameter</t>
  </si>
  <si>
    <t>L</t>
  </si>
  <si>
    <t>X</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</si>
  <si>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</si>
  <si>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</si>
  <si>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</si>
  <si>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</si>
  <si>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</si>
  <si>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</si>
  <si>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</si>
  <si>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</si>
  <si>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</si>
  <si>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</si>
  <si>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</si>
  <si>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</si>
  <si>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</si>
  <si>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</si>
  <si>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</si>
  <si>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</si>
  <si>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</si>
  <si>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</si>
  <si>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Measure</t>
  </si>
  <si>
    <t>Other</t>
  </si>
  <si>
    <t>Total</t>
  </si>
  <si>
    <t>Delivery Mechanism</t>
  </si>
  <si>
    <t>Lamp Type</t>
  </si>
  <si>
    <t>Lumen</t>
  </si>
  <si>
    <t>Retail</t>
  </si>
  <si>
    <t>LED</t>
  </si>
  <si>
    <t>Decorative and Mini-Base</t>
  </si>
  <si>
    <t>250 to 664 lumens</t>
  </si>
  <si>
    <t>Compact Fluorescent</t>
  </si>
  <si>
    <t>General Purpose and Dimmable</t>
  </si>
  <si>
    <t>665 to 1439 lumens</t>
  </si>
  <si>
    <t>Globe</t>
  </si>
  <si>
    <t>1440 to 2600 lumens</t>
  </si>
  <si>
    <t>Reflectors and Outdoor</t>
  </si>
  <si>
    <t>Three-Way</t>
  </si>
  <si>
    <t>Baseline</t>
  </si>
  <si>
    <t>Efficient</t>
  </si>
  <si>
    <t>Storage/Takeback/Removal</t>
  </si>
  <si>
    <t>HVAC</t>
  </si>
  <si>
    <t>Electric Savings</t>
  </si>
  <si>
    <t>Gas Savings</t>
  </si>
  <si>
    <t>Index</t>
  </si>
  <si>
    <t>Efficient Technology</t>
  </si>
  <si>
    <t>Lumen Category</t>
  </si>
  <si>
    <t>Room Type</t>
  </si>
  <si>
    <t>Baseline Lookup Name</t>
  </si>
  <si>
    <t>Efficient Lookup Name</t>
  </si>
  <si>
    <t>Full Measure Name</t>
  </si>
  <si>
    <t>HOU</t>
  </si>
  <si>
    <t>Conditioned %</t>
  </si>
  <si>
    <t>Lumens</t>
  </si>
  <si>
    <t>Watts</t>
  </si>
  <si>
    <t>Lifetime (years)</t>
  </si>
  <si>
    <t>Efficacy</t>
  </si>
  <si>
    <t>Cost</t>
  </si>
  <si>
    <t>Lifetime (Hours)</t>
  </si>
  <si>
    <t>Savings Adjustment</t>
  </si>
  <si>
    <t>Lifetime Adjustment</t>
  </si>
  <si>
    <t>Electric Adjustment</t>
  </si>
  <si>
    <t>Gas (therms per kWh)</t>
  </si>
  <si>
    <t>UEC baseline (kWh)</t>
  </si>
  <si>
    <t>UEC efficient (kWh)</t>
  </si>
  <si>
    <t>Savings - before adjustments (kWh)</t>
  </si>
  <si>
    <t>Savings - adjusted for Storage/Takeback/Removal (kWh)</t>
  </si>
  <si>
    <t>Savings - adjusted for HVAC (kWh)</t>
  </si>
  <si>
    <t>Gas Savings (therms)</t>
  </si>
  <si>
    <t>ANY</t>
  </si>
  <si>
    <t>ResLIGHT</t>
  </si>
  <si>
    <t>ResSHWX</t>
  </si>
  <si>
    <t>Data Availability</t>
  </si>
  <si>
    <t>RBSA (Baseline wattage, HOU, conditioned space)</t>
  </si>
  <si>
    <t>CFLs</t>
  </si>
  <si>
    <t>LEDs</t>
  </si>
  <si>
    <t>RBSA Lookup Name</t>
  </si>
  <si>
    <t>Efficient Lamp Lookup</t>
  </si>
  <si>
    <t>Energy Star QPL (efficacy, lifetime)</t>
  </si>
  <si>
    <t>Simple Steps (cost)</t>
  </si>
  <si>
    <t>Baseline, RBSA Presence</t>
  </si>
  <si>
    <t>NUMBER OF RECORDS</t>
  </si>
  <si>
    <t>LAMP WEIGHT</t>
  </si>
  <si>
    <t>LAMP WEIGHT PERCENTAGE</t>
  </si>
  <si>
    <t>LAMP WATTAGE</t>
  </si>
  <si>
    <t>LAMP COST</t>
  </si>
  <si>
    <t>LAMP HOU</t>
  </si>
  <si>
    <t>LAMP LIFETIME</t>
  </si>
  <si>
    <t>CONDITIONED SPACE PERCENTAGE</t>
  </si>
  <si>
    <t>LOOKUP NAME</t>
  </si>
  <si>
    <t>Lumen Bin</t>
  </si>
  <si>
    <t>Space Type</t>
  </si>
  <si>
    <t>Direct Install</t>
  </si>
  <si>
    <t xml:space="preserve"> </t>
  </si>
  <si>
    <t>Not Direct Install</t>
  </si>
  <si>
    <t>Any</t>
  </si>
  <si>
    <t>RBSA - Non-DI Measures</t>
  </si>
  <si>
    <t>Lookup Name</t>
  </si>
  <si>
    <t>Number of Records</t>
  </si>
  <si>
    <t>Lamp Weight</t>
  </si>
  <si>
    <t>Lamp Weight Percentage</t>
  </si>
  <si>
    <t>Lamp Wattage</t>
  </si>
  <si>
    <t>Lamp Cost</t>
  </si>
  <si>
    <t>Life</t>
  </si>
  <si>
    <t>Conditioned</t>
  </si>
  <si>
    <t>RBSA - DI Measures</t>
  </si>
  <si>
    <t>LookupName</t>
  </si>
  <si>
    <t>Moderate and High-use Interior</t>
  </si>
  <si>
    <t>Low-use Interior</t>
  </si>
  <si>
    <t>Exterior</t>
  </si>
  <si>
    <t>Efficient Case - Simple Steps</t>
  </si>
  <si>
    <t>Tech Type</t>
  </si>
  <si>
    <t>Lamp Lumens</t>
  </si>
  <si>
    <t>Efficient Case - Energy Star QPL</t>
  </si>
  <si>
    <t>Simple Steps</t>
  </si>
  <si>
    <t>Energy Star</t>
  </si>
  <si>
    <t>Either</t>
  </si>
  <si>
    <t>Lookup Names</t>
  </si>
  <si>
    <t>Availability</t>
  </si>
  <si>
    <t>Technology</t>
  </si>
  <si>
    <t>250 to 664 lumens 
(45W eqv)</t>
  </si>
  <si>
    <t>665 to 1439 lumens 
(60 and 75W eqv)</t>
  </si>
  <si>
    <t>1440 to 2600 lumens 
(100W eqv)</t>
  </si>
  <si>
    <t xml:space="preserve">Note: RTF staff discussed this approach with Jason Tuenge on April 22, 2014. Tuenge recommended assuming 70 l/W for all LED categories, because the confidence bands (using the Energy Star QPL) for most lumen categories and lamp types contain this point.  Staff re-reviewed the Energy Star QPL, program data, and products available online, and still thought that there were distinctions in efficacy by product type and lamp type.  The difference in savings by using the efficacies used in the analysis, and using 70 l/W for all LEDs was less than 10% for almost all measure categories. </t>
  </si>
  <si>
    <t>CFL and LED Efficacy, Simple Steps</t>
  </si>
  <si>
    <t>Jason Tuenge, "SSL Pricing and Efficacy Trend Analysis for Utility Program Planning", PNNL 22908, October 2013</t>
  </si>
  <si>
    <t>http://apps1.eere.energy.gov/buildings/publications/pdfs/ssl/ssl_trend-analysis_2013.pdf</t>
  </si>
  <si>
    <t>2014 efficacy</t>
  </si>
  <si>
    <t>Average if both values exist, otherwise, use single value if it exists</t>
  </si>
  <si>
    <t>http://earthled.com/products/switch-switch-3-way-led-light-bulb?utm_source=googlepla&amp;utm_medium=cpc&amp;gclid=CJPS7K3W0r0CFdBqfgodRRAASQ#.U0Ta-_ldWaQ</t>
  </si>
  <si>
    <t>watts</t>
  </si>
  <si>
    <t>lumens</t>
  </si>
  <si>
    <t>efficacy</t>
  </si>
  <si>
    <t>http://www.amazon.com/EcoSmart-10-Watt-3-Way-White-018564/dp/B00GOMFSTG/ref=sr_1_1?ie=UTF8&amp;qid=1397021529&amp;sr=8-1&amp;keywords=led+3+way+bulb</t>
  </si>
  <si>
    <t>Fill in gaps</t>
  </si>
  <si>
    <t>Note: At the April 23, 2014 RTF meeting, the RTF voted to not include UES values for product categories with no products in the Energy Star Qualified Product List or in Programs.</t>
  </si>
  <si>
    <t>http://www.amazon.com/SWITCH-Lighting-A23WY1FUS27A4-R-Classic-Replacement/dp/B00CF6J3EG/ref=sr_1_2?ie=UTF8&amp;qid=1397021529&amp;sr=8-2&amp;keywords=led+3+way+bulb#productDetails</t>
  </si>
  <si>
    <t>[no products]</t>
  </si>
  <si>
    <t>CFL - Use 90% of General Purpose efficacy for Decorative and Globe, 1440 to 2600 lumen categories</t>
  </si>
  <si>
    <t>LED - use PNNL 2014 forecast for the two higher lumen categories</t>
  </si>
  <si>
    <t>LED - for 1440 to 2600 lumen GP and Globe, use existing product specs (~85 l/W)</t>
  </si>
  <si>
    <t>Sources for High-Lumen General Purpose LEDs</t>
  </si>
  <si>
    <t>http://www.homedepot.com/p/Cree-100W-Equivalent-Soft-White-2700K-A21-Dimmable-LED-Light-Bulb-5-Pack-BA21-16027OMF-12DE26-1U100/205083140</t>
  </si>
  <si>
    <t>CFL and LED Efficacy Lookup Table</t>
  </si>
  <si>
    <t>Efficacy (l/W)</t>
  </si>
  <si>
    <t>http://www.homedepot.com/p/Philips-100W-Equivalent-Soft-White-2700K-A21-Household-Dimmable-LED-Light-Bulb-E-424432/203675471</t>
  </si>
  <si>
    <t>Average</t>
  </si>
  <si>
    <t>CFL and LED Costs, Simple Steps</t>
  </si>
  <si>
    <t>Fill in gaps and adjust</t>
  </si>
  <si>
    <t>CFL - use max of existing categories to fill in for missing category</t>
  </si>
  <si>
    <t>CFL Globe - use max of existing categories to fill in for missing category</t>
  </si>
  <si>
    <t>LED - from PNNL, Decorative lamp cost are approximates twice GP lamp costs</t>
  </si>
  <si>
    <t>LED - from PNNL, GP Lamp cost reduces ~25% from 2013 to 2014</t>
  </si>
  <si>
    <t>LED - use current product specs to estimate this cost of GP and Globe in 1440 to 2600 lumen category</t>
  </si>
  <si>
    <t>LED - from PNNL, Reflector lamp cost are approximates 1.5x GP lamp costs</t>
  </si>
  <si>
    <t>LED - assume three-way lamp costs same as reflector</t>
  </si>
  <si>
    <t>Deflator</t>
  </si>
  <si>
    <t>Source: RTF Standard Information Workbook v1.6</t>
  </si>
  <si>
    <t>Use program data to determine how to adjust retail costs to other delivery mechanisms</t>
  </si>
  <si>
    <t>Data on the BPA Simple Steps program, provided by Ryan Crews, Fluid Market Strategies, used for RTF CFL analysis, version 3.0</t>
  </si>
  <si>
    <t>Direct Mail (cost includes material cost of lamps)</t>
  </si>
  <si>
    <t>Program Bulk Purchase</t>
  </si>
  <si>
    <t>Type</t>
  </si>
  <si>
    <t>Watts (Avg)</t>
  </si>
  <si>
    <t>Cost Min</t>
  </si>
  <si>
    <t>Cost Max</t>
  </si>
  <si>
    <t>Cost Avg</t>
  </si>
  <si>
    <t>Retail Cost</t>
  </si>
  <si>
    <t>Bulk/Retail Cost Ratio</t>
  </si>
  <si>
    <t>Install and admin cost</t>
  </si>
  <si>
    <t>product volume</t>
  </si>
  <si>
    <t>Distribution Cost (4 lamp)</t>
  </si>
  <si>
    <t>Distribution Cost (10 lamp)</t>
  </si>
  <si>
    <t>Product Volume</t>
  </si>
  <si>
    <t>Admin fee</t>
  </si>
  <si>
    <t>Spiral</t>
  </si>
  <si>
    <t>13 to 14</t>
  </si>
  <si>
    <t>18 to 20</t>
  </si>
  <si>
    <t>14 to 15</t>
  </si>
  <si>
    <t>Reflector</t>
  </si>
  <si>
    <t>15 to 16</t>
  </si>
  <si>
    <t>Candelabra</t>
  </si>
  <si>
    <t>9 to 11</t>
  </si>
  <si>
    <t>A-Lamp</t>
  </si>
  <si>
    <t>May be an additional lift gate fee of $40 to $75. Shipping typically free.</t>
  </si>
  <si>
    <t>weighted average</t>
  </si>
  <si>
    <t>average cost per lamp - general purpose</t>
  </si>
  <si>
    <t>average admin fee</t>
  </si>
  <si>
    <t>weighted average (2006$)</t>
  </si>
  <si>
    <t>average cost per lamp - specialty</t>
  </si>
  <si>
    <t>2012$ to 2006$ deflator</t>
  </si>
  <si>
    <t>Findings:</t>
  </si>
  <si>
    <t>Bulk CFL costs are this percentage of retail CFL costs</t>
  </si>
  <si>
    <t>Direct install installation and administration adds this much to the lamp cost</t>
  </si>
  <si>
    <t>Mailing adds about this much cost per lamp</t>
  </si>
  <si>
    <t>Administrative fees for give-away programs are approximately this much per lamp</t>
  </si>
  <si>
    <t>Bulk LED costs are not lower than retail LED costs (see ResLightingLED_v3_0.xlsx, sheet "LED Cost")</t>
  </si>
  <si>
    <t>CFL and LED Cost Lookup Table</t>
  </si>
  <si>
    <t>Bulk</t>
  </si>
  <si>
    <t>NEEA Socket Count</t>
  </si>
  <si>
    <t>Mail by Request</t>
  </si>
  <si>
    <t>Unsolicited Mailing</t>
  </si>
  <si>
    <t>Give-Away</t>
  </si>
  <si>
    <t>Data</t>
  </si>
  <si>
    <t>Rated Hours</t>
  </si>
  <si>
    <t>Compact Fluorescent, rated</t>
  </si>
  <si>
    <t>Average Energy Star rating</t>
  </si>
  <si>
    <t>Adjusted for in situ conditions (see below)</t>
  </si>
  <si>
    <t>Halogen</t>
  </si>
  <si>
    <t>EISA minimum</t>
  </si>
  <si>
    <t>Incandescent</t>
  </si>
  <si>
    <t>http://www.energystar.gov/index.cfm?c=cfls.pr_crit_cfls</t>
  </si>
  <si>
    <t>Maximum Lamp Life (years)</t>
  </si>
  <si>
    <t>Restriction for uncertainty in how long long-life lamps persist in sockets (failure, removal)</t>
  </si>
  <si>
    <t>Table 4: Average Normalized CFL Lamp Life for Monitored Lamps, by Location</t>
  </si>
  <si>
    <t>All Homes</t>
  </si>
  <si>
    <t>Single Family Detached</t>
  </si>
  <si>
    <t>N Loggers</t>
  </si>
  <si>
    <t>Low (E)</t>
  </si>
  <si>
    <t>Middle (C1,E)</t>
  </si>
  <si>
    <t>High (C1)</t>
  </si>
  <si>
    <t>All Room Types</t>
  </si>
  <si>
    <t>Bathroom</t>
  </si>
  <si>
    <t>Bedroom</t>
  </si>
  <si>
    <t>Closet</t>
  </si>
  <si>
    <t>Dining Room</t>
  </si>
  <si>
    <t>Family Room</t>
  </si>
  <si>
    <t>Garage</t>
  </si>
  <si>
    <t>Hall</t>
  </si>
  <si>
    <t>Kitchen</t>
  </si>
  <si>
    <t>Laundry Room</t>
  </si>
  <si>
    <t>Living Room</t>
  </si>
  <si>
    <t>Master Bedroom</t>
  </si>
  <si>
    <t>Office</t>
  </si>
  <si>
    <t>* Added room types to match RBSA data</t>
  </si>
  <si>
    <t>Source:</t>
  </si>
  <si>
    <t>Welcome to the Dark Side: The Effect of Switching on CFL Measure Life</t>
  </si>
  <si>
    <t>Corina Jump, Itron, Inc.</t>
  </si>
  <si>
    <t>James J. Hirsch, James J. Hirsch and Associates</t>
  </si>
  <si>
    <t>Jane Peters and Dulane Moran, Research Into Action, Inc.</t>
  </si>
  <si>
    <t>2008 ACEEE Summer Study</t>
  </si>
  <si>
    <t>Measure Lifetime</t>
  </si>
  <si>
    <t>Measure lifetime and role of storage was discussed at the October 15, 2013 RTF meeting.</t>
  </si>
  <si>
    <t xml:space="preserve">The RTF decided that measure life for CFLs should be as defined in the Guidelines, "Measure lifetime is defined as the median number of years during which at least half the deliveries of a measure are in place and operable, i.e., produce savings." (Lifetime Guidelines, Section 1.2.2)
</t>
  </si>
  <si>
    <t xml:space="preserve">Source: Review of Massachusetts tracking data. Lynn Hoefgen et al., 2013, “Study It ‘til You’re Sick of It: CFL Research as an Example of Other Efficiency Markets”, 2013 International Energy Program Evaluation Conference.
</t>
  </si>
  <si>
    <t>Assume that stored lamps get installed in equal quantities after 1,2, and 3 years of receipt.</t>
  </si>
  <si>
    <t>Lamps Installed at Time of Receipt</t>
  </si>
  <si>
    <t>After 1 year</t>
  </si>
  <si>
    <t>After 2 years</t>
  </si>
  <si>
    <t>After 3 years</t>
  </si>
  <si>
    <t>All lamps</t>
  </si>
  <si>
    <t>Year after Purchase</t>
  </si>
  <si>
    <t>Failure Rate</t>
  </si>
  <si>
    <t>Lamps Remaining</t>
  </si>
  <si>
    <t>Storage Rate</t>
  </si>
  <si>
    <t>The net effect of the storage delay is to shift the time to 50% survival from 5.5 to 6 years.</t>
  </si>
  <si>
    <t>Lifetime extension</t>
  </si>
  <si>
    <t>for all measures subject to the 24% storage rate, a 9% lifetime extension is applied.</t>
  </si>
  <si>
    <t>Natural Gas Interaction</t>
  </si>
  <si>
    <t>% SpHtInteraction</t>
  </si>
  <si>
    <t>% GasSpHt Share</t>
  </si>
  <si>
    <t>Gas Heating System Efficiency</t>
  </si>
  <si>
    <t>Interaction</t>
  </si>
  <si>
    <t>conversion (therms/kWh)</t>
  </si>
  <si>
    <t>Interaction (therms/kWh)</t>
  </si>
  <si>
    <t>Interior</t>
  </si>
  <si>
    <t>Weighted Average</t>
  </si>
  <si>
    <t>% Lighting</t>
  </si>
  <si>
    <t>Heating</t>
  </si>
  <si>
    <t>Heating System Type</t>
  </si>
  <si>
    <r>
      <t xml:space="preserve">Ratio: </t>
    </r>
    <r>
      <rPr>
        <u/>
        <sz val="9"/>
        <color theme="1"/>
        <rFont val="Consolas"/>
        <family val="3"/>
      </rPr>
      <t xml:space="preserve">Space Cond. Electric Savings
</t>
    </r>
    <r>
      <rPr>
        <sz val="10"/>
        <rFont val="Arial"/>
        <family val="2"/>
      </rPr>
      <t xml:space="preserve">       Lighting System Savings</t>
    </r>
  </si>
  <si>
    <t>7th Plan (proposed)</t>
  </si>
  <si>
    <t>6th Plan (existing)</t>
  </si>
  <si>
    <t>Weighting (7th Plan)</t>
  </si>
  <si>
    <t>eZon</t>
  </si>
  <si>
    <t>eFAF</t>
  </si>
  <si>
    <t>Hpmp</t>
  </si>
  <si>
    <t>Non-Electric</t>
  </si>
  <si>
    <t>Cooling</t>
  </si>
  <si>
    <t>Cooling Zone</t>
  </si>
  <si>
    <t>Cooling Saturation</t>
  </si>
  <si>
    <t>Weighted and Combined</t>
  </si>
  <si>
    <r>
      <t xml:space="preserve">Ratio: </t>
    </r>
    <r>
      <rPr>
        <u/>
        <sz val="9"/>
        <color theme="1"/>
        <rFont val="Consolas"/>
        <family val="3"/>
      </rPr>
      <t>Space Cond. Electric Savings</t>
    </r>
    <r>
      <rPr>
        <sz val="10"/>
        <rFont val="Arial"/>
        <family val="2"/>
      </rPr>
      <t xml:space="preserve">
       Lighting System Savings</t>
    </r>
  </si>
  <si>
    <t>Combined</t>
  </si>
  <si>
    <t>Interior Only</t>
  </si>
  <si>
    <t>Removal, Takeback, and Storage Rates</t>
  </si>
  <si>
    <t>Removal Rate</t>
  </si>
  <si>
    <t>Takeback Rate</t>
  </si>
  <si>
    <t>Unsolicited Mailing limited to 4 lamps or less per household</t>
  </si>
  <si>
    <t>Removal Rate: 2% for all channels except NEEA Socket Count</t>
  </si>
  <si>
    <t>KEMA, Inc., "ENERGY STAR Consumer Products Program - Market Progress Evaluation Report", prepared for the Northwest Energy Efficiency Alliance, July 2007.  Report #07-174</t>
  </si>
  <si>
    <t>http://neea.org/docs/reports/energy-star-consumer-products-market-progress-evaluation-report-e07-174.pdf?sfvrsn=7</t>
  </si>
  <si>
    <t>This report shows a 4% removal rate, but some of this is due to natural EUL, and some is due to removal prior to failure.  RTF staff assume 1/2 of lamps (i.e., 2% of all lamps) are removed prior to failure.</t>
  </si>
  <si>
    <t>Storage Rate: 24% for all CFL delivery mechanisms except Direct Install and for LED Unsolicited Mailing and Give-Away, 0% for all other delivery channels.</t>
  </si>
  <si>
    <t>Ecotope Inc., "2011 Residential Building Stock Assessment: Single-Family Characteristics and Energy Use", prepared fro the Northwest Energy Efficiency Alliance, September 2012.</t>
  </si>
  <si>
    <t>http://neea.org/docs/default-source/reports/residential-building-stock-assessment-single-family-characteristics-and-energy-use.pdf?sfvrsn=10</t>
  </si>
  <si>
    <t>24% based on the 2012 RBSA single family CFL storage rates. (see Table 84)</t>
  </si>
  <si>
    <t>Storage Rate is used for all CFL delivery mechanisms where the participant is in possession of the lamps before they are installed.  This is based on the findings in the study, which were agnostic to delivery mechanism.  Because LEDs are a more expensive product, they are more likely to be installed when they are obtained.  The storage rate is retained for LEDs for the two delivery mechanisms where the participant is least invested in receiving them: Unsolicited Mailing and Give-Away.</t>
  </si>
  <si>
    <t xml:space="preserve">Takeback Rate: 0% by RTF precedence April 6, 2010 because of a lack of evidence for this phenomenon. </t>
  </si>
  <si>
    <t>DNV KEMA, 2013, "2012-2013 Northwest Residential Lighting Market Tracking Study", for NEEA</t>
  </si>
  <si>
    <t>http://neea.org/docs/default-source/reports/2012-2013-northwest-residential-lighting-market-tracking-study.pdf?sfvrsn=10</t>
  </si>
  <si>
    <t>This report summarizes articles addressing this topic since 2010, and recommends a value of 5%. However, full references to the cited analyses are not provided in the report.</t>
  </si>
  <si>
    <t>An additional data source on CFLs distributed by mail  is:
Research Into Action, 2010, "Lighting Program Assessment: Residential Direct Distribution - Final Report", prepared for BPA</t>
  </si>
  <si>
    <t>http://www.bpa.gov/energy/n/reports/evaluation/pdf/Residential_CFL_Final.pdf</t>
  </si>
  <si>
    <t>Expanded version of Table 3.3, provide by BPA to RTF on 9/19/2011</t>
  </si>
  <si>
    <t>Share of Sample</t>
  </si>
  <si>
    <t>CFLS Shipped per household</t>
  </si>
  <si>
    <t>Number of households</t>
  </si>
  <si>
    <t>Customer request?</t>
  </si>
  <si>
    <t>What was shipped?</t>
  </si>
  <si>
    <t>Reported Installation</t>
  </si>
  <si>
    <t>Installation Rate</t>
  </si>
  <si>
    <t>Utility</t>
  </si>
  <si>
    <t>No Bulbs (Percent)</t>
  </si>
  <si>
    <t>Some Bulbs</t>
  </si>
  <si>
    <t>All Bulbs (Percent)</t>
  </si>
  <si>
    <t>Average Number</t>
  </si>
  <si>
    <t>Current¹ (Percent)</t>
  </si>
  <si>
    <t>Projected² (Percent)</t>
  </si>
  <si>
    <t>(Percent)</t>
  </si>
  <si>
    <t>no</t>
  </si>
  <si>
    <t>All standard twister</t>
  </si>
  <si>
    <t>All standard twisters</t>
  </si>
  <si>
    <t>8 standard twister, 4 specialty</t>
  </si>
  <si>
    <t>8 twisters and 6 specialty</t>
  </si>
  <si>
    <t>10 twisters, 12 specialty.</t>
  </si>
  <si>
    <t>Savings and Lifetime Adjustments</t>
  </si>
  <si>
    <t>(see "Lifetime" sheet for determination of lifetime extension due to storage)</t>
  </si>
  <si>
    <t>Lookup</t>
  </si>
  <si>
    <t>Removal</t>
  </si>
  <si>
    <t>Takeback</t>
  </si>
  <si>
    <t>Storage</t>
  </si>
  <si>
    <t>SOURCE:</t>
  </si>
  <si>
    <t>'\\nas2\Q\SeventhPlan\Conservation Analysis\Res\Res Lighting\[Res Lighting_Heating and Cooling Interaction_rev.xlsm]Summary'!$B12</t>
  </si>
  <si>
    <t>GDP Deflator (2013 to 2012)</t>
  </si>
  <si>
    <t>Adjust from 2013$ to 2012$</t>
  </si>
  <si>
    <t>Cost (2012$)</t>
  </si>
  <si>
    <t>from RTF workbook</t>
  </si>
  <si>
    <t>based on PNL work</t>
  </si>
  <si>
    <t>LEDDecorative and Mini-Base250 to 664 lumensANY</t>
  </si>
  <si>
    <t>LEDDecorative and Mini-Base665 to 1439 lumensANY</t>
  </si>
  <si>
    <t>LEDDecorative and Mini-Base1440 to 2600 lumensANY</t>
  </si>
  <si>
    <t>LEDGeneral Purpose and Dimmable250 to 664 lumensANY</t>
  </si>
  <si>
    <t>LEDGeneral Purpose and Dimmable665 to 1439 lumensANY</t>
  </si>
  <si>
    <t>LEDGeneral Purpose and Dimmable1440 to 2600 lumensANY</t>
  </si>
  <si>
    <t>LEDGlobe250 to 664 lumensANY</t>
  </si>
  <si>
    <t>LEDGlobe665 to 1439 lumensANY</t>
  </si>
  <si>
    <t>LEDGlobe1440 to 2600 lumensANY</t>
  </si>
  <si>
    <t>LEDReflectors and Outdoor250 to 664 lumensANY</t>
  </si>
  <si>
    <t>LEDReflectors and Outdoor665 to 1439 lumensANY</t>
  </si>
  <si>
    <t>LEDReflectors and Outdoor1440 to 2600 lumensANY</t>
  </si>
  <si>
    <t>LEDThree-Way250 to 664 lumensANY</t>
  </si>
  <si>
    <t>LEDThree-Way665 to 1439 lumensANY</t>
  </si>
  <si>
    <t>LEDThree-Way1440 to 2600 lumensANY</t>
  </si>
  <si>
    <t>Bulb Type</t>
  </si>
  <si>
    <t>Cost and efficicacy trends from PNNL paper.</t>
  </si>
  <si>
    <t>SSL Trend Analysis 2013 Tuenge</t>
  </si>
  <si>
    <t>per bulb savings</t>
  </si>
  <si>
    <t>Average Watts per Lumen Bin</t>
  </si>
  <si>
    <t>Application</t>
  </si>
  <si>
    <t>1490-2600</t>
  </si>
  <si>
    <t>1050-1489</t>
  </si>
  <si>
    <t>750-1049</t>
  </si>
  <si>
    <t>310-749</t>
  </si>
  <si>
    <t>&lt;310 Lumens</t>
  </si>
  <si>
    <t>&gt;2600 Lumens</t>
  </si>
  <si>
    <t>3-WAY</t>
  </si>
  <si>
    <t>Not listed</t>
  </si>
  <si>
    <t>General Purpose</t>
  </si>
  <si>
    <t>Globe and Decorative</t>
  </si>
  <si>
    <t>NA</t>
  </si>
  <si>
    <t> Technology Mix by Lumen bin and Application:</t>
  </si>
  <si>
    <t>&lt;310 LUMENS</t>
  </si>
  <si>
    <t>&gt;2600 LUMENS</t>
  </si>
  <si>
    <t>NOT LISTED</t>
  </si>
  <si>
    <t>EISA Bins Average</t>
  </si>
  <si>
    <t>Overall Average</t>
  </si>
  <si>
    <t>CF</t>
  </si>
  <si>
    <t>H</t>
  </si>
  <si>
    <t>I</t>
  </si>
  <si>
    <t>Grand Total</t>
  </si>
  <si>
    <t>From Cadeo Group 3/25/15</t>
  </si>
  <si>
    <t>based on NEEA shelf data collected Dec 2014/Jan 2015</t>
  </si>
  <si>
    <t>THESE HAVE BEEN UPDATED FROM RTF BASED ON NEEA SHELF DATA</t>
  </si>
  <si>
    <t>NOTE: MAPPING TO LUMEN BINS IS APPROX</t>
  </si>
  <si>
    <t>RTF</t>
  </si>
  <si>
    <t>NEEA Shelf</t>
  </si>
  <si>
    <t>Row Labels</t>
  </si>
  <si>
    <t>1490-2600 lumens</t>
  </si>
  <si>
    <t>1050-1489 lumens</t>
  </si>
  <si>
    <t>750-1049 lumens</t>
  </si>
  <si>
    <t>310-749 lumens</t>
  </si>
  <si>
    <t>&lt;310 lumens</t>
  </si>
  <si>
    <t>&gt;2600 lumens</t>
  </si>
  <si>
    <t>Lumen category mapping</t>
  </si>
  <si>
    <t>Shelf data</t>
  </si>
</sst>
</file>

<file path=xl/styles.xml><?xml version="1.0" encoding="utf-8"?>
<styleSheet xmlns="http://schemas.openxmlformats.org/spreadsheetml/2006/main">
  <numFmts count="12">
    <numFmt numFmtId="8" formatCode="&quot;$&quot;#,##0.00_);[Red]\(&quot;$&quot;#,##0.00\)"/>
    <numFmt numFmtId="41" formatCode="_(* #,##0_);_(* \(#,##0\);_(* &quot;-&quot;_);_(@_)"/>
    <numFmt numFmtId="44" formatCode="_(&quot;$&quot;* #,##0.00_);_(&quot;$&quot;* \(#,##0.00\);_(&quot;$&quot;* &quot;-&quot;??_);_(@_)"/>
    <numFmt numFmtId="43" formatCode="_(* #,##0.00_);_(* \(#,##0.00\);_(* &quot;-&quot;??_);_(@_)"/>
    <numFmt numFmtId="164" formatCode="0.000"/>
    <numFmt numFmtId="165" formatCode="m/d/\ h:mm"/>
    <numFmt numFmtId="166" formatCode="0.0"/>
    <numFmt numFmtId="170" formatCode="&quot;$&quot;#,##0.00"/>
    <numFmt numFmtId="172" formatCode="mmm\-yyyy"/>
    <numFmt numFmtId="175" formatCode="_(* #,##0_);_(* \(#,##0\);_(* &quot;-&quot;??_);_(@_)"/>
    <numFmt numFmtId="176" formatCode="_(* #,##0.000_);_(* \(#,##0.000\);_(* &quot;-&quot;??_);_(@_)"/>
    <numFmt numFmtId="177" formatCode="0.000000000000000%"/>
  </numFmts>
  <fonts count="86">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Calibri"/>
      <family val="2"/>
      <scheme val="minor"/>
    </font>
    <font>
      <b/>
      <sz val="11"/>
      <color indexed="8"/>
      <name val="Calibri"/>
      <family val="2"/>
    </font>
    <font>
      <u/>
      <sz val="10"/>
      <color theme="10"/>
      <name val="Arial"/>
      <family val="2"/>
    </font>
    <font>
      <sz val="11"/>
      <color indexed="8"/>
      <name val="Calibri"/>
      <family val="2"/>
    </font>
    <font>
      <b/>
      <sz val="10"/>
      <name val="Arial"/>
      <family val="2"/>
    </font>
    <font>
      <b/>
      <sz val="11"/>
      <color theme="1"/>
      <name val="Calibri"/>
      <family val="2"/>
      <scheme val="minor"/>
    </font>
    <font>
      <b/>
      <sz val="8"/>
      <color indexed="81"/>
      <name val="Tahoma"/>
      <family val="2"/>
    </font>
    <font>
      <sz val="8"/>
      <color indexed="81"/>
      <name val="Tahoma"/>
      <family val="2"/>
    </font>
    <font>
      <sz val="10"/>
      <name val="Times New Roman"/>
      <family val="1"/>
    </font>
    <font>
      <sz val="12"/>
      <name val="Times New Roman"/>
      <family val="1"/>
    </font>
    <font>
      <b/>
      <sz val="12"/>
      <name val="Times New Roman"/>
      <family val="1"/>
    </font>
    <font>
      <b/>
      <sz val="13"/>
      <color theme="3"/>
      <name val="Calibri"/>
      <family val="2"/>
      <scheme val="minor"/>
    </font>
    <font>
      <u/>
      <sz val="10"/>
      <color indexed="12"/>
      <name val="Arial"/>
      <family val="2"/>
    </font>
    <font>
      <u/>
      <sz val="10"/>
      <color indexed="12"/>
      <name val="Times New Roman"/>
      <family val="1"/>
    </font>
    <font>
      <u/>
      <sz val="10"/>
      <color rgb="FF0000FF"/>
      <name val="Calibri"/>
      <family val="2"/>
      <scheme val="minor"/>
    </font>
    <font>
      <u/>
      <sz val="11"/>
      <color theme="10"/>
      <name val="Calibri"/>
      <family val="2"/>
    </font>
    <font>
      <sz val="10"/>
      <name val="MS Sans Serif"/>
      <family val="2"/>
    </font>
    <font>
      <sz val="12"/>
      <name val="Arial"/>
      <family val="2"/>
    </font>
    <font>
      <sz val="10"/>
      <name val="Helv"/>
    </font>
    <font>
      <b/>
      <sz val="9"/>
      <color indexed="81"/>
      <name val="Tahoma"/>
      <family val="2"/>
    </font>
    <font>
      <sz val="9"/>
      <color indexed="81"/>
      <name val="Tahoma"/>
      <family val="2"/>
    </font>
    <font>
      <b/>
      <i/>
      <sz val="1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1"/>
      <color indexed="56"/>
      <name val="Calibri"/>
      <family val="2"/>
    </font>
    <font>
      <sz val="11"/>
      <color indexed="9"/>
      <name val="Calibri"/>
      <family val="2"/>
    </font>
    <font>
      <sz val="10"/>
      <color indexed="9"/>
      <name val="Arial"/>
      <family val="2"/>
    </font>
    <font>
      <sz val="11"/>
      <color indexed="20"/>
      <name val="Calibri"/>
      <family val="2"/>
    </font>
    <font>
      <b/>
      <sz val="11"/>
      <color indexed="52"/>
      <name val="Calibri"/>
      <family val="2"/>
    </font>
    <font>
      <b/>
      <sz val="11"/>
      <color indexed="9"/>
      <name val="Calibri"/>
      <family val="2"/>
    </font>
    <font>
      <b/>
      <sz val="10"/>
      <color indexed="8"/>
      <name val="Arial"/>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u/>
      <sz val="7"/>
      <color indexed="12"/>
      <name val="Arial"/>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name val="Helv"/>
      <charset val="204"/>
    </font>
    <font>
      <sz val="11"/>
      <color indexed="10"/>
      <name val="Calibri"/>
      <family val="2"/>
    </font>
    <font>
      <b/>
      <sz val="15"/>
      <color indexed="62"/>
      <name val="Calibri"/>
      <family val="2"/>
    </font>
    <font>
      <b/>
      <sz val="11"/>
      <color indexed="62"/>
      <name val="Calibri"/>
      <family val="2"/>
    </font>
    <font>
      <sz val="9"/>
      <name val="Arial"/>
      <family val="2"/>
    </font>
    <font>
      <sz val="12"/>
      <name val="Helv"/>
    </font>
    <font>
      <b/>
      <sz val="18"/>
      <color indexed="62"/>
      <name val="Cambria"/>
      <family val="2"/>
    </font>
    <font>
      <sz val="10"/>
      <name val="굴림"/>
      <family val="3"/>
      <charset val="129"/>
    </font>
    <font>
      <b/>
      <sz val="10"/>
      <color theme="1"/>
      <name val="Arial"/>
      <family val="2"/>
    </font>
    <font>
      <sz val="11"/>
      <color theme="0" tint="-0.499984740745262"/>
      <name val="Calibri"/>
      <family val="2"/>
      <scheme val="minor"/>
    </font>
    <font>
      <sz val="10"/>
      <color theme="0" tint="-0.499984740745262"/>
      <name val="Arial"/>
      <family val="2"/>
    </font>
    <font>
      <b/>
      <sz val="10"/>
      <color theme="0" tint="-0.499984740745262"/>
      <name val="Arial"/>
      <family val="2"/>
    </font>
    <font>
      <u/>
      <sz val="8"/>
      <color theme="10"/>
      <name val="Arial"/>
      <family val="2"/>
    </font>
    <font>
      <sz val="9"/>
      <color theme="1"/>
      <name val="Calibri"/>
      <family val="2"/>
      <scheme val="minor"/>
    </font>
    <font>
      <sz val="10"/>
      <color rgb="FF000000"/>
      <name val="Arial Unicode MS"/>
      <family val="2"/>
    </font>
    <font>
      <i/>
      <sz val="10"/>
      <color rgb="FF000000"/>
      <name val="Arial"/>
      <family val="2"/>
    </font>
    <font>
      <b/>
      <sz val="16"/>
      <name val="Arial"/>
      <family val="2"/>
    </font>
    <font>
      <sz val="9"/>
      <name val="Consolas"/>
      <family val="3"/>
    </font>
    <font>
      <u/>
      <sz val="9"/>
      <color theme="1"/>
      <name val="Consolas"/>
      <family val="3"/>
    </font>
    <font>
      <b/>
      <sz val="9"/>
      <color theme="1"/>
      <name val="Consolas"/>
      <family val="3"/>
    </font>
    <font>
      <i/>
      <sz val="11"/>
      <color theme="1"/>
      <name val="Calibri"/>
      <family val="2"/>
      <scheme val="minor"/>
    </font>
    <font>
      <b/>
      <sz val="9"/>
      <color rgb="FF000000"/>
      <name val="Calibri"/>
      <family val="2"/>
    </font>
    <font>
      <sz val="9"/>
      <color rgb="FF000000"/>
      <name val="Calibri"/>
      <family val="2"/>
    </font>
    <font>
      <b/>
      <sz val="13"/>
      <color theme="3"/>
      <name val="Arial"/>
      <family val="2"/>
    </font>
    <font>
      <sz val="11"/>
      <name val="Calibri"/>
      <family val="2"/>
    </font>
    <font>
      <sz val="9"/>
      <color theme="1"/>
      <name val="Arial"/>
      <family val="2"/>
    </font>
    <font>
      <sz val="10"/>
      <name val="Verdana"/>
      <family val="2"/>
    </font>
    <font>
      <b/>
      <sz val="10"/>
      <color rgb="FF000000"/>
      <name val="Segoe UI"/>
      <family val="2"/>
    </font>
    <font>
      <sz val="10"/>
      <color rgb="FF000000"/>
      <name val="Segoe UI"/>
      <family val="2"/>
    </font>
    <font>
      <b/>
      <sz val="10"/>
      <color rgb="FF000000"/>
      <name val="Calibri"/>
      <family val="2"/>
    </font>
    <font>
      <sz val="10"/>
      <name val="Segoe UI"/>
      <family val="2"/>
    </font>
    <font>
      <sz val="11"/>
      <name val="Segoe UI"/>
      <family val="2"/>
    </font>
    <font>
      <b/>
      <sz val="11"/>
      <color rgb="FF000000"/>
      <name val="Calibri"/>
      <family val="2"/>
    </font>
    <font>
      <sz val="11"/>
      <color rgb="FF000000"/>
      <name val="Calibri"/>
      <family val="2"/>
    </font>
    <font>
      <sz val="9"/>
      <color indexed="81"/>
      <name val="Tahoma"/>
      <charset val="1"/>
    </font>
    <font>
      <b/>
      <sz val="9"/>
      <color indexed="81"/>
      <name val="Tahoma"/>
      <charset val="1"/>
    </font>
  </fonts>
  <fills count="9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indexed="43"/>
        <bgColor indexed="64"/>
      </patternFill>
    </fill>
    <fill>
      <patternFill patternType="solid">
        <fgColor rgb="FFFFC000"/>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indexed="54"/>
      </patternFill>
    </fill>
    <fill>
      <patternFill patternType="solid">
        <fgColor indexed="46"/>
      </patternFill>
    </fill>
    <fill>
      <patternFill patternType="solid">
        <fgColor indexed="9"/>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8"/>
        <bgColor indexed="64"/>
      </patternFill>
    </fill>
    <fill>
      <patternFill patternType="solid">
        <fgColor rgb="FFFFFFCC"/>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indexed="41"/>
        <bgColor indexed="64"/>
      </patternFill>
    </fill>
    <fill>
      <patternFill patternType="solid">
        <fgColor rgb="FF92D050"/>
        <bgColor indexed="64"/>
      </patternFill>
    </fill>
    <fill>
      <patternFill patternType="solid">
        <fgColor rgb="FFCCFFFF"/>
        <bgColor indexed="64"/>
      </patternFill>
    </fill>
    <fill>
      <patternFill patternType="solid">
        <fgColor theme="0" tint="-0.14996795556505021"/>
        <bgColor indexed="64"/>
      </patternFill>
    </fill>
    <fill>
      <patternFill patternType="solid">
        <fgColor rgb="FFFFF2CC"/>
        <bgColor indexed="64"/>
      </patternFill>
    </fill>
    <fill>
      <patternFill patternType="solid">
        <fgColor rgb="FFFCE4D6"/>
        <bgColor indexed="64"/>
      </patternFill>
    </fill>
    <fill>
      <patternFill patternType="solid">
        <fgColor rgb="FFC6E0B4"/>
        <bgColor indexed="64"/>
      </patternFill>
    </fill>
    <fill>
      <patternFill patternType="solid">
        <fgColor rgb="FFB4C6E7"/>
        <bgColor indexed="64"/>
      </patternFill>
    </fill>
    <fill>
      <patternFill patternType="solid">
        <fgColor rgb="FFDDEBF7"/>
        <bgColor indexed="64"/>
      </patternFill>
    </fill>
  </fills>
  <borders count="82">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top/>
      <bottom style="medium">
        <color rgb="FF9BC2E6"/>
      </bottom>
      <diagonal/>
    </border>
    <border>
      <left/>
      <right/>
      <top style="medium">
        <color rgb="FF9BC2E6"/>
      </top>
      <bottom/>
      <diagonal/>
    </border>
  </borders>
  <cellStyleXfs count="8991">
    <xf numFmtId="0" fontId="0" fillId="0" borderId="0">
      <alignment readingOrder="1"/>
    </xf>
    <xf numFmtId="0" fontId="5" fillId="0" borderId="0"/>
    <xf numFmtId="0" fontId="5" fillId="0" borderId="0"/>
    <xf numFmtId="0" fontId="6" fillId="0" borderId="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41"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20" borderId="0" applyNumberFormat="0" applyAlignment="0"/>
    <xf numFmtId="0" fontId="5" fillId="20" borderId="0" applyNumberFormat="0" applyAlignment="0"/>
    <xf numFmtId="0" fontId="5" fillId="20" borderId="0" applyNumberFormat="0" applyAlignment="0"/>
    <xf numFmtId="0" fontId="5" fillId="20" borderId="0" applyNumberFormat="0" applyAlignment="0"/>
    <xf numFmtId="0" fontId="5" fillId="20" borderId="0" applyNumberFormat="0" applyAlignment="0"/>
    <xf numFmtId="165" fontId="15" fillId="0" borderId="0"/>
    <xf numFmtId="0" fontId="16" fillId="0" borderId="0">
      <alignment horizontal="center" wrapText="1"/>
    </xf>
    <xf numFmtId="0" fontId="17" fillId="0" borderId="1" applyNumberFormat="0" applyFill="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Protection="0">
      <alignment horizontal="left"/>
    </xf>
    <xf numFmtId="0" fontId="21"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5" fillId="0" borderId="0">
      <alignment readingOrder="1"/>
    </xf>
    <xf numFmtId="0" fontId="5" fillId="0" borderId="0"/>
    <xf numFmtId="0" fontId="5" fillId="0" borderId="0"/>
    <xf numFmtId="0" fontId="4" fillId="0" borderId="0"/>
    <xf numFmtId="0" fontId="5" fillId="0" borderId="0"/>
    <xf numFmtId="0" fontId="5" fillId="0" borderId="0">
      <alignment readingOrder="1"/>
    </xf>
    <xf numFmtId="0" fontId="6" fillId="0" borderId="0"/>
    <xf numFmtId="0" fontId="5" fillId="0" borderId="0">
      <alignment readingOrder="1"/>
    </xf>
    <xf numFmtId="0" fontId="6"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5" fillId="0" borderId="0"/>
    <xf numFmtId="0" fontId="9" fillId="0" borderId="0"/>
    <xf numFmtId="0" fontId="9" fillId="0" borderId="0"/>
    <xf numFmtId="0" fontId="9" fillId="0" borderId="0"/>
    <xf numFmtId="0" fontId="9" fillId="0" borderId="0"/>
    <xf numFmtId="0" fontId="5" fillId="0" borderId="0">
      <alignment readingOrder="1"/>
    </xf>
    <xf numFmtId="0" fontId="5" fillId="0" borderId="0">
      <alignment readingOrder="1"/>
    </xf>
    <xf numFmtId="0" fontId="5" fillId="0" borderId="0">
      <alignment readingOrder="1"/>
    </xf>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5" fillId="0" borderId="0"/>
    <xf numFmtId="0" fontId="6" fillId="0" borderId="0"/>
    <xf numFmtId="0" fontId="9" fillId="0" borderId="0"/>
    <xf numFmtId="0" fontId="9" fillId="0" borderId="0"/>
    <xf numFmtId="0" fontId="14" fillId="0" borderId="0"/>
    <xf numFmtId="0" fontId="6"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readingOrder="1"/>
    </xf>
    <xf numFmtId="0" fontId="5" fillId="0" borderId="0">
      <alignment readingOrder="1"/>
    </xf>
    <xf numFmtId="0" fontId="5" fillId="0" borderId="0">
      <alignment readingOrder="1"/>
    </xf>
    <xf numFmtId="0" fontId="5" fillId="0" borderId="0"/>
    <xf numFmtId="0" fontId="23" fillId="0" borderId="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4" fillId="0" borderId="0"/>
    <xf numFmtId="0" fontId="5" fillId="0" borderId="0"/>
    <xf numFmtId="0" fontId="5"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4" fillId="41" borderId="0" applyNumberFormat="0" applyBorder="0" applyAlignment="0" applyProtection="0"/>
    <xf numFmtId="0" fontId="33"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3"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3"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50" borderId="0" applyNumberFormat="0" applyBorder="0" applyAlignment="0" applyProtection="0"/>
    <xf numFmtId="0" fontId="33" fillId="36" borderId="0" applyNumberFormat="0" applyBorder="0" applyAlignment="0" applyProtection="0"/>
    <xf numFmtId="0" fontId="31" fillId="51" borderId="0" applyNumberFormat="0" applyBorder="0" applyAlignment="0" applyProtection="0"/>
    <xf numFmtId="0" fontId="31" fillId="40" borderId="0" applyNumberFormat="0" applyBorder="0" applyAlignment="0" applyProtection="0"/>
    <xf numFmtId="0" fontId="34" fillId="52" borderId="0" applyNumberFormat="0" applyBorder="0" applyAlignment="0" applyProtection="0"/>
    <xf numFmtId="0" fontId="33" fillId="37"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4" fillId="55" borderId="0" applyNumberFormat="0" applyBorder="0" applyAlignment="0" applyProtection="0"/>
    <xf numFmtId="0" fontId="33" fillId="56" borderId="0" applyNumberFormat="0" applyBorder="0" applyAlignment="0" applyProtection="0"/>
    <xf numFmtId="0" fontId="35" fillId="57" borderId="0" applyNumberFormat="0" applyBorder="0" applyAlignment="0" applyProtection="0"/>
    <xf numFmtId="0" fontId="36" fillId="58" borderId="53" applyNumberFormat="0" applyAlignment="0" applyProtection="0"/>
    <xf numFmtId="0" fontId="37" fillId="59" borderId="54"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9" fillId="0" borderId="0" applyNumberFormat="0" applyFill="0" applyBorder="0" applyAlignment="0" applyProtection="0"/>
    <xf numFmtId="0" fontId="40" fillId="63" borderId="0" applyNumberFormat="0" applyBorder="0" applyAlignment="0" applyProtection="0"/>
    <xf numFmtId="0" fontId="41" fillId="0" borderId="55" applyNumberFormat="0" applyFill="0" applyAlignment="0" applyProtection="0"/>
    <xf numFmtId="0" fontId="42" fillId="0" borderId="56" applyNumberFormat="0" applyFill="0" applyAlignment="0" applyProtection="0"/>
    <xf numFmtId="0" fontId="32" fillId="0" borderId="57" applyNumberFormat="0" applyFill="0" applyAlignment="0" applyProtection="0"/>
    <xf numFmtId="0" fontId="32" fillId="0" borderId="0" applyNumberFormat="0" applyFill="0" applyBorder="0" applyAlignment="0" applyProtection="0"/>
    <xf numFmtId="0" fontId="4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64" borderId="53" applyNumberFormat="0" applyAlignment="0" applyProtection="0"/>
    <xf numFmtId="0" fontId="46" fillId="0" borderId="58" applyNumberFormat="0" applyFill="0" applyAlignment="0" applyProtection="0"/>
    <xf numFmtId="0" fontId="47" fillId="65" borderId="0" applyNumberFormat="0" applyBorder="0" applyAlignment="0" applyProtection="0"/>
    <xf numFmtId="0" fontId="5" fillId="0" borderId="0">
      <alignment readingOrder="1"/>
    </xf>
    <xf numFmtId="0" fontId="6" fillId="0" borderId="0"/>
    <xf numFmtId="0" fontId="6"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5" fillId="0" borderId="0"/>
    <xf numFmtId="0" fontId="6" fillId="0" borderId="0"/>
    <xf numFmtId="0" fontId="5" fillId="0" borderId="0">
      <alignment readingOrder="1"/>
    </xf>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9" fillId="0" borderId="0"/>
    <xf numFmtId="0" fontId="5" fillId="0" borderId="0" applyNumberFormat="0" applyFill="0" applyBorder="0" applyAlignment="0" applyProtection="0"/>
    <xf numFmtId="0" fontId="6" fillId="0" borderId="0"/>
    <xf numFmtId="0" fontId="6" fillId="0" borderId="0"/>
    <xf numFmtId="0" fontId="14" fillId="0" borderId="0"/>
    <xf numFmtId="0" fontId="6" fillId="0" borderId="0"/>
    <xf numFmtId="0" fontId="5" fillId="0" borderId="0">
      <alignment readingOrder="1"/>
    </xf>
    <xf numFmtId="0" fontId="6" fillId="0" borderId="0"/>
    <xf numFmtId="0" fontId="6" fillId="0" borderId="0"/>
    <xf numFmtId="0" fontId="9" fillId="66" borderId="59" applyNumberFormat="0" applyFont="0" applyAlignment="0" applyProtection="0"/>
    <xf numFmtId="0" fontId="48" fillId="58" borderId="60" applyNumberFormat="0" applyAlignment="0" applyProtection="0"/>
    <xf numFmtId="9" fontId="5" fillId="0" borderId="0" applyFont="0" applyFill="0" applyBorder="0" applyAlignment="0" applyProtection="0"/>
    <xf numFmtId="0" fontId="49" fillId="0" borderId="0" applyNumberFormat="0" applyFill="0" applyBorder="0" applyAlignment="0" applyProtection="0"/>
    <xf numFmtId="0" fontId="50" fillId="0" borderId="0"/>
    <xf numFmtId="0" fontId="49" fillId="0" borderId="0" applyNumberFormat="0" applyFill="0" applyBorder="0" applyAlignment="0" applyProtection="0"/>
    <xf numFmtId="0" fontId="7" fillId="0" borderId="61" applyNumberFormat="0" applyFill="0" applyAlignment="0" applyProtection="0"/>
    <xf numFmtId="0" fontId="51" fillId="0" borderId="0" applyNumberFormat="0" applyFill="0" applyBorder="0" applyAlignment="0" applyProtection="0"/>
    <xf numFmtId="9" fontId="5" fillId="0" borderId="0" applyFont="0" applyFill="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57" borderId="0" applyNumberFormat="0" applyBorder="0" applyAlignment="0" applyProtection="0"/>
    <xf numFmtId="0" fontId="33" fillId="34" borderId="0" applyNumberFormat="0" applyBorder="0" applyAlignment="0" applyProtection="0"/>
    <xf numFmtId="0" fontId="33" fillId="57" borderId="0" applyNumberFormat="0" applyBorder="0" applyAlignment="0" applyProtection="0"/>
    <xf numFmtId="0" fontId="33" fillId="65"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37"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45" borderId="0" applyNumberFormat="0" applyBorder="0" applyAlignment="0" applyProtection="0"/>
    <xf numFmtId="0" fontId="33" fillId="57" borderId="0" applyNumberFormat="0" applyBorder="0" applyAlignment="0" applyProtection="0"/>
    <xf numFmtId="0" fontId="33" fillId="48" borderId="0" applyNumberFormat="0" applyBorder="0" applyAlignment="0" applyProtection="0"/>
    <xf numFmtId="0" fontId="33" fillId="70" borderId="0" applyNumberFormat="0" applyBorder="0" applyAlignment="0" applyProtection="0"/>
    <xf numFmtId="0" fontId="33" fillId="70" borderId="0" applyNumberFormat="0" applyBorder="0" applyAlignment="0" applyProtection="0"/>
    <xf numFmtId="0" fontId="33" fillId="37" borderId="0" applyNumberFormat="0" applyBorder="0" applyAlignment="0" applyProtection="0"/>
    <xf numFmtId="0" fontId="33" fillId="56" borderId="0" applyNumberFormat="0" applyBorder="0" applyAlignment="0" applyProtection="0"/>
    <xf numFmtId="0" fontId="35" fillId="71" borderId="0" applyNumberFormat="0" applyBorder="0" applyAlignment="0" applyProtection="0"/>
    <xf numFmtId="0" fontId="35" fillId="57" borderId="0" applyNumberFormat="0" applyBorder="0" applyAlignment="0" applyProtection="0"/>
    <xf numFmtId="0" fontId="36" fillId="72" borderId="53" applyNumberFormat="0" applyAlignment="0" applyProtection="0"/>
    <xf numFmtId="0" fontId="36" fillId="72" borderId="53" applyNumberFormat="0" applyAlignment="0" applyProtection="0"/>
    <xf numFmtId="0" fontId="37" fillId="59" borderId="54" applyNumberFormat="0" applyAlignment="0" applyProtection="0"/>
    <xf numFmtId="0" fontId="39" fillId="0" borderId="0" applyNumberFormat="0" applyFill="0" applyBorder="0" applyAlignment="0" applyProtection="0"/>
    <xf numFmtId="0" fontId="40" fillId="63" borderId="0" applyNumberFormat="0" applyBorder="0" applyAlignment="0" applyProtection="0"/>
    <xf numFmtId="0" fontId="52" fillId="0" borderId="62" applyNumberFormat="0" applyFill="0" applyAlignment="0" applyProtection="0"/>
    <xf numFmtId="0" fontId="52" fillId="0" borderId="62" applyNumberFormat="0" applyFill="0" applyAlignment="0" applyProtection="0"/>
    <xf numFmtId="0" fontId="53" fillId="0" borderId="63" applyNumberFormat="0" applyFill="0" applyAlignment="0" applyProtection="0"/>
    <xf numFmtId="0" fontId="53" fillId="0" borderId="63"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64" borderId="53" applyNumberFormat="0" applyAlignment="0" applyProtection="0"/>
    <xf numFmtId="0" fontId="46" fillId="0" borderId="58" applyNumberFormat="0" applyFill="0" applyAlignment="0" applyProtection="0"/>
    <xf numFmtId="0" fontId="47" fillId="65" borderId="0" applyNumberFormat="0" applyBorder="0" applyAlignment="0" applyProtection="0"/>
    <xf numFmtId="0" fontId="6" fillId="0" borderId="0"/>
    <xf numFmtId="0" fontId="54" fillId="0" borderId="0"/>
    <xf numFmtId="0" fontId="55" fillId="0" borderId="0"/>
    <xf numFmtId="0" fontId="55" fillId="0" borderId="0"/>
    <xf numFmtId="0" fontId="55" fillId="0" borderId="0"/>
    <xf numFmtId="0" fontId="5" fillId="0" borderId="0"/>
    <xf numFmtId="0" fontId="5" fillId="0" borderId="0"/>
    <xf numFmtId="0"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0"/>
    <xf numFmtId="0" fontId="6" fillId="0" borderId="0"/>
    <xf numFmtId="0" fontId="6" fillId="0" borderId="0"/>
    <xf numFmtId="0" fontId="5" fillId="0" borderId="0"/>
    <xf numFmtId="0" fontId="6" fillId="0" borderId="0"/>
    <xf numFmtId="0" fontId="48" fillId="72" borderId="60" applyNumberFormat="0" applyAlignment="0" applyProtection="0"/>
    <xf numFmtId="0" fontId="48" fillId="72" borderId="60" applyNumberFormat="0" applyAlignment="0" applyProtection="0"/>
    <xf numFmtId="9" fontId="6" fillId="0" borderId="0" applyFont="0" applyFill="0" applyBorder="0" applyAlignment="0" applyProtection="0"/>
    <xf numFmtId="172" fontId="5" fillId="0" borderId="0" applyFill="0" applyBorder="0" applyAlignment="0" applyProtection="0">
      <alignment wrapText="1"/>
    </xf>
    <xf numFmtId="0" fontId="56" fillId="0" borderId="0" applyNumberFormat="0" applyFill="0" applyBorder="0" applyAlignment="0" applyProtection="0"/>
    <xf numFmtId="0" fontId="56" fillId="0" borderId="0" applyNumberFormat="0" applyFill="0" applyBorder="0" applyAlignment="0" applyProtection="0"/>
    <xf numFmtId="0" fontId="7" fillId="0" borderId="64" applyNumberFormat="0" applyFill="0" applyAlignment="0" applyProtection="0"/>
    <xf numFmtId="0" fontId="48" fillId="0" borderId="64" applyNumberFormat="0" applyFill="0" applyAlignment="0" applyProtection="0"/>
    <xf numFmtId="0" fontId="51" fillId="0" borderId="0" applyNumberFormat="0" applyFill="0" applyBorder="0" applyAlignment="0" applyProtection="0"/>
    <xf numFmtId="0" fontId="57" fillId="0" borderId="0">
      <alignment vertical="center"/>
    </xf>
    <xf numFmtId="43" fontId="5" fillId="0" borderId="0" applyFont="0" applyFill="0" applyBorder="0" applyAlignment="0" applyProtection="0"/>
    <xf numFmtId="44" fontId="5" fillId="0" borderId="0" applyFont="0" applyFill="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7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9" fillId="5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9" fillId="7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9" fillId="58"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5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9" fillId="5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9" fillId="5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9" fillId="6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5" fillId="19" borderId="0" applyNumberFormat="0" applyAlignment="0">
      <alignment horizontal="right"/>
    </xf>
    <xf numFmtId="0" fontId="17" fillId="0" borderId="1" applyNumberFormat="0" applyFill="0" applyAlignment="0" applyProtection="0"/>
    <xf numFmtId="0" fontId="28" fillId="78" borderId="14">
      <alignment horizontal="left"/>
    </xf>
    <xf numFmtId="0" fontId="18" fillId="0" borderId="0" applyNumberFormat="0" applyFill="0" applyBorder="0" applyAlignment="0" applyProtection="0">
      <alignment readingOrder="1"/>
    </xf>
    <xf numFmtId="0" fontId="44" fillId="0" borderId="0" applyNumberFormat="0" applyFill="0" applyBorder="0" applyAlignment="0" applyProtection="0"/>
    <xf numFmtId="0" fontId="6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5" fillId="0" borderId="0"/>
    <xf numFmtId="0" fontId="5" fillId="0" borderId="0">
      <alignment readingOrder="1"/>
    </xf>
    <xf numFmtId="0" fontId="5"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readingOrder="1"/>
    </xf>
    <xf numFmtId="0" fontId="6" fillId="0" borderId="0"/>
    <xf numFmtId="0" fontId="5" fillId="0" borderId="0">
      <alignment readingOrder="1"/>
    </xf>
    <xf numFmtId="0" fontId="6" fillId="0" borderId="0"/>
    <xf numFmtId="0"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alignment readingOrder="1"/>
    </xf>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6" fillId="0" borderId="0"/>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readingOrder="1"/>
    </xf>
    <xf numFmtId="0" fontId="5" fillId="0" borderId="0">
      <alignment readingOrder="1"/>
    </xf>
    <xf numFmtId="0" fontId="5" fillId="0" borderId="0">
      <alignment readingOrder="1"/>
    </xf>
    <xf numFmtId="0" fontId="5" fillId="0" borderId="0"/>
    <xf numFmtId="0" fontId="5" fillId="0" borderId="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5" fillId="66" borderId="59"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0" fontId="6" fillId="2" borderId="2"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0" fontId="2" fillId="0" borderId="0"/>
    <xf numFmtId="0" fontId="8" fillId="0" borderId="0" applyNumberFormat="0" applyFill="0" applyBorder="0" applyAlignment="0" applyProtection="0">
      <alignment readingOrder="1"/>
    </xf>
    <xf numFmtId="0" fontId="54" fillId="86" borderId="75"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9" borderId="0" applyNumberFormat="0" applyAlignment="0">
      <alignment horizontal="right"/>
    </xf>
    <xf numFmtId="0" fontId="5" fillId="20" borderId="0" applyNumberFormat="0" applyAlignment="0"/>
    <xf numFmtId="0" fontId="73" fillId="0" borderId="1" applyNumberFormat="0" applyFill="0" applyAlignment="0" applyProtection="0"/>
    <xf numFmtId="0" fontId="18" fillId="0" borderId="0" applyNumberFormat="0" applyFill="0" applyBorder="0" applyAlignment="0" applyProtection="0">
      <alignment vertical="top"/>
      <protection locked="0"/>
    </xf>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readingOrder="1"/>
    </xf>
    <xf numFmtId="0" fontId="6" fillId="0" borderId="0"/>
    <xf numFmtId="0" fontId="6" fillId="0" borderId="0"/>
    <xf numFmtId="0" fontId="6" fillId="0" borderId="0"/>
    <xf numFmtId="0" fontId="5" fillId="0" borderId="0">
      <alignment readingOrder="1"/>
    </xf>
    <xf numFmtId="0" fontId="5" fillId="0" borderId="0">
      <alignment readingOrder="1"/>
    </xf>
    <xf numFmtId="0" fontId="6" fillId="0" borderId="0"/>
    <xf numFmtId="0" fontId="7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alignment readingOrder="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7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alignment readingOrder="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5" fillId="0" borderId="0">
      <alignment readingOrder="1"/>
    </xf>
    <xf numFmtId="0" fontId="76" fillId="65" borderId="59" applyNumberFormat="0" applyFont="0" applyAlignment="0" applyProtection="0"/>
    <xf numFmtId="0" fontId="76" fillId="65" borderId="59" applyNumberFormat="0" applyFont="0" applyAlignment="0" applyProtection="0"/>
    <xf numFmtId="0" fontId="76" fillId="65" borderId="59"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cellStyleXfs>
  <cellXfs count="448">
    <xf numFmtId="0" fontId="0" fillId="0" borderId="0" xfId="0"/>
    <xf numFmtId="0" fontId="0" fillId="0" borderId="0" xfId="0">
      <alignment readingOrder="1"/>
    </xf>
    <xf numFmtId="0" fontId="5" fillId="0" borderId="0" xfId="0" applyFont="1">
      <alignment readingOrder="1"/>
    </xf>
    <xf numFmtId="0" fontId="28" fillId="21" borderId="4" xfId="247" applyFont="1" applyFill="1" applyBorder="1" applyAlignment="1">
      <alignment horizontal="centerContinuous"/>
    </xf>
    <xf numFmtId="0" fontId="29" fillId="21" borderId="4" xfId="247" applyFont="1" applyFill="1" applyBorder="1" applyAlignment="1">
      <alignment horizontal="centerContinuous"/>
    </xf>
    <xf numFmtId="0" fontId="29" fillId="21" borderId="11" xfId="247" applyFont="1" applyFill="1" applyBorder="1" applyAlignment="1">
      <alignment horizontal="centerContinuous"/>
    </xf>
    <xf numFmtId="0" fontId="30" fillId="21" borderId="12" xfId="247" applyFont="1" applyFill="1" applyBorder="1" applyAlignment="1">
      <alignment horizontal="centerContinuous"/>
    </xf>
    <xf numFmtId="0" fontId="31" fillId="24" borderId="3" xfId="247" applyFont="1" applyFill="1" applyBorder="1" applyAlignment="1">
      <alignment horizontal="center" wrapText="1"/>
    </xf>
    <xf numFmtId="0" fontId="31" fillId="24" borderId="9" xfId="247" applyFont="1" applyFill="1" applyBorder="1" applyAlignment="1">
      <alignment horizontal="center" wrapText="1"/>
    </xf>
    <xf numFmtId="0" fontId="31" fillId="24" borderId="15" xfId="247" applyFont="1" applyFill="1" applyBorder="1" applyAlignment="1">
      <alignment horizontal="center" wrapText="1"/>
    </xf>
    <xf numFmtId="0" fontId="31" fillId="24" borderId="15" xfId="0" applyFont="1" applyFill="1" applyBorder="1" applyAlignment="1">
      <alignment horizontal="center" wrapText="1"/>
    </xf>
    <xf numFmtId="1" fontId="0" fillId="0" borderId="0" xfId="0" applyNumberFormat="1">
      <alignment readingOrder="1"/>
    </xf>
    <xf numFmtId="0" fontId="5" fillId="0" borderId="0" xfId="0" applyFont="1" applyBorder="1">
      <alignment readingOrder="1"/>
    </xf>
    <xf numFmtId="8" fontId="0" fillId="0" borderId="0" xfId="0" applyNumberFormat="1">
      <alignment readingOrder="1"/>
    </xf>
    <xf numFmtId="0" fontId="5" fillId="0" borderId="0" xfId="0" applyFont="1" applyAlignment="1">
      <alignment horizontal="center" readingOrder="1"/>
    </xf>
    <xf numFmtId="166" fontId="0" fillId="0" borderId="0" xfId="0" applyNumberFormat="1">
      <alignment readingOrder="1"/>
    </xf>
    <xf numFmtId="0" fontId="5" fillId="31" borderId="0" xfId="246" applyFont="1" applyFill="1" applyBorder="1" applyAlignment="1">
      <alignment wrapText="1"/>
    </xf>
    <xf numFmtId="0" fontId="10" fillId="0" borderId="0" xfId="0" applyFont="1">
      <alignment readingOrder="1"/>
    </xf>
    <xf numFmtId="0" fontId="0" fillId="0" borderId="0" xfId="0" applyFill="1">
      <alignment readingOrder="1"/>
    </xf>
    <xf numFmtId="0" fontId="0" fillId="0" borderId="0" xfId="0" applyAlignment="1">
      <alignment horizontal="center" readingOrder="1"/>
    </xf>
    <xf numFmtId="0" fontId="5" fillId="0" borderId="0" xfId="176">
      <alignment readingOrder="1"/>
    </xf>
    <xf numFmtId="0" fontId="0" fillId="0" borderId="0" xfId="0" applyBorder="1">
      <alignment readingOrder="1"/>
    </xf>
    <xf numFmtId="0" fontId="60" fillId="0" borderId="0" xfId="0" applyFont="1">
      <alignment readingOrder="1"/>
    </xf>
    <xf numFmtId="0" fontId="61" fillId="0" borderId="0" xfId="0" applyFont="1">
      <alignment readingOrder="1"/>
    </xf>
    <xf numFmtId="0" fontId="27" fillId="0" borderId="4" xfId="0" applyFont="1" applyBorder="1">
      <alignment readingOrder="1"/>
    </xf>
    <xf numFmtId="0" fontId="5" fillId="0" borderId="6" xfId="0" applyFont="1" applyBorder="1">
      <alignment readingOrder="1"/>
    </xf>
    <xf numFmtId="0" fontId="59" fillId="0" borderId="0" xfId="386" applyFont="1" applyFill="1"/>
    <xf numFmtId="0" fontId="0" fillId="0" borderId="7" xfId="0" applyBorder="1">
      <alignment readingOrder="1"/>
    </xf>
    <xf numFmtId="0" fontId="0" fillId="0" borderId="8" xfId="0" applyBorder="1">
      <alignment readingOrder="1"/>
    </xf>
    <xf numFmtId="0" fontId="59" fillId="0" borderId="0" xfId="386" applyFont="1"/>
    <xf numFmtId="0" fontId="0" fillId="0" borderId="9" xfId="0" applyBorder="1">
      <alignment readingOrder="1"/>
    </xf>
    <xf numFmtId="0" fontId="0" fillId="0" borderId="10" xfId="0" applyBorder="1">
      <alignment readingOrder="1"/>
    </xf>
    <xf numFmtId="0" fontId="27" fillId="0" borderId="0" xfId="0" applyFont="1">
      <alignment readingOrder="1"/>
    </xf>
    <xf numFmtId="0" fontId="10" fillId="74" borderId="0" xfId="0" applyFont="1" applyFill="1">
      <alignment readingOrder="1"/>
    </xf>
    <xf numFmtId="0" fontId="0" fillId="74" borderId="0" xfId="0" applyFill="1">
      <alignment readingOrder="1"/>
    </xf>
    <xf numFmtId="0" fontId="10" fillId="75" borderId="0" xfId="0" applyFont="1" applyFill="1">
      <alignment readingOrder="1"/>
    </xf>
    <xf numFmtId="0" fontId="10" fillId="31" borderId="0" xfId="0" applyFont="1" applyFill="1">
      <alignment readingOrder="1"/>
    </xf>
    <xf numFmtId="0" fontId="10" fillId="76" borderId="0" xfId="0" applyFont="1" applyFill="1">
      <alignment readingOrder="1"/>
    </xf>
    <xf numFmtId="0" fontId="10" fillId="28" borderId="0" xfId="0" applyFont="1" applyFill="1">
      <alignment readingOrder="1"/>
    </xf>
    <xf numFmtId="0" fontId="0" fillId="28" borderId="0" xfId="0" applyFill="1">
      <alignment readingOrder="1"/>
    </xf>
    <xf numFmtId="0" fontId="10" fillId="0" borderId="0" xfId="0" applyFont="1" applyAlignment="1">
      <alignment wrapText="1" readingOrder="1"/>
    </xf>
    <xf numFmtId="0" fontId="0" fillId="0" borderId="0" xfId="0" applyAlignment="1">
      <alignment wrapText="1" readingOrder="1"/>
    </xf>
    <xf numFmtId="170" fontId="0" fillId="0" borderId="0" xfId="507" applyNumberFormat="1" applyFont="1">
      <alignment readingOrder="1"/>
    </xf>
    <xf numFmtId="170" fontId="0" fillId="0" borderId="0" xfId="0" applyNumberFormat="1" applyFill="1">
      <alignment readingOrder="1"/>
    </xf>
    <xf numFmtId="175" fontId="0" fillId="0" borderId="0" xfId="506" applyNumberFormat="1" applyFont="1">
      <alignment readingOrder="1"/>
    </xf>
    <xf numFmtId="9" fontId="0" fillId="0" borderId="0" xfId="423" applyFont="1">
      <alignment readingOrder="1"/>
    </xf>
    <xf numFmtId="170" fontId="0" fillId="68" borderId="0" xfId="0" applyNumberFormat="1" applyFill="1">
      <alignment readingOrder="1"/>
    </xf>
    <xf numFmtId="170" fontId="0" fillId="0" borderId="0" xfId="0" applyNumberFormat="1">
      <alignment readingOrder="1"/>
    </xf>
    <xf numFmtId="0" fontId="0" fillId="15" borderId="0" xfId="0" applyFill="1" applyBorder="1">
      <alignment readingOrder="1"/>
    </xf>
    <xf numFmtId="0" fontId="10" fillId="68" borderId="40" xfId="0" applyFont="1" applyFill="1" applyBorder="1">
      <alignment readingOrder="1"/>
    </xf>
    <xf numFmtId="0" fontId="10" fillId="68" borderId="65" xfId="0" applyFont="1" applyFill="1" applyBorder="1">
      <alignment readingOrder="1"/>
    </xf>
    <xf numFmtId="0" fontId="10" fillId="31" borderId="46" xfId="0" applyFont="1" applyFill="1" applyBorder="1" applyAlignment="1">
      <alignment horizontal="center" wrapText="1" readingOrder="1"/>
    </xf>
    <xf numFmtId="0" fontId="10" fillId="31" borderId="11" xfId="0" applyFont="1" applyFill="1" applyBorder="1" applyAlignment="1">
      <alignment horizontal="center" wrapText="1" readingOrder="1"/>
    </xf>
    <xf numFmtId="0" fontId="10" fillId="31" borderId="47" xfId="0" applyFont="1" applyFill="1" applyBorder="1" applyAlignment="1">
      <alignment horizontal="center" wrapText="1" readingOrder="1"/>
    </xf>
    <xf numFmtId="0" fontId="10" fillId="73" borderId="46" xfId="0" applyFont="1" applyFill="1" applyBorder="1" applyAlignment="1">
      <alignment horizontal="center" wrapText="1" readingOrder="1"/>
    </xf>
    <xf numFmtId="0" fontId="10" fillId="73" borderId="47" xfId="0" applyFont="1" applyFill="1" applyBorder="1" applyAlignment="1">
      <alignment horizontal="center" wrapText="1" readingOrder="1"/>
    </xf>
    <xf numFmtId="0" fontId="10" fillId="0" borderId="3" xfId="0" applyFont="1" applyBorder="1">
      <alignment readingOrder="1"/>
    </xf>
    <xf numFmtId="0" fontId="10" fillId="0" borderId="13" xfId="0" applyFont="1" applyBorder="1">
      <alignment readingOrder="1"/>
    </xf>
    <xf numFmtId="0" fontId="10" fillId="0" borderId="41" xfId="0" applyFont="1" applyBorder="1">
      <alignment readingOrder="1"/>
    </xf>
    <xf numFmtId="0" fontId="0" fillId="0" borderId="29" xfId="0" applyBorder="1" applyAlignment="1">
      <alignment horizontal="center" readingOrder="1"/>
    </xf>
    <xf numFmtId="0" fontId="0" fillId="0" borderId="42" xfId="0" applyBorder="1" applyAlignment="1">
      <alignment horizontal="center" readingOrder="1"/>
    </xf>
    <xf numFmtId="0" fontId="0" fillId="0" borderId="30" xfId="0" applyBorder="1" applyAlignment="1">
      <alignment horizontal="center" readingOrder="1"/>
    </xf>
    <xf numFmtId="0" fontId="0" fillId="0" borderId="33" xfId="0" applyBorder="1" applyAlignment="1">
      <alignment horizontal="center" readingOrder="1"/>
    </xf>
    <xf numFmtId="0" fontId="0" fillId="0" borderId="3" xfId="0" applyBorder="1" applyAlignment="1">
      <alignment horizontal="center" readingOrder="1"/>
    </xf>
    <xf numFmtId="0" fontId="0" fillId="0" borderId="34" xfId="0" applyBorder="1" applyAlignment="1">
      <alignment horizontal="center" readingOrder="1"/>
    </xf>
    <xf numFmtId="0" fontId="10" fillId="0" borderId="37" xfId="0" applyFont="1" applyBorder="1">
      <alignment readingOrder="1"/>
    </xf>
    <xf numFmtId="0" fontId="0" fillId="0" borderId="35" xfId="0" applyBorder="1" applyAlignment="1">
      <alignment horizontal="center" readingOrder="1"/>
    </xf>
    <xf numFmtId="0" fontId="0" fillId="0" borderId="36" xfId="0" applyBorder="1" applyAlignment="1">
      <alignment horizontal="center" readingOrder="1"/>
    </xf>
    <xf numFmtId="0" fontId="0" fillId="0" borderId="38" xfId="0" applyBorder="1" applyAlignment="1">
      <alignment horizontal="center" readingOrder="1"/>
    </xf>
    <xf numFmtId="0" fontId="10" fillId="0" borderId="9" xfId="0" applyFont="1" applyBorder="1">
      <alignment readingOrder="1"/>
    </xf>
    <xf numFmtId="0" fontId="0" fillId="0" borderId="43" xfId="0" applyBorder="1" applyAlignment="1">
      <alignment horizontal="center" readingOrder="1"/>
    </xf>
    <xf numFmtId="0" fontId="0" fillId="0" borderId="15" xfId="0" applyBorder="1" applyAlignment="1">
      <alignment horizontal="center" readingOrder="1"/>
    </xf>
    <xf numFmtId="0" fontId="0" fillId="0" borderId="44" xfId="0" applyBorder="1" applyAlignment="1">
      <alignment horizontal="center" readingOrder="1"/>
    </xf>
    <xf numFmtId="0" fontId="10" fillId="0" borderId="4" xfId="0" applyFont="1" applyBorder="1">
      <alignment readingOrder="1"/>
    </xf>
    <xf numFmtId="0" fontId="0" fillId="0" borderId="46" xfId="0" applyBorder="1" applyAlignment="1">
      <alignment horizontal="center" readingOrder="1"/>
    </xf>
    <xf numFmtId="0" fontId="0" fillId="0" borderId="11" xfId="0" applyBorder="1" applyAlignment="1">
      <alignment horizontal="center" readingOrder="1"/>
    </xf>
    <xf numFmtId="0" fontId="0" fillId="0" borderId="47" xfId="0" applyBorder="1" applyAlignment="1">
      <alignment horizontal="center" readingOrder="1"/>
    </xf>
    <xf numFmtId="0" fontId="0" fillId="27" borderId="44" xfId="0" applyFill="1" applyBorder="1" applyAlignment="1">
      <alignment horizontal="center" readingOrder="1"/>
    </xf>
    <xf numFmtId="0" fontId="0" fillId="27" borderId="34" xfId="0" applyFill="1" applyBorder="1" applyAlignment="1">
      <alignment horizontal="center" readingOrder="1"/>
    </xf>
    <xf numFmtId="0" fontId="10" fillId="25" borderId="0" xfId="0" applyFont="1" applyFill="1">
      <alignment readingOrder="1"/>
    </xf>
    <xf numFmtId="0" fontId="10" fillId="67" borderId="0" xfId="0" applyFont="1" applyFill="1">
      <alignment readingOrder="1"/>
    </xf>
    <xf numFmtId="0" fontId="10" fillId="32" borderId="0" xfId="0" applyFont="1" applyFill="1">
      <alignment readingOrder="1"/>
    </xf>
    <xf numFmtId="0" fontId="10" fillId="77" borderId="0" xfId="0" applyFont="1" applyFill="1">
      <alignment readingOrder="1"/>
    </xf>
    <xf numFmtId="0" fontId="10" fillId="30" borderId="0" xfId="0" applyFont="1" applyFill="1">
      <alignment readingOrder="1"/>
    </xf>
    <xf numFmtId="0" fontId="0" fillId="31" borderId="0" xfId="0" applyFill="1">
      <alignment readingOrder="1"/>
    </xf>
    <xf numFmtId="175" fontId="0" fillId="0" borderId="3" xfId="506" applyNumberFormat="1" applyFont="1" applyBorder="1">
      <alignment readingOrder="1"/>
    </xf>
    <xf numFmtId="9" fontId="0" fillId="0" borderId="3" xfId="423" applyFont="1" applyBorder="1">
      <alignment readingOrder="1"/>
    </xf>
    <xf numFmtId="175" fontId="0" fillId="0" borderId="3" xfId="0" applyNumberFormat="1" applyBorder="1">
      <alignment readingOrder="1"/>
    </xf>
    <xf numFmtId="170" fontId="0" fillId="0" borderId="3" xfId="0" applyNumberFormat="1" applyBorder="1">
      <alignment readingOrder="1"/>
    </xf>
    <xf numFmtId="43" fontId="0" fillId="0" borderId="3" xfId="0" applyNumberFormat="1" applyBorder="1">
      <alignment readingOrder="1"/>
    </xf>
    <xf numFmtId="0" fontId="10" fillId="0" borderId="3" xfId="0" applyFont="1" applyBorder="1" applyAlignment="1">
      <alignment wrapText="1" readingOrder="1"/>
    </xf>
    <xf numFmtId="0" fontId="10" fillId="0" borderId="3" xfId="0" applyFont="1" applyFill="1" applyBorder="1" applyAlignment="1">
      <alignment wrapText="1" readingOrder="1"/>
    </xf>
    <xf numFmtId="0" fontId="5" fillId="0" borderId="3" xfId="0" applyFont="1" applyBorder="1">
      <alignment readingOrder="1"/>
    </xf>
    <xf numFmtId="0" fontId="0" fillId="0" borderId="3" xfId="0" applyBorder="1">
      <alignment readingOrder="1"/>
    </xf>
    <xf numFmtId="175" fontId="0" fillId="0" borderId="3" xfId="506" applyNumberFormat="1" applyFont="1" applyFill="1" applyBorder="1">
      <alignment readingOrder="1"/>
    </xf>
    <xf numFmtId="1" fontId="0" fillId="0" borderId="3" xfId="0" applyNumberFormat="1" applyBorder="1">
      <alignment readingOrder="1"/>
    </xf>
    <xf numFmtId="166" fontId="0" fillId="0" borderId="3" xfId="0" applyNumberFormat="1" applyBorder="1">
      <alignment readingOrder="1"/>
    </xf>
    <xf numFmtId="1" fontId="0" fillId="0" borderId="3" xfId="423" applyNumberFormat="1" applyFont="1" applyBorder="1">
      <alignment readingOrder="1"/>
    </xf>
    <xf numFmtId="175" fontId="0" fillId="0" borderId="3" xfId="506" applyNumberFormat="1" applyFont="1" applyFill="1" applyBorder="1" applyAlignment="1">
      <alignment wrapText="1" readingOrder="1"/>
    </xf>
    <xf numFmtId="1" fontId="0" fillId="0" borderId="0" xfId="0" applyNumberFormat="1" applyBorder="1">
      <alignment readingOrder="1"/>
    </xf>
    <xf numFmtId="0" fontId="0" fillId="27" borderId="0" xfId="0" applyFill="1">
      <alignment readingOrder="1"/>
    </xf>
    <xf numFmtId="0" fontId="10" fillId="0" borderId="29" xfId="0" applyFont="1" applyBorder="1">
      <alignment readingOrder="1"/>
    </xf>
    <xf numFmtId="0" fontId="10" fillId="0" borderId="42" xfId="0" applyFont="1" applyBorder="1">
      <alignment readingOrder="1"/>
    </xf>
    <xf numFmtId="0" fontId="10" fillId="0" borderId="42" xfId="0" applyFont="1" applyBorder="1" applyAlignment="1">
      <alignment wrapText="1" readingOrder="1"/>
    </xf>
    <xf numFmtId="0" fontId="10" fillId="0" borderId="30" xfId="0" applyFont="1" applyBorder="1" applyAlignment="1">
      <alignment wrapText="1"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8" xfId="0" applyBorder="1">
      <alignment readingOrder="1"/>
    </xf>
    <xf numFmtId="0" fontId="5" fillId="0" borderId="0" xfId="0" applyFont="1" applyAlignment="1">
      <alignment readingOrder="1"/>
    </xf>
    <xf numFmtId="1" fontId="0" fillId="0" borderId="34" xfId="0" applyNumberFormat="1" applyBorder="1">
      <alignment readingOrder="1"/>
    </xf>
    <xf numFmtId="1" fontId="0" fillId="0" borderId="36" xfId="0" applyNumberFormat="1" applyBorder="1">
      <alignment readingOrder="1"/>
    </xf>
    <xf numFmtId="1" fontId="0" fillId="0" borderId="38" xfId="0" applyNumberFormat="1" applyBorder="1">
      <alignment readingOrder="1"/>
    </xf>
    <xf numFmtId="1" fontId="10" fillId="73" borderId="0" xfId="0" applyNumberFormat="1" applyFont="1" applyFill="1">
      <alignment readingOrder="1"/>
    </xf>
    <xf numFmtId="1" fontId="0" fillId="73" borderId="0" xfId="0" applyNumberFormat="1" applyFill="1">
      <alignment readingOrder="1"/>
    </xf>
    <xf numFmtId="0" fontId="0" fillId="73" borderId="0" xfId="0" applyFill="1">
      <alignment readingOrder="1"/>
    </xf>
    <xf numFmtId="0" fontId="10" fillId="0" borderId="29" xfId="0" applyFont="1" applyBorder="1" applyAlignment="1">
      <alignment wrapText="1" readingOrder="1"/>
    </xf>
    <xf numFmtId="1" fontId="10" fillId="0" borderId="42" xfId="0" applyNumberFormat="1" applyFont="1" applyBorder="1" applyAlignment="1">
      <alignment horizontal="center" wrapText="1" readingOrder="1"/>
    </xf>
    <xf numFmtId="1" fontId="10" fillId="0" borderId="30" xfId="0" applyNumberFormat="1" applyFont="1" applyBorder="1" applyAlignment="1">
      <alignment horizontal="center" wrapText="1" readingOrder="1"/>
    </xf>
    <xf numFmtId="0" fontId="5" fillId="0" borderId="33" xfId="0" applyFont="1" applyBorder="1">
      <alignment readingOrder="1"/>
    </xf>
    <xf numFmtId="1" fontId="0" fillId="0" borderId="3" xfId="0" applyNumberFormat="1" applyBorder="1" applyAlignment="1">
      <alignment horizontal="center" readingOrder="1"/>
    </xf>
    <xf numFmtId="1" fontId="5" fillId="15" borderId="34" xfId="0" applyNumberFormat="1" applyFont="1" applyFill="1" applyBorder="1" applyAlignment="1">
      <alignment horizontal="center" readingOrder="1"/>
    </xf>
    <xf numFmtId="0" fontId="5" fillId="27" borderId="0" xfId="0" applyFont="1" applyFill="1">
      <alignment readingOrder="1"/>
    </xf>
    <xf numFmtId="1" fontId="0" fillId="0" borderId="34" xfId="0" applyNumberFormat="1" applyBorder="1" applyAlignment="1">
      <alignment horizontal="center" readingOrder="1"/>
    </xf>
    <xf numFmtId="0" fontId="5" fillId="80" borderId="0" xfId="0" applyFont="1" applyFill="1">
      <alignment readingOrder="1"/>
    </xf>
    <xf numFmtId="1" fontId="0" fillId="80" borderId="3" xfId="0" applyNumberFormat="1" applyFill="1" applyBorder="1" applyAlignment="1">
      <alignment horizontal="center" readingOrder="1"/>
    </xf>
    <xf numFmtId="1" fontId="0" fillId="29" borderId="34" xfId="0" applyNumberFormat="1" applyFill="1" applyBorder="1" applyAlignment="1">
      <alignment horizontal="center" readingOrder="1"/>
    </xf>
    <xf numFmtId="0" fontId="5" fillId="29" borderId="0" xfId="0" applyFont="1" applyFill="1">
      <alignment readingOrder="1"/>
    </xf>
    <xf numFmtId="1" fontId="0" fillId="80" borderId="34" xfId="0" applyNumberFormat="1" applyFill="1" applyBorder="1" applyAlignment="1">
      <alignment horizontal="center" readingOrder="1"/>
    </xf>
    <xf numFmtId="0" fontId="5" fillId="0" borderId="35" xfId="0" applyFont="1" applyBorder="1">
      <alignment readingOrder="1"/>
    </xf>
    <xf numFmtId="0" fontId="5" fillId="0" borderId="36" xfId="0" applyFont="1" applyBorder="1">
      <alignment readingOrder="1"/>
    </xf>
    <xf numFmtId="1" fontId="0" fillId="0" borderId="36" xfId="0" applyNumberFormat="1" applyFill="1" applyBorder="1" applyAlignment="1">
      <alignment horizontal="center" readingOrder="1"/>
    </xf>
    <xf numFmtId="1" fontId="0" fillId="0" borderId="38" xfId="0" applyNumberFormat="1" applyFill="1" applyBorder="1" applyAlignment="1">
      <alignment horizontal="center" readingOrder="1"/>
    </xf>
    <xf numFmtId="1" fontId="5" fillId="0" borderId="0" xfId="0" applyNumberFormat="1" applyFont="1" applyFill="1" applyBorder="1" applyAlignment="1">
      <alignment horizontal="left" readingOrder="1"/>
    </xf>
    <xf numFmtId="1" fontId="10" fillId="0" borderId="30" xfId="0" applyNumberFormat="1" applyFont="1" applyBorder="1">
      <alignment readingOrder="1"/>
    </xf>
    <xf numFmtId="1" fontId="5" fillId="0" borderId="0" xfId="0" applyNumberFormat="1" applyFont="1" applyBorder="1">
      <alignment readingOrder="1"/>
    </xf>
    <xf numFmtId="0" fontId="10" fillId="0" borderId="0" xfId="0" applyFont="1" applyFill="1">
      <alignment readingOrder="1"/>
    </xf>
    <xf numFmtId="1" fontId="10" fillId="0" borderId="0" xfId="0" applyNumberFormat="1" applyFont="1" applyFill="1">
      <alignment readingOrder="1"/>
    </xf>
    <xf numFmtId="170" fontId="0" fillId="0" borderId="34" xfId="0" applyNumberFormat="1" applyBorder="1">
      <alignment readingOrder="1"/>
    </xf>
    <xf numFmtId="170" fontId="0" fillId="0" borderId="36" xfId="0" applyNumberFormat="1" applyBorder="1">
      <alignment readingOrder="1"/>
    </xf>
    <xf numFmtId="170" fontId="0" fillId="0" borderId="38" xfId="0" applyNumberFormat="1" applyBorder="1">
      <alignment readingOrder="1"/>
    </xf>
    <xf numFmtId="170" fontId="0" fillId="27" borderId="34" xfId="0" applyNumberFormat="1" applyFill="1" applyBorder="1">
      <alignment readingOrder="1"/>
    </xf>
    <xf numFmtId="170" fontId="0" fillId="0" borderId="3" xfId="0" applyNumberFormat="1" applyFill="1" applyBorder="1">
      <alignment readingOrder="1"/>
    </xf>
    <xf numFmtId="170" fontId="0" fillId="27" borderId="3" xfId="0" applyNumberFormat="1" applyFill="1" applyBorder="1">
      <alignment readingOrder="1"/>
    </xf>
    <xf numFmtId="170" fontId="0" fillId="76" borderId="3" xfId="0" applyNumberFormat="1" applyFill="1" applyBorder="1">
      <alignment readingOrder="1"/>
    </xf>
    <xf numFmtId="170" fontId="0" fillId="76" borderId="34" xfId="0" applyNumberFormat="1" applyFill="1" applyBorder="1">
      <alignment readingOrder="1"/>
    </xf>
    <xf numFmtId="0" fontId="5" fillId="76" borderId="0" xfId="0" applyFont="1" applyFill="1">
      <alignment readingOrder="1"/>
    </xf>
    <xf numFmtId="170" fontId="0" fillId="80" borderId="3" xfId="0" applyNumberFormat="1" applyFill="1" applyBorder="1">
      <alignment readingOrder="1"/>
    </xf>
    <xf numFmtId="170" fontId="0" fillId="29" borderId="34" xfId="0" applyNumberFormat="1" applyFill="1" applyBorder="1">
      <alignment readingOrder="1"/>
    </xf>
    <xf numFmtId="170" fontId="0" fillId="69" borderId="34" xfId="0" applyNumberFormat="1" applyFill="1" applyBorder="1">
      <alignment readingOrder="1"/>
    </xf>
    <xf numFmtId="0" fontId="5" fillId="69" borderId="0" xfId="0" applyFont="1" applyFill="1">
      <alignment readingOrder="1"/>
    </xf>
    <xf numFmtId="170" fontId="0" fillId="81" borderId="36" xfId="0" applyNumberFormat="1" applyFill="1" applyBorder="1">
      <alignment readingOrder="1"/>
    </xf>
    <xf numFmtId="170" fontId="0" fillId="81" borderId="38" xfId="0" applyNumberFormat="1" applyFill="1" applyBorder="1">
      <alignment readingOrder="1"/>
    </xf>
    <xf numFmtId="0" fontId="5" fillId="81" borderId="0" xfId="0" applyFont="1" applyFill="1">
      <alignment readingOrder="1"/>
    </xf>
    <xf numFmtId="0" fontId="5" fillId="0" borderId="0" xfId="0" applyFont="1" applyFill="1" applyAlignment="1">
      <alignment vertical="center" readingOrder="1"/>
    </xf>
    <xf numFmtId="0" fontId="5" fillId="0" borderId="0" xfId="0" applyFont="1" applyFill="1">
      <alignment readingOrder="1"/>
    </xf>
    <xf numFmtId="164" fontId="58" fillId="0" borderId="32" xfId="1410" applyNumberFormat="1" applyFont="1" applyFill="1" applyBorder="1"/>
    <xf numFmtId="17" fontId="0" fillId="0" borderId="0" xfId="0" applyNumberFormat="1" applyFill="1">
      <alignment readingOrder="1"/>
    </xf>
    <xf numFmtId="0" fontId="64" fillId="0" borderId="0" xfId="0" applyFont="1" applyFill="1" applyAlignment="1">
      <alignment vertical="center"/>
    </xf>
    <xf numFmtId="164" fontId="58" fillId="0" borderId="0" xfId="1410" applyNumberFormat="1" applyFont="1" applyFill="1" applyBorder="1"/>
    <xf numFmtId="0" fontId="5" fillId="0" borderId="0" xfId="0" applyFont="1" applyFill="1" applyBorder="1">
      <alignment readingOrder="1"/>
    </xf>
    <xf numFmtId="170" fontId="0" fillId="0" borderId="0" xfId="0" applyNumberFormat="1" applyBorder="1">
      <alignment readingOrder="1"/>
    </xf>
    <xf numFmtId="0" fontId="5" fillId="0" borderId="0" xfId="0" applyFont="1" applyAlignment="1">
      <alignment wrapText="1" readingOrder="1"/>
    </xf>
    <xf numFmtId="170" fontId="5" fillId="0" borderId="0" xfId="0" applyNumberFormat="1" applyFont="1">
      <alignment readingOrder="1"/>
    </xf>
    <xf numFmtId="170" fontId="10" fillId="0" borderId="0" xfId="0" applyNumberFormat="1" applyFont="1">
      <alignment readingOrder="1"/>
    </xf>
    <xf numFmtId="9" fontId="0" fillId="0" borderId="0" xfId="0" applyNumberFormat="1">
      <alignment readingOrder="1"/>
    </xf>
    <xf numFmtId="0" fontId="5" fillId="0" borderId="20" xfId="0" applyFont="1" applyBorder="1">
      <alignment readingOrder="1"/>
    </xf>
    <xf numFmtId="170" fontId="10" fillId="0" borderId="42" xfId="0" applyNumberFormat="1" applyFont="1" applyFill="1" applyBorder="1" applyAlignment="1">
      <alignment wrapText="1" readingOrder="1"/>
    </xf>
    <xf numFmtId="170" fontId="10" fillId="0" borderId="42" xfId="0" applyNumberFormat="1" applyFont="1" applyFill="1" applyBorder="1">
      <alignment readingOrder="1"/>
    </xf>
    <xf numFmtId="170" fontId="10" fillId="0" borderId="42" xfId="0" applyNumberFormat="1" applyFont="1" applyBorder="1" applyAlignment="1">
      <alignment wrapText="1" readingOrder="1"/>
    </xf>
    <xf numFmtId="170" fontId="10" fillId="0" borderId="30" xfId="0" applyNumberFormat="1" applyFont="1" applyBorder="1" applyAlignment="1">
      <alignment wrapText="1" readingOrder="1"/>
    </xf>
    <xf numFmtId="170" fontId="5" fillId="0" borderId="3" xfId="0" applyNumberFormat="1" applyFont="1" applyBorder="1">
      <alignment readingOrder="1"/>
    </xf>
    <xf numFmtId="170" fontId="5" fillId="0" borderId="34" xfId="0" applyNumberFormat="1" applyFont="1" applyBorder="1">
      <alignment readingOrder="1"/>
    </xf>
    <xf numFmtId="170" fontId="5" fillId="0" borderId="36" xfId="0" applyNumberFormat="1" applyFont="1" applyBorder="1">
      <alignment readingOrder="1"/>
    </xf>
    <xf numFmtId="170" fontId="5" fillId="0" borderId="38" xfId="0" applyNumberFormat="1" applyFont="1" applyBorder="1">
      <alignment readingOrder="1"/>
    </xf>
    <xf numFmtId="0" fontId="10" fillId="67" borderId="0" xfId="198" applyFont="1" applyFill="1"/>
    <xf numFmtId="0" fontId="5" fillId="67" borderId="0" xfId="198" applyFill="1"/>
    <xf numFmtId="0" fontId="5" fillId="67" borderId="0" xfId="198" applyFill="1">
      <alignment readingOrder="1"/>
    </xf>
    <xf numFmtId="0" fontId="11" fillId="26" borderId="29" xfId="198" applyFont="1" applyFill="1" applyBorder="1" applyAlignment="1">
      <alignment horizontal="center" vertical="center"/>
    </xf>
    <xf numFmtId="0" fontId="10" fillId="26" borderId="30" xfId="198" applyFont="1" applyFill="1" applyBorder="1" applyAlignment="1">
      <alignment horizontal="center" vertical="center" wrapText="1"/>
    </xf>
    <xf numFmtId="0" fontId="5" fillId="0" borderId="0" xfId="198"/>
    <xf numFmtId="0" fontId="5" fillId="0" borderId="0" xfId="198">
      <alignment readingOrder="1"/>
    </xf>
    <xf numFmtId="0" fontId="11" fillId="0" borderId="33" xfId="198" applyFont="1" applyBorder="1" applyAlignment="1">
      <alignment horizontal="center" vertical="center"/>
    </xf>
    <xf numFmtId="175" fontId="5" fillId="0" borderId="34" xfId="506" applyNumberFormat="1" applyFont="1" applyBorder="1" applyAlignment="1">
      <alignment horizontal="center" vertical="center"/>
    </xf>
    <xf numFmtId="0" fontId="44" fillId="0" borderId="0" xfId="1075"/>
    <xf numFmtId="0" fontId="5" fillId="0" borderId="0" xfId="198" applyFont="1"/>
    <xf numFmtId="0" fontId="5" fillId="0" borderId="0" xfId="198" applyBorder="1"/>
    <xf numFmtId="0" fontId="5" fillId="0" borderId="25" xfId="198" applyBorder="1">
      <alignment readingOrder="1"/>
    </xf>
    <xf numFmtId="0" fontId="5" fillId="0" borderId="51" xfId="198" applyBorder="1" applyAlignment="1">
      <alignment horizontal="center" readingOrder="1"/>
    </xf>
    <xf numFmtId="0" fontId="5" fillId="0" borderId="28" xfId="1227" applyBorder="1" applyAlignment="1">
      <alignment horizontal="center"/>
    </xf>
    <xf numFmtId="0" fontId="5" fillId="0" borderId="66" xfId="1227" applyBorder="1" applyAlignment="1">
      <alignment horizontal="center"/>
    </xf>
    <xf numFmtId="0" fontId="5" fillId="0" borderId="35" xfId="1227" applyBorder="1"/>
    <xf numFmtId="0" fontId="5" fillId="0" borderId="36" xfId="1227" applyBorder="1"/>
    <xf numFmtId="0" fontId="10" fillId="0" borderId="36" xfId="1227" applyFont="1" applyBorder="1"/>
    <xf numFmtId="0" fontId="5" fillId="0" borderId="38" xfId="1227" applyBorder="1"/>
    <xf numFmtId="0" fontId="5" fillId="0" borderId="67" xfId="1227" applyBorder="1"/>
    <xf numFmtId="0" fontId="5" fillId="0" borderId="43" xfId="1227" applyBorder="1"/>
    <xf numFmtId="176" fontId="5" fillId="0" borderId="15" xfId="95" applyNumberFormat="1" applyBorder="1"/>
    <xf numFmtId="176" fontId="10" fillId="0" borderId="15" xfId="95" applyNumberFormat="1" applyFont="1" applyBorder="1"/>
    <xf numFmtId="176" fontId="5" fillId="0" borderId="44" xfId="95" applyNumberFormat="1" applyBorder="1"/>
    <xf numFmtId="176" fontId="5" fillId="0" borderId="15" xfId="95" applyNumberFormat="1" applyFill="1" applyBorder="1"/>
    <xf numFmtId="0" fontId="5" fillId="0" borderId="68" xfId="1227" applyBorder="1"/>
    <xf numFmtId="0" fontId="5" fillId="0" borderId="33" xfId="1227" applyBorder="1"/>
    <xf numFmtId="176" fontId="5" fillId="0" borderId="3" xfId="95" applyNumberFormat="1" applyBorder="1"/>
    <xf numFmtId="176" fontId="10" fillId="0" borderId="3" xfId="95" applyNumberFormat="1" applyFont="1" applyBorder="1"/>
    <xf numFmtId="176" fontId="5" fillId="0" borderId="34" xfId="95" applyNumberFormat="1" applyBorder="1"/>
    <xf numFmtId="176" fontId="10" fillId="18" borderId="3" xfId="95" applyNumberFormat="1" applyFont="1" applyFill="1" applyBorder="1"/>
    <xf numFmtId="176" fontId="10" fillId="18" borderId="15" xfId="95" applyNumberFormat="1" applyFont="1" applyFill="1" applyBorder="1"/>
    <xf numFmtId="0" fontId="5" fillId="0" borderId="66" xfId="1227" applyBorder="1"/>
    <xf numFmtId="176" fontId="5" fillId="0" borderId="36" xfId="95" applyNumberFormat="1" applyBorder="1"/>
    <xf numFmtId="176" fontId="10" fillId="0" borderId="36" xfId="95" applyNumberFormat="1" applyFont="1" applyBorder="1"/>
    <xf numFmtId="176" fontId="5" fillId="0" borderId="38" xfId="95" applyNumberFormat="1" applyBorder="1"/>
    <xf numFmtId="176" fontId="5" fillId="0" borderId="49" xfId="95" applyNumberFormat="1" applyBorder="1"/>
    <xf numFmtId="0" fontId="65" fillId="82" borderId="0" xfId="198" applyFont="1" applyFill="1" applyBorder="1" applyAlignment="1"/>
    <xf numFmtId="0" fontId="5" fillId="0" borderId="0" xfId="1225">
      <alignment readingOrder="1"/>
    </xf>
    <xf numFmtId="0" fontId="5" fillId="0" borderId="0" xfId="198" applyFont="1">
      <alignment readingOrder="1"/>
    </xf>
    <xf numFmtId="0" fontId="5" fillId="0" borderId="0" xfId="1225" applyFont="1">
      <alignment readingOrder="1"/>
    </xf>
    <xf numFmtId="0" fontId="66" fillId="17" borderId="0" xfId="198" applyFont="1" applyFill="1"/>
    <xf numFmtId="0" fontId="5" fillId="0" borderId="0" xfId="198" applyAlignment="1">
      <alignment wrapText="1" readingOrder="1"/>
    </xf>
    <xf numFmtId="9" fontId="5" fillId="0" borderId="0" xfId="198" applyNumberFormat="1">
      <alignment readingOrder="1"/>
    </xf>
    <xf numFmtId="9" fontId="5" fillId="0" borderId="0" xfId="423">
      <alignment readingOrder="1"/>
    </xf>
    <xf numFmtId="9" fontId="5" fillId="80" borderId="0" xfId="198" applyNumberFormat="1" applyFill="1">
      <alignment readingOrder="1"/>
    </xf>
    <xf numFmtId="9" fontId="5" fillId="80" borderId="0" xfId="423" applyFill="1">
      <alignment readingOrder="1"/>
    </xf>
    <xf numFmtId="0" fontId="10" fillId="68" borderId="0" xfId="176" applyFont="1" applyFill="1">
      <alignment readingOrder="1"/>
    </xf>
    <xf numFmtId="0" fontId="5" fillId="68" borderId="0" xfId="176" applyFill="1">
      <alignment readingOrder="1"/>
    </xf>
    <xf numFmtId="0" fontId="5" fillId="0" borderId="29" xfId="1226" applyBorder="1"/>
    <xf numFmtId="9" fontId="5" fillId="0" borderId="30" xfId="423" applyBorder="1"/>
    <xf numFmtId="0" fontId="5" fillId="0" borderId="33" xfId="1226" applyBorder="1"/>
    <xf numFmtId="9" fontId="5" fillId="0" borderId="34" xfId="423" applyBorder="1"/>
    <xf numFmtId="0" fontId="5" fillId="0" borderId="43" xfId="1226" applyBorder="1"/>
    <xf numFmtId="9" fontId="5" fillId="16" borderId="15" xfId="423" applyFill="1" applyBorder="1"/>
    <xf numFmtId="9" fontId="5" fillId="83" borderId="44" xfId="1226" applyNumberFormat="1" applyFill="1" applyBorder="1"/>
    <xf numFmtId="9" fontId="5" fillId="0" borderId="34" xfId="1226" applyNumberFormat="1" applyBorder="1"/>
    <xf numFmtId="0" fontId="5" fillId="0" borderId="33" xfId="1226" applyFill="1" applyBorder="1"/>
    <xf numFmtId="0" fontId="5" fillId="0" borderId="34" xfId="1226" applyBorder="1"/>
    <xf numFmtId="0" fontId="5" fillId="0" borderId="35" xfId="1226" applyBorder="1"/>
    <xf numFmtId="0" fontId="5" fillId="0" borderId="38" xfId="1226" applyBorder="1"/>
    <xf numFmtId="0" fontId="5" fillId="18" borderId="25" xfId="1226" applyFill="1" applyBorder="1" applyAlignment="1">
      <alignment wrapText="1"/>
    </xf>
    <xf numFmtId="0" fontId="5" fillId="18" borderId="52" xfId="1226" applyFill="1" applyBorder="1" applyAlignment="1">
      <alignment wrapText="1"/>
    </xf>
    <xf numFmtId="0" fontId="5" fillId="18" borderId="51" xfId="1226" applyFill="1" applyBorder="1" applyAlignment="1">
      <alignment wrapText="1"/>
    </xf>
    <xf numFmtId="0" fontId="0" fillId="0" borderId="0" xfId="0" applyAlignment="1">
      <alignment vertical="center"/>
    </xf>
    <xf numFmtId="0" fontId="67" fillId="84" borderId="33" xfId="0" applyFont="1" applyFill="1" applyBorder="1" applyAlignment="1">
      <alignment horizontal="center" vertical="center" wrapText="1"/>
    </xf>
    <xf numFmtId="0" fontId="67" fillId="84" borderId="34" xfId="0" applyFont="1" applyFill="1" applyBorder="1" applyAlignment="1">
      <alignment horizontal="center" vertical="center" wrapText="1"/>
    </xf>
    <xf numFmtId="0" fontId="0" fillId="84" borderId="31" xfId="0" applyFill="1" applyBorder="1" applyAlignment="1">
      <alignment horizontal="center" vertical="center" wrapText="1"/>
    </xf>
    <xf numFmtId="0" fontId="0" fillId="0" borderId="68" xfId="0" applyBorder="1" applyAlignment="1">
      <alignment vertical="center" wrapText="1"/>
    </xf>
    <xf numFmtId="2" fontId="0" fillId="0" borderId="33" xfId="506" applyNumberFormat="1" applyFont="1" applyBorder="1" applyAlignment="1">
      <alignment horizontal="center" vertical="center"/>
    </xf>
    <xf numFmtId="2" fontId="0" fillId="0" borderId="34" xfId="506" applyNumberFormat="1" applyFont="1" applyBorder="1" applyAlignment="1">
      <alignment horizontal="center" vertical="center"/>
    </xf>
    <xf numFmtId="9" fontId="0" fillId="0" borderId="45" xfId="423" applyNumberFormat="1" applyFont="1" applyBorder="1" applyAlignment="1">
      <alignment horizontal="center" vertical="center"/>
    </xf>
    <xf numFmtId="9" fontId="0" fillId="0" borderId="45" xfId="423" applyFont="1" applyBorder="1" applyAlignment="1">
      <alignment horizontal="center" vertical="center"/>
    </xf>
    <xf numFmtId="0" fontId="0" fillId="0" borderId="66" xfId="0" applyBorder="1" applyAlignment="1">
      <alignment vertical="center"/>
    </xf>
    <xf numFmtId="2" fontId="0" fillId="0" borderId="38" xfId="506" applyNumberFormat="1" applyFont="1" applyBorder="1" applyAlignment="1">
      <alignment horizontal="center" vertical="center"/>
    </xf>
    <xf numFmtId="9" fontId="0" fillId="0" borderId="39" xfId="423"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2" fontId="0" fillId="0" borderId="33" xfId="423" applyNumberFormat="1" applyFont="1" applyBorder="1" applyAlignment="1">
      <alignment horizontal="center" vertical="center"/>
    </xf>
    <xf numFmtId="2" fontId="0" fillId="0" borderId="34" xfId="423" applyNumberFormat="1" applyFont="1" applyBorder="1" applyAlignment="1">
      <alignment horizontal="center" vertical="center"/>
    </xf>
    <xf numFmtId="0" fontId="0" fillId="0" borderId="66" xfId="0" applyBorder="1" applyAlignment="1">
      <alignment horizontal="center" vertical="center"/>
    </xf>
    <xf numFmtId="2" fontId="0" fillId="0" borderId="38" xfId="423" applyNumberFormat="1" applyFont="1" applyBorder="1" applyAlignment="1">
      <alignment horizontal="center" vertical="center"/>
    </xf>
    <xf numFmtId="0" fontId="0" fillId="84" borderId="35" xfId="0" applyFill="1" applyBorder="1" applyAlignment="1">
      <alignment vertical="center" wrapText="1"/>
    </xf>
    <xf numFmtId="177" fontId="0" fillId="84" borderId="36" xfId="0" applyNumberFormat="1" applyFill="1" applyBorder="1" applyAlignment="1">
      <alignment horizontal="center" vertical="center" wrapText="1"/>
    </xf>
    <xf numFmtId="0" fontId="0" fillId="84" borderId="38" xfId="0" applyFill="1" applyBorder="1" applyAlignment="1">
      <alignment horizontal="center" vertical="center" wrapText="1"/>
    </xf>
    <xf numFmtId="0" fontId="0" fillId="0" borderId="43" xfId="0" applyBorder="1" applyAlignment="1">
      <alignment vertical="center"/>
    </xf>
    <xf numFmtId="2" fontId="0" fillId="0" borderId="15" xfId="423" applyNumberFormat="1" applyFont="1" applyBorder="1" applyAlignment="1">
      <alignment horizontal="center" vertical="center"/>
    </xf>
    <xf numFmtId="2" fontId="0" fillId="0" borderId="44" xfId="423" applyNumberFormat="1" applyFont="1" applyBorder="1" applyAlignment="1">
      <alignment horizontal="center" vertical="center"/>
    </xf>
    <xf numFmtId="0" fontId="0" fillId="0" borderId="35" xfId="0" applyBorder="1" applyAlignment="1">
      <alignment vertical="center"/>
    </xf>
    <xf numFmtId="2" fontId="0" fillId="0" borderId="36" xfId="423" applyNumberFormat="1" applyFont="1" applyBorder="1" applyAlignment="1">
      <alignment horizontal="center" vertical="center"/>
    </xf>
    <xf numFmtId="0" fontId="69" fillId="0" borderId="48" xfId="0" applyFont="1" applyBorder="1" applyAlignment="1">
      <alignment vertical="center"/>
    </xf>
    <xf numFmtId="2" fontId="69" fillId="0" borderId="49" xfId="0" applyNumberFormat="1" applyFont="1" applyBorder="1" applyAlignment="1">
      <alignment horizontal="center" vertical="center"/>
    </xf>
    <xf numFmtId="2" fontId="69" fillId="0" borderId="50" xfId="0" applyNumberFormat="1" applyFont="1" applyBorder="1" applyAlignment="1">
      <alignment horizontal="center" vertical="center"/>
    </xf>
    <xf numFmtId="9" fontId="0" fillId="0" borderId="0" xfId="0" applyNumberFormat="1" applyAlignment="1">
      <alignment vertical="center"/>
    </xf>
    <xf numFmtId="0" fontId="10" fillId="26" borderId="0" xfId="176" applyFont="1" applyFill="1">
      <alignment readingOrder="1"/>
    </xf>
    <xf numFmtId="0" fontId="5" fillId="26" borderId="0" xfId="176" applyFill="1">
      <alignment readingOrder="1"/>
    </xf>
    <xf numFmtId="0" fontId="5" fillId="0" borderId="0" xfId="176" applyFont="1">
      <alignment readingOrder="1"/>
    </xf>
    <xf numFmtId="0" fontId="10" fillId="0" borderId="0" xfId="176" applyFont="1">
      <alignment readingOrder="1"/>
    </xf>
    <xf numFmtId="0" fontId="11" fillId="0" borderId="29" xfId="176" applyFont="1" applyBorder="1"/>
    <xf numFmtId="0" fontId="11" fillId="0" borderId="42" xfId="176" applyFont="1" applyBorder="1" applyAlignment="1">
      <alignment horizontal="center" wrapText="1"/>
    </xf>
    <xf numFmtId="0" fontId="11" fillId="0" borderId="30" xfId="176" applyFont="1" applyBorder="1" applyAlignment="1">
      <alignment horizontal="center" wrapText="1"/>
    </xf>
    <xf numFmtId="0" fontId="11" fillId="0" borderId="33" xfId="176" applyFont="1" applyBorder="1" applyAlignment="1">
      <alignment horizontal="right"/>
    </xf>
    <xf numFmtId="9" fontId="5" fillId="0" borderId="3" xfId="423" applyBorder="1" applyAlignment="1">
      <alignment horizontal="center"/>
    </xf>
    <xf numFmtId="9" fontId="5" fillId="0" borderId="34" xfId="423" applyBorder="1" applyAlignment="1">
      <alignment horizontal="center"/>
    </xf>
    <xf numFmtId="0" fontId="11" fillId="0" borderId="33" xfId="176" applyFont="1" applyFill="1" applyBorder="1" applyAlignment="1">
      <alignment horizontal="right"/>
    </xf>
    <xf numFmtId="0" fontId="11" fillId="0" borderId="35" xfId="176" applyFont="1" applyBorder="1" applyAlignment="1">
      <alignment horizontal="right"/>
    </xf>
    <xf numFmtId="9" fontId="5" fillId="0" borderId="36" xfId="423" applyBorder="1" applyAlignment="1">
      <alignment horizontal="center"/>
    </xf>
    <xf numFmtId="9" fontId="5" fillId="0" borderId="38" xfId="423" applyBorder="1" applyAlignment="1">
      <alignment horizontal="center"/>
    </xf>
    <xf numFmtId="0" fontId="70" fillId="0" borderId="0" xfId="176" applyFont="1" applyFill="1" applyBorder="1" applyAlignment="1">
      <alignment horizontal="left"/>
    </xf>
    <xf numFmtId="9" fontId="5" fillId="0" borderId="0" xfId="423" applyBorder="1" applyAlignment="1">
      <alignment horizontal="center"/>
    </xf>
    <xf numFmtId="0" fontId="11" fillId="0" borderId="0" xfId="176" applyFont="1" applyFill="1" applyBorder="1" applyAlignment="1">
      <alignment horizontal="right"/>
    </xf>
    <xf numFmtId="0" fontId="11" fillId="0" borderId="0" xfId="176" applyFont="1" applyFill="1" applyBorder="1" applyAlignment="1">
      <alignment horizontal="left"/>
    </xf>
    <xf numFmtId="0" fontId="5" fillId="0" borderId="0" xfId="176" applyAlignment="1">
      <alignment horizontal="left" vertical="center" wrapText="1" readingOrder="1"/>
    </xf>
    <xf numFmtId="0" fontId="8" fillId="0" borderId="0" xfId="368" applyFill="1" applyAlignment="1" applyProtection="1">
      <alignment readingOrder="1"/>
    </xf>
    <xf numFmtId="0" fontId="5" fillId="0" borderId="0" xfId="176" applyFill="1">
      <alignment readingOrder="1"/>
    </xf>
    <xf numFmtId="0" fontId="8" fillId="0" borderId="0" xfId="368" applyAlignment="1" applyProtection="1">
      <alignment readingOrder="1"/>
    </xf>
    <xf numFmtId="0" fontId="5" fillId="0" borderId="0" xfId="176" applyFont="1" applyAlignment="1">
      <alignment readingOrder="1"/>
    </xf>
    <xf numFmtId="0" fontId="8" fillId="0" borderId="0" xfId="1411">
      <alignment readingOrder="1"/>
    </xf>
    <xf numFmtId="0" fontId="11" fillId="0" borderId="0" xfId="176" applyFont="1" applyFill="1" applyBorder="1" applyAlignment="1"/>
    <xf numFmtId="0" fontId="5" fillId="85" borderId="27" xfId="176" applyFill="1" applyBorder="1" applyAlignment="1">
      <alignment vertical="center" wrapText="1"/>
    </xf>
    <xf numFmtId="0" fontId="71" fillId="85" borderId="23" xfId="176" applyFont="1" applyFill="1" applyBorder="1" applyAlignment="1">
      <alignment vertical="center" wrapText="1"/>
    </xf>
    <xf numFmtId="0" fontId="71" fillId="85" borderId="32" xfId="176" applyFont="1" applyFill="1" applyBorder="1" applyAlignment="1">
      <alignment vertical="center" wrapText="1"/>
    </xf>
    <xf numFmtId="0" fontId="71" fillId="85" borderId="19" xfId="176" applyFont="1" applyFill="1" applyBorder="1" applyAlignment="1">
      <alignment vertical="center" wrapText="1"/>
    </xf>
    <xf numFmtId="0" fontId="5" fillId="85" borderId="73" xfId="176" applyFill="1" applyBorder="1" applyAlignment="1">
      <alignment vertical="top" wrapText="1"/>
    </xf>
    <xf numFmtId="0" fontId="71" fillId="85" borderId="21" xfId="176" applyFont="1" applyFill="1" applyBorder="1" applyAlignment="1">
      <alignment vertical="center" wrapText="1"/>
    </xf>
    <xf numFmtId="9" fontId="72" fillId="0" borderId="26" xfId="176" applyNumberFormat="1" applyFont="1" applyBorder="1" applyAlignment="1">
      <alignment horizontal="center" vertical="center" wrapText="1"/>
    </xf>
    <xf numFmtId="0" fontId="71" fillId="0" borderId="21" xfId="176" applyFont="1" applyBorder="1" applyAlignment="1">
      <alignment horizontal="center" vertical="center" wrapText="1"/>
    </xf>
    <xf numFmtId="0" fontId="72" fillId="0" borderId="21" xfId="176" applyFont="1" applyBorder="1" applyAlignment="1">
      <alignment horizontal="center" vertical="center" wrapText="1"/>
    </xf>
    <xf numFmtId="9" fontId="72" fillId="0" borderId="21" xfId="176" applyNumberFormat="1" applyFont="1" applyBorder="1" applyAlignment="1">
      <alignment horizontal="center" vertical="center" wrapText="1"/>
    </xf>
    <xf numFmtId="9" fontId="72" fillId="0" borderId="74" xfId="176" applyNumberFormat="1" applyFont="1" applyBorder="1" applyAlignment="1">
      <alignment horizontal="center" vertical="center" wrapText="1"/>
    </xf>
    <xf numFmtId="0" fontId="10" fillId="0" borderId="0" xfId="176" applyFont="1" applyFill="1">
      <alignment readingOrder="1"/>
    </xf>
    <xf numFmtId="0" fontId="10" fillId="0" borderId="0" xfId="176" applyFont="1" applyAlignment="1">
      <alignment wrapText="1" readingOrder="1"/>
    </xf>
    <xf numFmtId="0" fontId="10" fillId="0" borderId="0" xfId="176" applyFont="1" applyFill="1" applyAlignment="1">
      <alignment wrapText="1" readingOrder="1"/>
    </xf>
    <xf numFmtId="9" fontId="5" fillId="0" borderId="0" xfId="176" applyNumberFormat="1" applyFill="1">
      <alignment readingOrder="1"/>
    </xf>
    <xf numFmtId="9" fontId="5" fillId="27" borderId="0" xfId="423" applyFill="1">
      <alignment readingOrder="1"/>
    </xf>
    <xf numFmtId="9" fontId="5" fillId="27" borderId="0" xfId="176" applyNumberFormat="1" applyFill="1">
      <alignment readingOrder="1"/>
    </xf>
    <xf numFmtId="1" fontId="0" fillId="27" borderId="0" xfId="0" applyNumberFormat="1" applyFill="1">
      <alignment readingOrder="1"/>
    </xf>
    <xf numFmtId="9" fontId="0" fillId="0" borderId="0" xfId="423" applyFont="1"/>
    <xf numFmtId="9" fontId="0" fillId="0" borderId="0" xfId="0" applyNumberFormat="1"/>
    <xf numFmtId="0" fontId="60" fillId="17" borderId="0" xfId="0" applyFont="1" applyFill="1">
      <alignment readingOrder="1"/>
    </xf>
    <xf numFmtId="0" fontId="0" fillId="17" borderId="0" xfId="0" applyFill="1">
      <alignment readingOrder="1"/>
    </xf>
    <xf numFmtId="0" fontId="5" fillId="17" borderId="0" xfId="0" applyFont="1" applyFill="1">
      <alignment readingOrder="1"/>
    </xf>
    <xf numFmtId="166" fontId="0" fillId="17" borderId="0" xfId="0" applyNumberFormat="1" applyFill="1">
      <alignment readingOrder="1"/>
    </xf>
    <xf numFmtId="170" fontId="0" fillId="17" borderId="0" xfId="507" applyNumberFormat="1" applyFont="1" applyFill="1">
      <alignment readingOrder="1"/>
    </xf>
    <xf numFmtId="1" fontId="0" fillId="17" borderId="0" xfId="0" applyNumberFormat="1" applyFill="1">
      <alignment readingOrder="1"/>
    </xf>
    <xf numFmtId="170" fontId="0" fillId="17" borderId="0" xfId="0" applyNumberFormat="1" applyFill="1">
      <alignment readingOrder="1"/>
    </xf>
    <xf numFmtId="175" fontId="0" fillId="17" borderId="0" xfId="506" applyNumberFormat="1" applyFont="1" applyFill="1">
      <alignment readingOrder="1"/>
    </xf>
    <xf numFmtId="9" fontId="0" fillId="17" borderId="0" xfId="423" applyFont="1" applyFill="1">
      <alignment readingOrder="1"/>
    </xf>
    <xf numFmtId="0" fontId="0" fillId="17" borderId="0" xfId="0" applyFill="1"/>
    <xf numFmtId="0" fontId="60" fillId="0" borderId="5" xfId="0" applyFont="1" applyBorder="1">
      <alignment readingOrder="1"/>
    </xf>
    <xf numFmtId="0" fontId="0" fillId="0" borderId="5" xfId="0" applyBorder="1">
      <alignment readingOrder="1"/>
    </xf>
    <xf numFmtId="0" fontId="5" fillId="0" borderId="5" xfId="0" applyFont="1" applyBorder="1">
      <alignment readingOrder="1"/>
    </xf>
    <xf numFmtId="166" fontId="0" fillId="0" borderId="5" xfId="0" applyNumberFormat="1" applyBorder="1">
      <alignment readingOrder="1"/>
    </xf>
    <xf numFmtId="170" fontId="0" fillId="0" borderId="5" xfId="507" applyNumberFormat="1" applyFont="1" applyBorder="1">
      <alignment readingOrder="1"/>
    </xf>
    <xf numFmtId="1" fontId="0" fillId="0" borderId="5" xfId="0" applyNumberFormat="1" applyBorder="1">
      <alignment readingOrder="1"/>
    </xf>
    <xf numFmtId="170" fontId="0" fillId="0" borderId="5" xfId="0" applyNumberFormat="1" applyFill="1" applyBorder="1">
      <alignment readingOrder="1"/>
    </xf>
    <xf numFmtId="175" fontId="0" fillId="0" borderId="5" xfId="506" applyNumberFormat="1" applyFont="1" applyBorder="1">
      <alignment readingOrder="1"/>
    </xf>
    <xf numFmtId="9" fontId="0" fillId="0" borderId="5" xfId="423" applyFont="1" applyBorder="1">
      <alignment readingOrder="1"/>
    </xf>
    <xf numFmtId="170" fontId="0" fillId="68" borderId="5" xfId="0" applyNumberFormat="1" applyFill="1" applyBorder="1">
      <alignment readingOrder="1"/>
    </xf>
    <xf numFmtId="0" fontId="0" fillId="0" borderId="5" xfId="0" applyBorder="1"/>
    <xf numFmtId="43" fontId="0" fillId="0" borderId="0" xfId="506" applyFont="1"/>
    <xf numFmtId="0" fontId="74" fillId="0" borderId="0" xfId="0" applyFont="1"/>
    <xf numFmtId="0" fontId="77" fillId="82" borderId="0" xfId="0" applyFont="1" applyFill="1"/>
    <xf numFmtId="0" fontId="77" fillId="87" borderId="74" xfId="0" applyFont="1" applyFill="1" applyBorder="1"/>
    <xf numFmtId="0" fontId="77" fillId="87" borderId="21" xfId="0" applyFont="1" applyFill="1" applyBorder="1" applyAlignment="1">
      <alignment horizontal="center"/>
    </xf>
    <xf numFmtId="0" fontId="78" fillId="82" borderId="0" xfId="0" applyFont="1" applyFill="1"/>
    <xf numFmtId="0" fontId="78" fillId="87" borderId="21" xfId="0" applyFont="1" applyFill="1" applyBorder="1" applyAlignment="1">
      <alignment horizontal="center"/>
    </xf>
    <xf numFmtId="0" fontId="78" fillId="27" borderId="21" xfId="0" applyFont="1" applyFill="1" applyBorder="1" applyAlignment="1">
      <alignment horizontal="center"/>
    </xf>
    <xf numFmtId="0" fontId="77" fillId="88" borderId="74" xfId="0" applyFont="1" applyFill="1" applyBorder="1"/>
    <xf numFmtId="0" fontId="79" fillId="88" borderId="21" xfId="0" applyFont="1" applyFill="1" applyBorder="1"/>
    <xf numFmtId="0" fontId="77" fillId="88" borderId="21" xfId="0" applyFont="1" applyFill="1" applyBorder="1"/>
    <xf numFmtId="0" fontId="77" fillId="0" borderId="74" xfId="0" applyFont="1" applyBorder="1"/>
    <xf numFmtId="9" fontId="80" fillId="0" borderId="21" xfId="0" applyNumberFormat="1" applyFont="1" applyBorder="1" applyAlignment="1">
      <alignment horizontal="right"/>
    </xf>
    <xf numFmtId="9" fontId="81" fillId="0" borderId="21" xfId="0" applyNumberFormat="1" applyFont="1" applyBorder="1" applyAlignment="1">
      <alignment horizontal="right"/>
    </xf>
    <xf numFmtId="0" fontId="77" fillId="0" borderId="32" xfId="0" applyFont="1" applyBorder="1"/>
    <xf numFmtId="9" fontId="80" fillId="0" borderId="19" xfId="0" applyNumberFormat="1" applyFont="1" applyBorder="1" applyAlignment="1">
      <alignment horizontal="right"/>
    </xf>
    <xf numFmtId="9" fontId="81" fillId="0" borderId="76" xfId="0" applyNumberFormat="1" applyFont="1" applyBorder="1" applyAlignment="1">
      <alignment horizontal="right"/>
    </xf>
    <xf numFmtId="0" fontId="77" fillId="0" borderId="77" xfId="0" applyFont="1" applyBorder="1"/>
    <xf numFmtId="9" fontId="78" fillId="0" borderId="78" xfId="0" applyNumberFormat="1" applyFont="1" applyBorder="1" applyAlignment="1">
      <alignment horizontal="right"/>
    </xf>
    <xf numFmtId="9" fontId="78" fillId="0" borderId="21" xfId="0" applyNumberFormat="1" applyFont="1" applyBorder="1" applyAlignment="1">
      <alignment horizontal="right"/>
    </xf>
    <xf numFmtId="0" fontId="77" fillId="89" borderId="74" xfId="0" applyFont="1" applyFill="1" applyBorder="1"/>
    <xf numFmtId="0" fontId="79" fillId="89" borderId="21" xfId="0" applyFont="1" applyFill="1" applyBorder="1"/>
    <xf numFmtId="0" fontId="77" fillId="89" borderId="21" xfId="0" applyFont="1" applyFill="1" applyBorder="1"/>
    <xf numFmtId="0" fontId="77" fillId="89" borderId="20" xfId="0" applyFont="1" applyFill="1" applyBorder="1"/>
    <xf numFmtId="9" fontId="80" fillId="0" borderId="20" xfId="0" applyNumberFormat="1" applyFont="1" applyBorder="1" applyAlignment="1">
      <alignment horizontal="right"/>
    </xf>
    <xf numFmtId="9" fontId="80" fillId="0" borderId="74" xfId="0" applyNumberFormat="1" applyFont="1" applyBorder="1" applyAlignment="1">
      <alignment horizontal="right"/>
    </xf>
    <xf numFmtId="9" fontId="80" fillId="0" borderId="79" xfId="0" applyNumberFormat="1" applyFont="1" applyBorder="1" applyAlignment="1">
      <alignment horizontal="right"/>
    </xf>
    <xf numFmtId="9" fontId="80" fillId="0" borderId="76" xfId="0" applyNumberFormat="1" applyFont="1" applyBorder="1" applyAlignment="1">
      <alignment horizontal="right"/>
    </xf>
    <xf numFmtId="9" fontId="78" fillId="0" borderId="20" xfId="0" applyNumberFormat="1" applyFont="1" applyBorder="1" applyAlignment="1">
      <alignment horizontal="right"/>
    </xf>
    <xf numFmtId="9" fontId="78" fillId="0" borderId="74" xfId="0" applyNumberFormat="1" applyFont="1" applyBorder="1" applyAlignment="1">
      <alignment horizontal="right"/>
    </xf>
    <xf numFmtId="0" fontId="78" fillId="0" borderId="21" xfId="0" applyFont="1" applyBorder="1"/>
    <xf numFmtId="0" fontId="77" fillId="90" borderId="74" xfId="0" applyFont="1" applyFill="1" applyBorder="1"/>
    <xf numFmtId="0" fontId="79" fillId="90" borderId="21" xfId="0" applyFont="1" applyFill="1" applyBorder="1"/>
    <xf numFmtId="0" fontId="77" fillId="90" borderId="21" xfId="0" applyFont="1" applyFill="1" applyBorder="1"/>
    <xf numFmtId="0" fontId="77" fillId="90" borderId="20" xfId="0" applyFont="1" applyFill="1" applyBorder="1"/>
    <xf numFmtId="0" fontId="82" fillId="91" borderId="80" xfId="0" applyFont="1" applyFill="1" applyBorder="1" applyAlignment="1">
      <alignment horizontal="right"/>
    </xf>
    <xf numFmtId="0" fontId="82" fillId="91" borderId="80" xfId="0" applyFont="1" applyFill="1" applyBorder="1" applyAlignment="1">
      <alignment horizontal="center"/>
    </xf>
    <xf numFmtId="0" fontId="82" fillId="91" borderId="80" xfId="0" applyFont="1" applyFill="1" applyBorder="1"/>
    <xf numFmtId="0" fontId="83" fillId="0" borderId="0" xfId="0" applyFont="1"/>
    <xf numFmtId="10" fontId="83" fillId="0" borderId="0" xfId="0" applyNumberFormat="1" applyFont="1" applyAlignment="1">
      <alignment horizontal="center"/>
    </xf>
    <xf numFmtId="10" fontId="83" fillId="0" borderId="0" xfId="0" applyNumberFormat="1" applyFont="1" applyAlignment="1">
      <alignment horizontal="right"/>
    </xf>
    <xf numFmtId="0" fontId="82" fillId="91" borderId="81" xfId="0" applyFont="1" applyFill="1" applyBorder="1"/>
    <xf numFmtId="10" fontId="82" fillId="91" borderId="81" xfId="0" applyNumberFormat="1" applyFont="1" applyFill="1" applyBorder="1" applyAlignment="1">
      <alignment horizontal="center"/>
    </xf>
    <xf numFmtId="10" fontId="82" fillId="91" borderId="81" xfId="0" applyNumberFormat="1" applyFont="1" applyFill="1" applyBorder="1" applyAlignment="1">
      <alignment horizontal="right"/>
    </xf>
    <xf numFmtId="0" fontId="31" fillId="22" borderId="13" xfId="247" applyFont="1" applyFill="1" applyBorder="1" applyAlignment="1">
      <alignment horizontal="center"/>
    </xf>
    <xf numFmtId="0" fontId="31" fillId="22" borderId="14" xfId="247" applyFont="1" applyFill="1" applyBorder="1" applyAlignment="1">
      <alignment horizontal="center"/>
    </xf>
    <xf numFmtId="0" fontId="31" fillId="22" borderId="12" xfId="247" applyFont="1" applyFill="1" applyBorder="1" applyAlignment="1">
      <alignment horizontal="center"/>
    </xf>
    <xf numFmtId="0" fontId="28" fillId="23" borderId="3" xfId="0" applyFont="1" applyFill="1" applyBorder="1" applyAlignment="1">
      <alignment horizontal="center"/>
    </xf>
    <xf numFmtId="0" fontId="10" fillId="0" borderId="3" xfId="0" applyFont="1" applyBorder="1" applyAlignment="1">
      <alignment horizontal="center"/>
    </xf>
    <xf numFmtId="0" fontId="10" fillId="0" borderId="29" xfId="0" applyFont="1" applyBorder="1" applyAlignment="1">
      <alignment horizontal="left" vertical="center" wrapText="1" readingOrder="1"/>
    </xf>
    <xf numFmtId="0" fontId="10" fillId="0" borderId="33" xfId="0" applyFont="1" applyBorder="1" applyAlignment="1">
      <alignment horizontal="left" vertical="center" wrapText="1" readingOrder="1"/>
    </xf>
    <xf numFmtId="0" fontId="10" fillId="0" borderId="35" xfId="0" applyFont="1" applyBorder="1" applyAlignment="1">
      <alignment horizontal="left" vertical="center" wrapText="1" readingOrder="1"/>
    </xf>
    <xf numFmtId="0" fontId="10" fillId="0" borderId="43" xfId="0" applyFont="1" applyBorder="1" applyAlignment="1">
      <alignment horizontal="left" vertical="center" wrapText="1" readingOrder="1"/>
    </xf>
    <xf numFmtId="0" fontId="10" fillId="31" borderId="29" xfId="0" applyFont="1" applyFill="1" applyBorder="1" applyAlignment="1">
      <alignment horizontal="center" wrapText="1" readingOrder="1"/>
    </xf>
    <xf numFmtId="0" fontId="10" fillId="31" borderId="42" xfId="0" applyFont="1" applyFill="1" applyBorder="1" applyAlignment="1">
      <alignment horizontal="center" wrapText="1" readingOrder="1"/>
    </xf>
    <xf numFmtId="0" fontId="10" fillId="31" borderId="30" xfId="0" applyFont="1" applyFill="1" applyBorder="1" applyAlignment="1">
      <alignment horizontal="center" wrapText="1" readingOrder="1"/>
    </xf>
    <xf numFmtId="0" fontId="10" fillId="73" borderId="29" xfId="0" applyFont="1" applyFill="1" applyBorder="1" applyAlignment="1">
      <alignment horizontal="center" readingOrder="1"/>
    </xf>
    <xf numFmtId="0" fontId="10" fillId="73" borderId="30" xfId="0" applyFont="1" applyFill="1" applyBorder="1" applyAlignment="1">
      <alignment horizontal="center" readingOrder="1"/>
    </xf>
    <xf numFmtId="0" fontId="10" fillId="0" borderId="46" xfId="0" applyFont="1" applyBorder="1" applyAlignment="1">
      <alignment horizontal="left" vertical="center" wrapText="1" readingOrder="1"/>
    </xf>
    <xf numFmtId="0" fontId="5" fillId="79" borderId="0" xfId="0" applyFont="1" applyFill="1" applyAlignment="1">
      <alignment horizontal="left" vertical="center" wrapText="1" readingOrder="1"/>
    </xf>
    <xf numFmtId="0" fontId="27" fillId="79" borderId="20" xfId="0" applyFont="1" applyFill="1" applyBorder="1" applyAlignment="1">
      <alignment horizontal="left" vertical="center" wrapText="1" readingOrder="1"/>
    </xf>
    <xf numFmtId="0" fontId="10" fillId="0" borderId="0" xfId="0" applyFont="1" applyAlignment="1">
      <alignment horizontal="center" wrapText="1" readingOrder="1"/>
    </xf>
    <xf numFmtId="1" fontId="10" fillId="0" borderId="20" xfId="0" applyNumberFormat="1" applyFont="1" applyBorder="1" applyAlignment="1">
      <alignment horizontal="center" readingOrder="1"/>
    </xf>
    <xf numFmtId="0" fontId="5" fillId="0" borderId="22" xfId="1227" applyBorder="1" applyAlignment="1">
      <alignment horizontal="center"/>
    </xf>
    <xf numFmtId="0" fontId="5" fillId="0" borderId="24" xfId="1227" applyBorder="1" applyAlignment="1">
      <alignment horizontal="center"/>
    </xf>
    <xf numFmtId="0" fontId="5" fillId="0" borderId="23" xfId="1227" applyBorder="1" applyAlignment="1">
      <alignment horizontal="center"/>
    </xf>
    <xf numFmtId="0" fontId="5" fillId="0" borderId="16" xfId="1227" applyBorder="1" applyAlignment="1">
      <alignment horizontal="center"/>
    </xf>
    <xf numFmtId="0" fontId="5" fillId="0" borderId="17" xfId="1227" applyBorder="1" applyAlignment="1">
      <alignment horizontal="center"/>
    </xf>
    <xf numFmtId="0" fontId="5" fillId="0" borderId="18" xfId="1227" applyBorder="1" applyAlignment="1">
      <alignment horizontal="center"/>
    </xf>
    <xf numFmtId="0" fontId="5" fillId="0" borderId="0" xfId="198" applyAlignment="1">
      <alignment horizontal="left" wrapText="1" readingOrder="1"/>
    </xf>
    <xf numFmtId="9" fontId="0" fillId="0" borderId="45" xfId="423" applyNumberFormat="1" applyFont="1" applyBorder="1" applyAlignment="1">
      <alignment horizontal="center" vertical="center"/>
    </xf>
    <xf numFmtId="9" fontId="0" fillId="0" borderId="39" xfId="423" applyNumberFormat="1" applyFont="1" applyBorder="1" applyAlignment="1">
      <alignment horizontal="center" vertical="center"/>
    </xf>
    <xf numFmtId="0" fontId="0" fillId="84" borderId="29" xfId="0" applyFill="1" applyBorder="1" applyAlignment="1">
      <alignment horizontal="center" vertical="center" wrapText="1"/>
    </xf>
    <xf numFmtId="0" fontId="0" fillId="84" borderId="42" xfId="0" applyFill="1" applyBorder="1" applyAlignment="1">
      <alignment horizontal="center" vertical="center" wrapText="1"/>
    </xf>
    <xf numFmtId="0" fontId="0" fillId="84" borderId="30" xfId="0" applyFill="1" applyBorder="1" applyAlignment="1">
      <alignment horizontal="center" vertical="center" wrapText="1"/>
    </xf>
    <xf numFmtId="0" fontId="67" fillId="84" borderId="28" xfId="0" applyFont="1" applyFill="1" applyBorder="1" applyAlignment="1">
      <alignment horizontal="left" vertical="center" wrapText="1"/>
    </xf>
    <xf numFmtId="0" fontId="67" fillId="84" borderId="68" xfId="0" applyFont="1" applyFill="1" applyBorder="1" applyAlignment="1">
      <alignment horizontal="left" vertical="center" wrapText="1"/>
    </xf>
    <xf numFmtId="0" fontId="0" fillId="84" borderId="16" xfId="0" applyFill="1" applyBorder="1" applyAlignment="1">
      <alignment horizontal="left" vertical="center" wrapText="1"/>
    </xf>
    <xf numFmtId="0" fontId="0" fillId="84" borderId="67" xfId="0" applyFill="1" applyBorder="1" applyAlignment="1">
      <alignment horizontal="left" vertical="center" wrapText="1"/>
    </xf>
    <xf numFmtId="0" fontId="5" fillId="0" borderId="0" xfId="176" applyAlignment="1">
      <alignment horizontal="left" vertical="center" wrapText="1" readingOrder="1"/>
    </xf>
    <xf numFmtId="0" fontId="5" fillId="0" borderId="0" xfId="176" applyFont="1" applyAlignment="1">
      <alignment horizontal="left" wrapText="1" readingOrder="1"/>
    </xf>
    <xf numFmtId="0" fontId="5" fillId="0" borderId="0" xfId="176" applyNumberFormat="1" applyFont="1" applyAlignment="1">
      <alignment horizontal="left" wrapText="1" readingOrder="1"/>
    </xf>
    <xf numFmtId="0" fontId="10" fillId="0" borderId="40" xfId="176" applyFont="1" applyBorder="1" applyAlignment="1">
      <alignment horizontal="center" readingOrder="1"/>
    </xf>
    <xf numFmtId="0" fontId="10" fillId="0" borderId="69" xfId="176" applyFont="1" applyBorder="1" applyAlignment="1">
      <alignment horizontal="center" readingOrder="1"/>
    </xf>
    <xf numFmtId="0" fontId="10" fillId="0" borderId="70" xfId="176" applyFont="1" applyBorder="1" applyAlignment="1">
      <alignment horizontal="center" readingOrder="1"/>
    </xf>
    <xf numFmtId="0" fontId="5" fillId="0" borderId="0" xfId="176" applyFont="1" applyAlignment="1">
      <alignment horizontal="left" vertical="center" wrapText="1" readingOrder="1"/>
    </xf>
    <xf numFmtId="0" fontId="71" fillId="85" borderId="27" xfId="176" applyFont="1" applyFill="1" applyBorder="1" applyAlignment="1">
      <alignment vertical="center" wrapText="1"/>
    </xf>
    <xf numFmtId="0" fontId="71" fillId="85" borderId="32" xfId="176" applyFont="1" applyFill="1" applyBorder="1" applyAlignment="1">
      <alignment vertical="center" wrapText="1"/>
    </xf>
    <xf numFmtId="0" fontId="71" fillId="85" borderId="73" xfId="176" applyFont="1" applyFill="1" applyBorder="1" applyAlignment="1">
      <alignment vertical="center" wrapText="1"/>
    </xf>
    <xf numFmtId="0" fontId="71" fillId="85" borderId="22" xfId="176" applyFont="1" applyFill="1" applyBorder="1" applyAlignment="1">
      <alignment vertical="center" wrapText="1"/>
    </xf>
    <xf numFmtId="0" fontId="71" fillId="85" borderId="24" xfId="176" applyFont="1" applyFill="1" applyBorder="1" applyAlignment="1">
      <alignment vertical="center" wrapText="1"/>
    </xf>
    <xf numFmtId="0" fontId="71" fillId="85" borderId="71" xfId="176" applyFont="1" applyFill="1" applyBorder="1" applyAlignment="1">
      <alignment vertical="center" wrapText="1"/>
    </xf>
    <xf numFmtId="0" fontId="71" fillId="85" borderId="72" xfId="176" applyFont="1" applyFill="1" applyBorder="1" applyAlignment="1">
      <alignment vertical="center" wrapText="1"/>
    </xf>
    <xf numFmtId="0" fontId="77" fillId="87" borderId="22" xfId="0" applyFont="1" applyFill="1" applyBorder="1" applyAlignment="1">
      <alignment horizontal="center"/>
    </xf>
    <xf numFmtId="0" fontId="77" fillId="87" borderId="24" xfId="0" applyFont="1" applyFill="1" applyBorder="1" applyAlignment="1">
      <alignment horizontal="center"/>
    </xf>
    <xf numFmtId="0" fontId="77" fillId="87" borderId="71" xfId="0" applyFont="1" applyFill="1" applyBorder="1" applyAlignment="1">
      <alignment horizontal="center"/>
    </xf>
    <xf numFmtId="0" fontId="77" fillId="82" borderId="0" xfId="0" applyFont="1" applyFill="1"/>
    <xf numFmtId="0" fontId="77" fillId="82" borderId="20" xfId="0" applyFont="1" applyFill="1" applyBorder="1"/>
    <xf numFmtId="0" fontId="78" fillId="82" borderId="0" xfId="0" applyFont="1" applyFill="1"/>
    <xf numFmtId="0" fontId="78" fillId="82" borderId="20" xfId="0" applyFont="1" applyFill="1" applyBorder="1"/>
    <xf numFmtId="0" fontId="77" fillId="88" borderId="22" xfId="0" applyFont="1" applyFill="1" applyBorder="1" applyAlignment="1">
      <alignment horizontal="center"/>
    </xf>
    <xf numFmtId="0" fontId="77" fillId="88" borderId="24" xfId="0" applyFont="1" applyFill="1" applyBorder="1" applyAlignment="1">
      <alignment horizontal="center"/>
    </xf>
    <xf numFmtId="0" fontId="77" fillId="88" borderId="71" xfId="0" applyFont="1" applyFill="1" applyBorder="1" applyAlignment="1">
      <alignment horizontal="center"/>
    </xf>
    <xf numFmtId="0" fontId="77" fillId="89" borderId="22" xfId="0" applyFont="1" applyFill="1" applyBorder="1" applyAlignment="1">
      <alignment horizontal="center"/>
    </xf>
    <xf numFmtId="0" fontId="77" fillId="89" borderId="24" xfId="0" applyFont="1" applyFill="1" applyBorder="1" applyAlignment="1">
      <alignment horizontal="center"/>
    </xf>
    <xf numFmtId="0" fontId="77" fillId="89" borderId="71" xfId="0" applyFont="1" applyFill="1" applyBorder="1" applyAlignment="1">
      <alignment horizontal="center"/>
    </xf>
    <xf numFmtId="0" fontId="77" fillId="90" borderId="22" xfId="0" applyFont="1" applyFill="1" applyBorder="1" applyAlignment="1">
      <alignment horizontal="center"/>
    </xf>
    <xf numFmtId="0" fontId="77" fillId="90" borderId="24" xfId="0" applyFont="1" applyFill="1" applyBorder="1" applyAlignment="1">
      <alignment horizontal="center"/>
    </xf>
    <xf numFmtId="0" fontId="77" fillId="90" borderId="71" xfId="0" applyFont="1" applyFill="1" applyBorder="1" applyAlignment="1">
      <alignment horizontal="center"/>
    </xf>
    <xf numFmtId="166" fontId="0" fillId="27" borderId="5" xfId="0" applyNumberFormat="1" applyFill="1" applyBorder="1">
      <alignment readingOrder="1"/>
    </xf>
    <xf numFmtId="166" fontId="0" fillId="27" borderId="0" xfId="0" applyNumberFormat="1" applyFill="1">
      <alignment readingOrder="1"/>
    </xf>
  </cellXfs>
  <cellStyles count="8991">
    <cellStyle name="20% - Accent1 2" xfId="8"/>
    <cellStyle name="20% - Accent1 2 2" xfId="9"/>
    <cellStyle name="20% - Accent1 2 2 2" xfId="508"/>
    <cellStyle name="20% - Accent1 2 2 2 2" xfId="509"/>
    <cellStyle name="20% - Accent1 2 2 3" xfId="510"/>
    <cellStyle name="20% - Accent1 2 2 3 2" xfId="511"/>
    <cellStyle name="20% - Accent1 2 2 4" xfId="512"/>
    <cellStyle name="20% - Accent1 2 2 5" xfId="513"/>
    <cellStyle name="20% - Accent1 2 3" xfId="514"/>
    <cellStyle name="20% - Accent1 2 3 2" xfId="515"/>
    <cellStyle name="20% - Accent1 2 4" xfId="516"/>
    <cellStyle name="20% - Accent1 2 4 2" xfId="517"/>
    <cellStyle name="20% - Accent1 2 5" xfId="518"/>
    <cellStyle name="20% - Accent1 2 5 2" xfId="519"/>
    <cellStyle name="20% - Accent1 3" xfId="10"/>
    <cellStyle name="20% - Accent1 3 2" xfId="11"/>
    <cellStyle name="20% - Accent1 3 2 2" xfId="520"/>
    <cellStyle name="20% - Accent1 3 2 2 2" xfId="521"/>
    <cellStyle name="20% - Accent1 3 2 3" xfId="522"/>
    <cellStyle name="20% - Accent1 3 2 3 2" xfId="523"/>
    <cellStyle name="20% - Accent1 3 2 4" xfId="524"/>
    <cellStyle name="20% - Accent1 3 3" xfId="525"/>
    <cellStyle name="20% - Accent1 3 3 2" xfId="526"/>
    <cellStyle name="20% - Accent1 3 4" xfId="527"/>
    <cellStyle name="20% - Accent1 3 4 2" xfId="528"/>
    <cellStyle name="20% - Accent1 3 5" xfId="529"/>
    <cellStyle name="20% - Accent1 4" xfId="12"/>
    <cellStyle name="20% - Accent1 4 2" xfId="13"/>
    <cellStyle name="20% - Accent1 4 2 2" xfId="530"/>
    <cellStyle name="20% - Accent1 4 2 2 2" xfId="531"/>
    <cellStyle name="20% - Accent1 4 2 3" xfId="532"/>
    <cellStyle name="20% - Accent1 4 2 3 2" xfId="533"/>
    <cellStyle name="20% - Accent1 4 2 4" xfId="534"/>
    <cellStyle name="20% - Accent1 4 3" xfId="535"/>
    <cellStyle name="20% - Accent1 4 3 2" xfId="536"/>
    <cellStyle name="20% - Accent1 4 4" xfId="537"/>
    <cellStyle name="20% - Accent1 4 4 2" xfId="538"/>
    <cellStyle name="20% - Accent1 4 5" xfId="539"/>
    <cellStyle name="20% - Accent1 5" xfId="14"/>
    <cellStyle name="20% - Accent1 5 2" xfId="540"/>
    <cellStyle name="20% - Accent1 5 2 2" xfId="541"/>
    <cellStyle name="20% - Accent1 5 3" xfId="542"/>
    <cellStyle name="20% - Accent1 5 3 2" xfId="543"/>
    <cellStyle name="20% - Accent1 5 4" xfId="544"/>
    <cellStyle name="20% - Accent2 2" xfId="15"/>
    <cellStyle name="20% - Accent2 2 2" xfId="16"/>
    <cellStyle name="20% - Accent2 2 2 2" xfId="545"/>
    <cellStyle name="20% - Accent2 2 2 2 2" xfId="546"/>
    <cellStyle name="20% - Accent2 2 2 3" xfId="547"/>
    <cellStyle name="20% - Accent2 2 2 3 2" xfId="548"/>
    <cellStyle name="20% - Accent2 2 2 4" xfId="549"/>
    <cellStyle name="20% - Accent2 2 3" xfId="550"/>
    <cellStyle name="20% - Accent2 2 3 2" xfId="551"/>
    <cellStyle name="20% - Accent2 2 4" xfId="552"/>
    <cellStyle name="20% - Accent2 2 4 2" xfId="553"/>
    <cellStyle name="20% - Accent2 2 5" xfId="554"/>
    <cellStyle name="20% - Accent2 2 5 2" xfId="555"/>
    <cellStyle name="20% - Accent2 3" xfId="17"/>
    <cellStyle name="20% - Accent2 3 2" xfId="18"/>
    <cellStyle name="20% - Accent2 3 2 2" xfId="556"/>
    <cellStyle name="20% - Accent2 3 2 2 2" xfId="557"/>
    <cellStyle name="20% - Accent2 3 2 3" xfId="558"/>
    <cellStyle name="20% - Accent2 3 2 3 2" xfId="559"/>
    <cellStyle name="20% - Accent2 3 2 4" xfId="560"/>
    <cellStyle name="20% - Accent2 3 3" xfId="561"/>
    <cellStyle name="20% - Accent2 3 3 2" xfId="562"/>
    <cellStyle name="20% - Accent2 3 4" xfId="563"/>
    <cellStyle name="20% - Accent2 3 4 2" xfId="564"/>
    <cellStyle name="20% - Accent2 3 5" xfId="565"/>
    <cellStyle name="20% - Accent2 4" xfId="19"/>
    <cellStyle name="20% - Accent2 4 2" xfId="20"/>
    <cellStyle name="20% - Accent2 4 2 2" xfId="566"/>
    <cellStyle name="20% - Accent2 4 2 2 2" xfId="567"/>
    <cellStyle name="20% - Accent2 4 2 3" xfId="568"/>
    <cellStyle name="20% - Accent2 4 2 3 2" xfId="569"/>
    <cellStyle name="20% - Accent2 4 2 4" xfId="570"/>
    <cellStyle name="20% - Accent2 4 3" xfId="571"/>
    <cellStyle name="20% - Accent2 4 3 2" xfId="572"/>
    <cellStyle name="20% - Accent2 4 4" xfId="573"/>
    <cellStyle name="20% - Accent2 4 4 2" xfId="574"/>
    <cellStyle name="20% - Accent2 4 5" xfId="575"/>
    <cellStyle name="20% - Accent2 5" xfId="21"/>
    <cellStyle name="20% - Accent2 5 2" xfId="576"/>
    <cellStyle name="20% - Accent2 5 2 2" xfId="577"/>
    <cellStyle name="20% - Accent2 5 3" xfId="578"/>
    <cellStyle name="20% - Accent2 5 3 2" xfId="579"/>
    <cellStyle name="20% - Accent2 5 4" xfId="580"/>
    <cellStyle name="20% - Accent3 2" xfId="22"/>
    <cellStyle name="20% - Accent3 2 2" xfId="23"/>
    <cellStyle name="20% - Accent3 2 2 2" xfId="581"/>
    <cellStyle name="20% - Accent3 2 2 2 2" xfId="582"/>
    <cellStyle name="20% - Accent3 2 2 3" xfId="583"/>
    <cellStyle name="20% - Accent3 2 2 3 2" xfId="584"/>
    <cellStyle name="20% - Accent3 2 2 4" xfId="585"/>
    <cellStyle name="20% - Accent3 2 2 5" xfId="586"/>
    <cellStyle name="20% - Accent3 2 3" xfId="587"/>
    <cellStyle name="20% - Accent3 2 3 2" xfId="588"/>
    <cellStyle name="20% - Accent3 2 4" xfId="589"/>
    <cellStyle name="20% - Accent3 2 4 2" xfId="590"/>
    <cellStyle name="20% - Accent3 2 5" xfId="591"/>
    <cellStyle name="20% - Accent3 2 5 2" xfId="592"/>
    <cellStyle name="20% - Accent3 3" xfId="24"/>
    <cellStyle name="20% - Accent3 3 2" xfId="25"/>
    <cellStyle name="20% - Accent3 3 2 2" xfId="593"/>
    <cellStyle name="20% - Accent3 3 2 2 2" xfId="594"/>
    <cellStyle name="20% - Accent3 3 2 3" xfId="595"/>
    <cellStyle name="20% - Accent3 3 2 3 2" xfId="596"/>
    <cellStyle name="20% - Accent3 3 2 4" xfId="597"/>
    <cellStyle name="20% - Accent3 3 3" xfId="598"/>
    <cellStyle name="20% - Accent3 3 3 2" xfId="599"/>
    <cellStyle name="20% - Accent3 3 4" xfId="600"/>
    <cellStyle name="20% - Accent3 3 4 2" xfId="601"/>
    <cellStyle name="20% - Accent3 3 5" xfId="602"/>
    <cellStyle name="20% - Accent3 4" xfId="26"/>
    <cellStyle name="20% - Accent3 4 2" xfId="27"/>
    <cellStyle name="20% - Accent3 4 2 2" xfId="603"/>
    <cellStyle name="20% - Accent3 4 2 2 2" xfId="604"/>
    <cellStyle name="20% - Accent3 4 2 3" xfId="605"/>
    <cellStyle name="20% - Accent3 4 2 3 2" xfId="606"/>
    <cellStyle name="20% - Accent3 4 2 4" xfId="607"/>
    <cellStyle name="20% - Accent3 4 3" xfId="608"/>
    <cellStyle name="20% - Accent3 4 3 2" xfId="609"/>
    <cellStyle name="20% - Accent3 4 4" xfId="610"/>
    <cellStyle name="20% - Accent3 4 4 2" xfId="611"/>
    <cellStyle name="20% - Accent3 4 5" xfId="612"/>
    <cellStyle name="20% - Accent3 5" xfId="28"/>
    <cellStyle name="20% - Accent3 5 2" xfId="613"/>
    <cellStyle name="20% - Accent3 5 2 2" xfId="614"/>
    <cellStyle name="20% - Accent3 5 3" xfId="615"/>
    <cellStyle name="20% - Accent3 5 3 2" xfId="616"/>
    <cellStyle name="20% - Accent3 5 4" xfId="617"/>
    <cellStyle name="20% - Accent4 2" xfId="29"/>
    <cellStyle name="20% - Accent4 2 2" xfId="30"/>
    <cellStyle name="20% - Accent4 2 2 2" xfId="618"/>
    <cellStyle name="20% - Accent4 2 2 2 2" xfId="619"/>
    <cellStyle name="20% - Accent4 2 2 3" xfId="620"/>
    <cellStyle name="20% - Accent4 2 2 3 2" xfId="621"/>
    <cellStyle name="20% - Accent4 2 2 4" xfId="622"/>
    <cellStyle name="20% - Accent4 2 2 5" xfId="623"/>
    <cellStyle name="20% - Accent4 2 3" xfId="624"/>
    <cellStyle name="20% - Accent4 2 3 2" xfId="625"/>
    <cellStyle name="20% - Accent4 2 4" xfId="626"/>
    <cellStyle name="20% - Accent4 2 4 2" xfId="627"/>
    <cellStyle name="20% - Accent4 2 5" xfId="628"/>
    <cellStyle name="20% - Accent4 2 5 2" xfId="629"/>
    <cellStyle name="20% - Accent4 3" xfId="31"/>
    <cellStyle name="20% - Accent4 3 2" xfId="32"/>
    <cellStyle name="20% - Accent4 3 2 2" xfId="630"/>
    <cellStyle name="20% - Accent4 3 2 2 2" xfId="631"/>
    <cellStyle name="20% - Accent4 3 2 3" xfId="632"/>
    <cellStyle name="20% - Accent4 3 2 3 2" xfId="633"/>
    <cellStyle name="20% - Accent4 3 2 4" xfId="634"/>
    <cellStyle name="20% - Accent4 3 3" xfId="635"/>
    <cellStyle name="20% - Accent4 3 3 2" xfId="636"/>
    <cellStyle name="20% - Accent4 3 4" xfId="637"/>
    <cellStyle name="20% - Accent4 3 4 2" xfId="638"/>
    <cellStyle name="20% - Accent4 3 5" xfId="639"/>
    <cellStyle name="20% - Accent4 4" xfId="33"/>
    <cellStyle name="20% - Accent4 4 2" xfId="34"/>
    <cellStyle name="20% - Accent4 4 2 2" xfId="640"/>
    <cellStyle name="20% - Accent4 4 2 2 2" xfId="641"/>
    <cellStyle name="20% - Accent4 4 2 3" xfId="642"/>
    <cellStyle name="20% - Accent4 4 2 3 2" xfId="643"/>
    <cellStyle name="20% - Accent4 4 2 4" xfId="644"/>
    <cellStyle name="20% - Accent4 4 3" xfId="645"/>
    <cellStyle name="20% - Accent4 4 3 2" xfId="646"/>
    <cellStyle name="20% - Accent4 4 4" xfId="647"/>
    <cellStyle name="20% - Accent4 4 4 2" xfId="648"/>
    <cellStyle name="20% - Accent4 4 5" xfId="649"/>
    <cellStyle name="20% - Accent4 5" xfId="35"/>
    <cellStyle name="20% - Accent4 5 2" xfId="650"/>
    <cellStyle name="20% - Accent4 5 2 2" xfId="651"/>
    <cellStyle name="20% - Accent4 5 3" xfId="652"/>
    <cellStyle name="20% - Accent4 5 3 2" xfId="653"/>
    <cellStyle name="20% - Accent4 5 4" xfId="654"/>
    <cellStyle name="20% - Accent5 2" xfId="36"/>
    <cellStyle name="20% - Accent5 2 2" xfId="37"/>
    <cellStyle name="20% - Accent5 2 2 2" xfId="655"/>
    <cellStyle name="20% - Accent5 2 2 2 2" xfId="656"/>
    <cellStyle name="20% - Accent5 2 2 3" xfId="657"/>
    <cellStyle name="20% - Accent5 2 2 3 2" xfId="658"/>
    <cellStyle name="20% - Accent5 2 2 4" xfId="659"/>
    <cellStyle name="20% - Accent5 2 3" xfId="660"/>
    <cellStyle name="20% - Accent5 2 3 2" xfId="661"/>
    <cellStyle name="20% - Accent5 2 4" xfId="662"/>
    <cellStyle name="20% - Accent5 2 4 2" xfId="663"/>
    <cellStyle name="20% - Accent5 2 5" xfId="664"/>
    <cellStyle name="20% - Accent5 2 5 2" xfId="665"/>
    <cellStyle name="20% - Accent5 3" xfId="38"/>
    <cellStyle name="20% - Accent5 3 2" xfId="39"/>
    <cellStyle name="20% - Accent5 3 2 2" xfId="666"/>
    <cellStyle name="20% - Accent5 3 2 2 2" xfId="667"/>
    <cellStyle name="20% - Accent5 3 2 3" xfId="668"/>
    <cellStyle name="20% - Accent5 3 2 3 2" xfId="669"/>
    <cellStyle name="20% - Accent5 3 2 4" xfId="670"/>
    <cellStyle name="20% - Accent5 3 3" xfId="671"/>
    <cellStyle name="20% - Accent5 3 3 2" xfId="672"/>
    <cellStyle name="20% - Accent5 3 4" xfId="673"/>
    <cellStyle name="20% - Accent5 3 4 2" xfId="674"/>
    <cellStyle name="20% - Accent5 3 5" xfId="675"/>
    <cellStyle name="20% - Accent5 4" xfId="40"/>
    <cellStyle name="20% - Accent5 4 2" xfId="41"/>
    <cellStyle name="20% - Accent5 4 2 2" xfId="676"/>
    <cellStyle name="20% - Accent5 4 2 2 2" xfId="677"/>
    <cellStyle name="20% - Accent5 4 2 3" xfId="678"/>
    <cellStyle name="20% - Accent5 4 2 3 2" xfId="679"/>
    <cellStyle name="20% - Accent5 4 2 4" xfId="680"/>
    <cellStyle name="20% - Accent5 4 3" xfId="681"/>
    <cellStyle name="20% - Accent5 4 3 2" xfId="682"/>
    <cellStyle name="20% - Accent5 4 4" xfId="683"/>
    <cellStyle name="20% - Accent5 4 4 2" xfId="684"/>
    <cellStyle name="20% - Accent5 4 5" xfId="685"/>
    <cellStyle name="20% - Accent5 5" xfId="42"/>
    <cellStyle name="20% - Accent5 5 2" xfId="686"/>
    <cellStyle name="20% - Accent5 5 2 2" xfId="687"/>
    <cellStyle name="20% - Accent5 5 3" xfId="688"/>
    <cellStyle name="20% - Accent5 5 3 2" xfId="689"/>
    <cellStyle name="20% - Accent5 5 4" xfId="690"/>
    <cellStyle name="20% - Accent6 2" xfId="43"/>
    <cellStyle name="20% - Accent6 2 2" xfId="44"/>
    <cellStyle name="20% - Accent6 2 2 2" xfId="691"/>
    <cellStyle name="20% - Accent6 2 2 2 2" xfId="692"/>
    <cellStyle name="20% - Accent6 2 2 3" xfId="693"/>
    <cellStyle name="20% - Accent6 2 2 3 2" xfId="694"/>
    <cellStyle name="20% - Accent6 2 2 4" xfId="695"/>
    <cellStyle name="20% - Accent6 2 3" xfId="696"/>
    <cellStyle name="20% - Accent6 2 3 2" xfId="697"/>
    <cellStyle name="20% - Accent6 2 4" xfId="698"/>
    <cellStyle name="20% - Accent6 2 4 2" xfId="699"/>
    <cellStyle name="20% - Accent6 2 5" xfId="700"/>
    <cellStyle name="20% - Accent6 2 5 2" xfId="701"/>
    <cellStyle name="20% - Accent6 3" xfId="45"/>
    <cellStyle name="20% - Accent6 3 2" xfId="46"/>
    <cellStyle name="20% - Accent6 3 2 2" xfId="702"/>
    <cellStyle name="20% - Accent6 3 2 2 2" xfId="703"/>
    <cellStyle name="20% - Accent6 3 2 3" xfId="704"/>
    <cellStyle name="20% - Accent6 3 2 3 2" xfId="705"/>
    <cellStyle name="20% - Accent6 3 2 4" xfId="706"/>
    <cellStyle name="20% - Accent6 3 3" xfId="707"/>
    <cellStyle name="20% - Accent6 3 3 2" xfId="708"/>
    <cellStyle name="20% - Accent6 3 4" xfId="709"/>
    <cellStyle name="20% - Accent6 3 4 2" xfId="710"/>
    <cellStyle name="20% - Accent6 3 5" xfId="711"/>
    <cellStyle name="20% - Accent6 4" xfId="47"/>
    <cellStyle name="20% - Accent6 4 2" xfId="48"/>
    <cellStyle name="20% - Accent6 4 2 2" xfId="712"/>
    <cellStyle name="20% - Accent6 4 2 2 2" xfId="713"/>
    <cellStyle name="20% - Accent6 4 2 3" xfId="714"/>
    <cellStyle name="20% - Accent6 4 2 3 2" xfId="715"/>
    <cellStyle name="20% - Accent6 4 2 4" xfId="716"/>
    <cellStyle name="20% - Accent6 4 3" xfId="717"/>
    <cellStyle name="20% - Accent6 4 3 2" xfId="718"/>
    <cellStyle name="20% - Accent6 4 4" xfId="719"/>
    <cellStyle name="20% - Accent6 4 4 2" xfId="720"/>
    <cellStyle name="20% - Accent6 4 5" xfId="721"/>
    <cellStyle name="20% - Accent6 5" xfId="49"/>
    <cellStyle name="20% - Accent6 5 2" xfId="722"/>
    <cellStyle name="20% - Accent6 5 2 2" xfId="723"/>
    <cellStyle name="20% - Accent6 5 3" xfId="724"/>
    <cellStyle name="20% - Accent6 5 3 2" xfId="725"/>
    <cellStyle name="20% - Accent6 5 4" xfId="726"/>
    <cellStyle name="40% - Accent1 2" xfId="50"/>
    <cellStyle name="40% - Accent1 2 2" xfId="51"/>
    <cellStyle name="40% - Accent1 2 2 2" xfId="727"/>
    <cellStyle name="40% - Accent1 2 2 2 2" xfId="728"/>
    <cellStyle name="40% - Accent1 2 2 3" xfId="729"/>
    <cellStyle name="40% - Accent1 2 2 3 2" xfId="730"/>
    <cellStyle name="40% - Accent1 2 2 4" xfId="731"/>
    <cellStyle name="40% - Accent1 2 2 5" xfId="732"/>
    <cellStyle name="40% - Accent1 2 3" xfId="733"/>
    <cellStyle name="40% - Accent1 2 3 2" xfId="734"/>
    <cellStyle name="40% - Accent1 2 4" xfId="735"/>
    <cellStyle name="40% - Accent1 2 4 2" xfId="736"/>
    <cellStyle name="40% - Accent1 2 5" xfId="737"/>
    <cellStyle name="40% - Accent1 2 5 2" xfId="738"/>
    <cellStyle name="40% - Accent1 3" xfId="52"/>
    <cellStyle name="40% - Accent1 3 2" xfId="53"/>
    <cellStyle name="40% - Accent1 3 2 2" xfId="739"/>
    <cellStyle name="40% - Accent1 3 2 2 2" xfId="740"/>
    <cellStyle name="40% - Accent1 3 2 3" xfId="741"/>
    <cellStyle name="40% - Accent1 3 2 3 2" xfId="742"/>
    <cellStyle name="40% - Accent1 3 2 4" xfId="743"/>
    <cellStyle name="40% - Accent1 3 3" xfId="744"/>
    <cellStyle name="40% - Accent1 3 3 2" xfId="745"/>
    <cellStyle name="40% - Accent1 3 4" xfId="746"/>
    <cellStyle name="40% - Accent1 3 4 2" xfId="747"/>
    <cellStyle name="40% - Accent1 3 5" xfId="748"/>
    <cellStyle name="40% - Accent1 4" xfId="54"/>
    <cellStyle name="40% - Accent1 4 2" xfId="55"/>
    <cellStyle name="40% - Accent1 4 2 2" xfId="749"/>
    <cellStyle name="40% - Accent1 4 2 2 2" xfId="750"/>
    <cellStyle name="40% - Accent1 4 2 3" xfId="751"/>
    <cellStyle name="40% - Accent1 4 2 3 2" xfId="752"/>
    <cellStyle name="40% - Accent1 4 2 4" xfId="753"/>
    <cellStyle name="40% - Accent1 4 3" xfId="754"/>
    <cellStyle name="40% - Accent1 4 3 2" xfId="755"/>
    <cellStyle name="40% - Accent1 4 4" xfId="756"/>
    <cellStyle name="40% - Accent1 4 4 2" xfId="757"/>
    <cellStyle name="40% - Accent1 4 5" xfId="758"/>
    <cellStyle name="40% - Accent1 5" xfId="56"/>
    <cellStyle name="40% - Accent1 5 2" xfId="759"/>
    <cellStyle name="40% - Accent1 5 2 2" xfId="760"/>
    <cellStyle name="40% - Accent1 5 3" xfId="761"/>
    <cellStyle name="40% - Accent1 5 3 2" xfId="762"/>
    <cellStyle name="40% - Accent1 5 4" xfId="763"/>
    <cellStyle name="40% - Accent2 2" xfId="57"/>
    <cellStyle name="40% - Accent2 2 2" xfId="58"/>
    <cellStyle name="40% - Accent2 2 2 2" xfId="764"/>
    <cellStyle name="40% - Accent2 2 2 2 2" xfId="765"/>
    <cellStyle name="40% - Accent2 2 2 3" xfId="766"/>
    <cellStyle name="40% - Accent2 2 2 3 2" xfId="767"/>
    <cellStyle name="40% - Accent2 2 2 4" xfId="768"/>
    <cellStyle name="40% - Accent2 2 2 5" xfId="769"/>
    <cellStyle name="40% - Accent2 2 3" xfId="770"/>
    <cellStyle name="40% - Accent2 2 3 2" xfId="771"/>
    <cellStyle name="40% - Accent2 2 4" xfId="772"/>
    <cellStyle name="40% - Accent2 2 4 2" xfId="773"/>
    <cellStyle name="40% - Accent2 2 5" xfId="774"/>
    <cellStyle name="40% - Accent2 2 5 2" xfId="775"/>
    <cellStyle name="40% - Accent2 3" xfId="59"/>
    <cellStyle name="40% - Accent2 3 2" xfId="60"/>
    <cellStyle name="40% - Accent2 3 2 2" xfId="776"/>
    <cellStyle name="40% - Accent2 3 2 2 2" xfId="777"/>
    <cellStyle name="40% - Accent2 3 2 3" xfId="778"/>
    <cellStyle name="40% - Accent2 3 2 3 2" xfId="779"/>
    <cellStyle name="40% - Accent2 3 2 4" xfId="780"/>
    <cellStyle name="40% - Accent2 3 3" xfId="781"/>
    <cellStyle name="40% - Accent2 3 3 2" xfId="782"/>
    <cellStyle name="40% - Accent2 3 4" xfId="783"/>
    <cellStyle name="40% - Accent2 3 4 2" xfId="784"/>
    <cellStyle name="40% - Accent2 3 5" xfId="785"/>
    <cellStyle name="40% - Accent2 4" xfId="61"/>
    <cellStyle name="40% - Accent2 4 2" xfId="62"/>
    <cellStyle name="40% - Accent2 4 2 2" xfId="786"/>
    <cellStyle name="40% - Accent2 4 2 2 2" xfId="787"/>
    <cellStyle name="40% - Accent2 4 2 3" xfId="788"/>
    <cellStyle name="40% - Accent2 4 2 3 2" xfId="789"/>
    <cellStyle name="40% - Accent2 4 2 4" xfId="790"/>
    <cellStyle name="40% - Accent2 4 3" xfId="791"/>
    <cellStyle name="40% - Accent2 4 3 2" xfId="792"/>
    <cellStyle name="40% - Accent2 4 4" xfId="793"/>
    <cellStyle name="40% - Accent2 4 4 2" xfId="794"/>
    <cellStyle name="40% - Accent2 4 5" xfId="795"/>
    <cellStyle name="40% - Accent2 5" xfId="63"/>
    <cellStyle name="40% - Accent2 5 2" xfId="796"/>
    <cellStyle name="40% - Accent2 5 2 2" xfId="797"/>
    <cellStyle name="40% - Accent2 5 3" xfId="798"/>
    <cellStyle name="40% - Accent2 5 3 2" xfId="799"/>
    <cellStyle name="40% - Accent2 5 4" xfId="800"/>
    <cellStyle name="40% - Accent3 2" xfId="64"/>
    <cellStyle name="40% - Accent3 2 2" xfId="65"/>
    <cellStyle name="40% - Accent3 2 2 2" xfId="801"/>
    <cellStyle name="40% - Accent3 2 2 2 2" xfId="802"/>
    <cellStyle name="40% - Accent3 2 2 3" xfId="803"/>
    <cellStyle name="40% - Accent3 2 2 3 2" xfId="804"/>
    <cellStyle name="40% - Accent3 2 2 4" xfId="805"/>
    <cellStyle name="40% - Accent3 2 2 5" xfId="806"/>
    <cellStyle name="40% - Accent3 2 3" xfId="807"/>
    <cellStyle name="40% - Accent3 2 3 2" xfId="808"/>
    <cellStyle name="40% - Accent3 2 4" xfId="809"/>
    <cellStyle name="40% - Accent3 2 4 2" xfId="810"/>
    <cellStyle name="40% - Accent3 2 5" xfId="811"/>
    <cellStyle name="40% - Accent3 2 5 2" xfId="812"/>
    <cellStyle name="40% - Accent3 3" xfId="66"/>
    <cellStyle name="40% - Accent3 3 2" xfId="67"/>
    <cellStyle name="40% - Accent3 3 2 2" xfId="813"/>
    <cellStyle name="40% - Accent3 3 2 2 2" xfId="814"/>
    <cellStyle name="40% - Accent3 3 2 3" xfId="815"/>
    <cellStyle name="40% - Accent3 3 2 3 2" xfId="816"/>
    <cellStyle name="40% - Accent3 3 2 4" xfId="817"/>
    <cellStyle name="40% - Accent3 3 3" xfId="818"/>
    <cellStyle name="40% - Accent3 3 3 2" xfId="819"/>
    <cellStyle name="40% - Accent3 3 4" xfId="820"/>
    <cellStyle name="40% - Accent3 3 4 2" xfId="821"/>
    <cellStyle name="40% - Accent3 3 5" xfId="822"/>
    <cellStyle name="40% - Accent3 4" xfId="68"/>
    <cellStyle name="40% - Accent3 4 2" xfId="69"/>
    <cellStyle name="40% - Accent3 4 2 2" xfId="823"/>
    <cellStyle name="40% - Accent3 4 2 2 2" xfId="824"/>
    <cellStyle name="40% - Accent3 4 2 3" xfId="825"/>
    <cellStyle name="40% - Accent3 4 2 3 2" xfId="826"/>
    <cellStyle name="40% - Accent3 4 2 4" xfId="827"/>
    <cellStyle name="40% - Accent3 4 3" xfId="828"/>
    <cellStyle name="40% - Accent3 4 3 2" xfId="829"/>
    <cellStyle name="40% - Accent3 4 4" xfId="830"/>
    <cellStyle name="40% - Accent3 4 4 2" xfId="831"/>
    <cellStyle name="40% - Accent3 4 5" xfId="832"/>
    <cellStyle name="40% - Accent3 5" xfId="70"/>
    <cellStyle name="40% - Accent3 5 2" xfId="833"/>
    <cellStyle name="40% - Accent3 5 2 2" xfId="834"/>
    <cellStyle name="40% - Accent3 5 3" xfId="835"/>
    <cellStyle name="40% - Accent3 5 3 2" xfId="836"/>
    <cellStyle name="40% - Accent3 5 4" xfId="837"/>
    <cellStyle name="40% - Accent4 2" xfId="71"/>
    <cellStyle name="40% - Accent4 2 2" xfId="72"/>
    <cellStyle name="40% - Accent4 2 2 2" xfId="838"/>
    <cellStyle name="40% - Accent4 2 2 2 2" xfId="839"/>
    <cellStyle name="40% - Accent4 2 2 3" xfId="840"/>
    <cellStyle name="40% - Accent4 2 2 3 2" xfId="841"/>
    <cellStyle name="40% - Accent4 2 2 4" xfId="842"/>
    <cellStyle name="40% - Accent4 2 2 5" xfId="843"/>
    <cellStyle name="40% - Accent4 2 3" xfId="844"/>
    <cellStyle name="40% - Accent4 2 3 2" xfId="845"/>
    <cellStyle name="40% - Accent4 2 4" xfId="846"/>
    <cellStyle name="40% - Accent4 2 4 2" xfId="847"/>
    <cellStyle name="40% - Accent4 2 5" xfId="848"/>
    <cellStyle name="40% - Accent4 2 5 2" xfId="849"/>
    <cellStyle name="40% - Accent4 3" xfId="73"/>
    <cellStyle name="40% - Accent4 3 2" xfId="74"/>
    <cellStyle name="40% - Accent4 3 2 2" xfId="850"/>
    <cellStyle name="40% - Accent4 3 2 2 2" xfId="851"/>
    <cellStyle name="40% - Accent4 3 2 3" xfId="852"/>
    <cellStyle name="40% - Accent4 3 2 3 2" xfId="853"/>
    <cellStyle name="40% - Accent4 3 2 4" xfId="854"/>
    <cellStyle name="40% - Accent4 3 3" xfId="855"/>
    <cellStyle name="40% - Accent4 3 3 2" xfId="856"/>
    <cellStyle name="40% - Accent4 3 4" xfId="857"/>
    <cellStyle name="40% - Accent4 3 4 2" xfId="858"/>
    <cellStyle name="40% - Accent4 3 5" xfId="859"/>
    <cellStyle name="40% - Accent4 4" xfId="75"/>
    <cellStyle name="40% - Accent4 4 2" xfId="76"/>
    <cellStyle name="40% - Accent4 4 2 2" xfId="860"/>
    <cellStyle name="40% - Accent4 4 2 2 2" xfId="861"/>
    <cellStyle name="40% - Accent4 4 2 3" xfId="862"/>
    <cellStyle name="40% - Accent4 4 2 3 2" xfId="863"/>
    <cellStyle name="40% - Accent4 4 2 4" xfId="864"/>
    <cellStyle name="40% - Accent4 4 3" xfId="865"/>
    <cellStyle name="40% - Accent4 4 3 2" xfId="866"/>
    <cellStyle name="40% - Accent4 4 4" xfId="867"/>
    <cellStyle name="40% - Accent4 4 4 2" xfId="868"/>
    <cellStyle name="40% - Accent4 4 5" xfId="869"/>
    <cellStyle name="40% - Accent4 5" xfId="77"/>
    <cellStyle name="40% - Accent4 5 2" xfId="870"/>
    <cellStyle name="40% - Accent4 5 2 2" xfId="871"/>
    <cellStyle name="40% - Accent4 5 3" xfId="872"/>
    <cellStyle name="40% - Accent4 5 3 2" xfId="873"/>
    <cellStyle name="40% - Accent4 5 4" xfId="874"/>
    <cellStyle name="40% - Accent5 2" xfId="78"/>
    <cellStyle name="40% - Accent5 2 2" xfId="79"/>
    <cellStyle name="40% - Accent5 2 2 2" xfId="875"/>
    <cellStyle name="40% - Accent5 2 2 2 2" xfId="876"/>
    <cellStyle name="40% - Accent5 2 2 3" xfId="877"/>
    <cellStyle name="40% - Accent5 2 2 3 2" xfId="878"/>
    <cellStyle name="40% - Accent5 2 2 4" xfId="879"/>
    <cellStyle name="40% - Accent5 2 3" xfId="880"/>
    <cellStyle name="40% - Accent5 2 3 2" xfId="881"/>
    <cellStyle name="40% - Accent5 2 4" xfId="882"/>
    <cellStyle name="40% - Accent5 2 4 2" xfId="883"/>
    <cellStyle name="40% - Accent5 2 5" xfId="884"/>
    <cellStyle name="40% - Accent5 2 5 2" xfId="885"/>
    <cellStyle name="40% - Accent5 3" xfId="80"/>
    <cellStyle name="40% - Accent5 3 2" xfId="81"/>
    <cellStyle name="40% - Accent5 3 2 2" xfId="886"/>
    <cellStyle name="40% - Accent5 3 2 2 2" xfId="887"/>
    <cellStyle name="40% - Accent5 3 2 3" xfId="888"/>
    <cellStyle name="40% - Accent5 3 2 3 2" xfId="889"/>
    <cellStyle name="40% - Accent5 3 2 4" xfId="890"/>
    <cellStyle name="40% - Accent5 3 3" xfId="891"/>
    <cellStyle name="40% - Accent5 3 3 2" xfId="892"/>
    <cellStyle name="40% - Accent5 3 4" xfId="893"/>
    <cellStyle name="40% - Accent5 3 4 2" xfId="894"/>
    <cellStyle name="40% - Accent5 3 5" xfId="895"/>
    <cellStyle name="40% - Accent5 4" xfId="82"/>
    <cellStyle name="40% - Accent5 4 2" xfId="83"/>
    <cellStyle name="40% - Accent5 4 2 2" xfId="896"/>
    <cellStyle name="40% - Accent5 4 2 2 2" xfId="897"/>
    <cellStyle name="40% - Accent5 4 2 3" xfId="898"/>
    <cellStyle name="40% - Accent5 4 2 3 2" xfId="899"/>
    <cellStyle name="40% - Accent5 4 2 4" xfId="900"/>
    <cellStyle name="40% - Accent5 4 3" xfId="901"/>
    <cellStyle name="40% - Accent5 4 3 2" xfId="902"/>
    <cellStyle name="40% - Accent5 4 4" xfId="903"/>
    <cellStyle name="40% - Accent5 4 4 2" xfId="904"/>
    <cellStyle name="40% - Accent5 4 5" xfId="905"/>
    <cellStyle name="40% - Accent5 5" xfId="84"/>
    <cellStyle name="40% - Accent5 5 2" xfId="906"/>
    <cellStyle name="40% - Accent5 5 2 2" xfId="907"/>
    <cellStyle name="40% - Accent5 5 3" xfId="908"/>
    <cellStyle name="40% - Accent5 5 3 2" xfId="909"/>
    <cellStyle name="40% - Accent5 5 4" xfId="910"/>
    <cellStyle name="40% - Accent6 2" xfId="85"/>
    <cellStyle name="40% - Accent6 2 2" xfId="86"/>
    <cellStyle name="40% - Accent6 2 2 2" xfId="911"/>
    <cellStyle name="40% - Accent6 2 2 2 2" xfId="912"/>
    <cellStyle name="40% - Accent6 2 2 3" xfId="913"/>
    <cellStyle name="40% - Accent6 2 2 3 2" xfId="914"/>
    <cellStyle name="40% - Accent6 2 2 4" xfId="915"/>
    <cellStyle name="40% - Accent6 2 2 5" xfId="916"/>
    <cellStyle name="40% - Accent6 2 3" xfId="917"/>
    <cellStyle name="40% - Accent6 2 3 2" xfId="918"/>
    <cellStyle name="40% - Accent6 2 4" xfId="919"/>
    <cellStyle name="40% - Accent6 2 4 2" xfId="920"/>
    <cellStyle name="40% - Accent6 2 5" xfId="921"/>
    <cellStyle name="40% - Accent6 2 5 2" xfId="922"/>
    <cellStyle name="40% - Accent6 3" xfId="87"/>
    <cellStyle name="40% - Accent6 3 2" xfId="88"/>
    <cellStyle name="40% - Accent6 3 2 2" xfId="923"/>
    <cellStyle name="40% - Accent6 3 2 2 2" xfId="924"/>
    <cellStyle name="40% - Accent6 3 2 3" xfId="925"/>
    <cellStyle name="40% - Accent6 3 2 3 2" xfId="926"/>
    <cellStyle name="40% - Accent6 3 2 4" xfId="927"/>
    <cellStyle name="40% - Accent6 3 3" xfId="928"/>
    <cellStyle name="40% - Accent6 3 3 2" xfId="929"/>
    <cellStyle name="40% - Accent6 3 4" xfId="930"/>
    <cellStyle name="40% - Accent6 3 4 2" xfId="931"/>
    <cellStyle name="40% - Accent6 3 5" xfId="932"/>
    <cellStyle name="40% - Accent6 4" xfId="89"/>
    <cellStyle name="40% - Accent6 4 2" xfId="90"/>
    <cellStyle name="40% - Accent6 4 2 2" xfId="933"/>
    <cellStyle name="40% - Accent6 4 2 2 2" xfId="934"/>
    <cellStyle name="40% - Accent6 4 2 3" xfId="935"/>
    <cellStyle name="40% - Accent6 4 2 3 2" xfId="936"/>
    <cellStyle name="40% - Accent6 4 2 4" xfId="937"/>
    <cellStyle name="40% - Accent6 4 3" xfId="938"/>
    <cellStyle name="40% - Accent6 4 3 2" xfId="939"/>
    <cellStyle name="40% - Accent6 4 4" xfId="940"/>
    <cellStyle name="40% - Accent6 4 4 2" xfId="941"/>
    <cellStyle name="40% - Accent6 4 5" xfId="942"/>
    <cellStyle name="40% - Accent6 5" xfId="91"/>
    <cellStyle name="40% - Accent6 5 2" xfId="943"/>
    <cellStyle name="40% - Accent6 5 2 2" xfId="944"/>
    <cellStyle name="40% - Accent6 5 3" xfId="945"/>
    <cellStyle name="40% - Accent6 5 3 2" xfId="946"/>
    <cellStyle name="40% - Accent6 5 4" xfId="947"/>
    <cellStyle name="60% - Accent1 2" xfId="312"/>
    <cellStyle name="60% - Accent1 2 2" xfId="424"/>
    <cellStyle name="60% - Accent1 3" xfId="425"/>
    <cellStyle name="60% - Accent2 2" xfId="313"/>
    <cellStyle name="60% - Accent2 2 2" xfId="426"/>
    <cellStyle name="60% - Accent2 3" xfId="427"/>
    <cellStyle name="60% - Accent3 2" xfId="314"/>
    <cellStyle name="60% - Accent3 2 2" xfId="428"/>
    <cellStyle name="60% - Accent3 3" xfId="429"/>
    <cellStyle name="60% - Accent4 2" xfId="315"/>
    <cellStyle name="60% - Accent4 2 2" xfId="430"/>
    <cellStyle name="60% - Accent4 3" xfId="431"/>
    <cellStyle name="60% - Accent5 2" xfId="316"/>
    <cellStyle name="60% - Accent5 3" xfId="432"/>
    <cellStyle name="60% - Accent6 2" xfId="317"/>
    <cellStyle name="60% - Accent6 2 2" xfId="433"/>
    <cellStyle name="60% - Accent6 3" xfId="434"/>
    <cellStyle name="Accent1 - 20%" xfId="318"/>
    <cellStyle name="Accent1 - 40%" xfId="319"/>
    <cellStyle name="Accent1 - 60%" xfId="320"/>
    <cellStyle name="Accent1 2" xfId="321"/>
    <cellStyle name="Accent1 2 2" xfId="435"/>
    <cellStyle name="Accent1 3" xfId="436"/>
    <cellStyle name="Accent2 - 20%" xfId="322"/>
    <cellStyle name="Accent2 - 40%" xfId="323"/>
    <cellStyle name="Accent2 - 60%" xfId="324"/>
    <cellStyle name="Accent2 2" xfId="325"/>
    <cellStyle name="Accent2 3" xfId="437"/>
    <cellStyle name="Accent3 - 20%" xfId="326"/>
    <cellStyle name="Accent3 - 40%" xfId="327"/>
    <cellStyle name="Accent3 - 60%" xfId="328"/>
    <cellStyle name="Accent3 2" xfId="329"/>
    <cellStyle name="Accent3 2 2" xfId="438"/>
    <cellStyle name="Accent3 3" xfId="439"/>
    <cellStyle name="Accent4 - 20%" xfId="330"/>
    <cellStyle name="Accent4 - 40%" xfId="331"/>
    <cellStyle name="Accent4 - 60%" xfId="332"/>
    <cellStyle name="Accent4 2" xfId="333"/>
    <cellStyle name="Accent4 2 2" xfId="440"/>
    <cellStyle name="Accent4 3" xfId="441"/>
    <cellStyle name="Accent5 - 20%" xfId="334"/>
    <cellStyle name="Accent5 - 40%" xfId="335"/>
    <cellStyle name="Accent5 - 60%" xfId="336"/>
    <cellStyle name="Accent5 2" xfId="337"/>
    <cellStyle name="Accent5 3" xfId="442"/>
    <cellStyle name="Accent6 - 20%" xfId="338"/>
    <cellStyle name="Accent6 - 40%" xfId="339"/>
    <cellStyle name="Accent6 - 60%" xfId="340"/>
    <cellStyle name="Accent6 2" xfId="341"/>
    <cellStyle name="Accent6 3" xfId="443"/>
    <cellStyle name="Bad 2" xfId="342"/>
    <cellStyle name="Bad 2 2" xfId="444"/>
    <cellStyle name="Bad 3" xfId="445"/>
    <cellStyle name="Calculation 2" xfId="343"/>
    <cellStyle name="Calculation 2 2" xfId="446"/>
    <cellStyle name="Calculation 3" xfId="447"/>
    <cellStyle name="Calculation 4" xfId="1412"/>
    <cellStyle name="Check Cell 2" xfId="344"/>
    <cellStyle name="Check Cell 3" xfId="448"/>
    <cellStyle name="Comma" xfId="506" builtinId="3"/>
    <cellStyle name="Comma [0] 2" xfId="92"/>
    <cellStyle name="Comma 10" xfId="948"/>
    <cellStyle name="Comma 11" xfId="949"/>
    <cellStyle name="Comma 12" xfId="950"/>
    <cellStyle name="Comma 2" xfId="93"/>
    <cellStyle name="Comma 2 2" xfId="94"/>
    <cellStyle name="Comma 2 2 2" xfId="95"/>
    <cellStyle name="Comma 2 2 2 2" xfId="951"/>
    <cellStyle name="Comma 2 2 3" xfId="96"/>
    <cellStyle name="Comma 2 2 3 2" xfId="97"/>
    <cellStyle name="Comma 2 2 3 2 2" xfId="952"/>
    <cellStyle name="Comma 2 2 3 2 2 2" xfId="953"/>
    <cellStyle name="Comma 2 2 3 2 3" xfId="954"/>
    <cellStyle name="Comma 2 2 3 2 3 2" xfId="955"/>
    <cellStyle name="Comma 2 2 3 2 4" xfId="956"/>
    <cellStyle name="Comma 2 2 3 3" xfId="957"/>
    <cellStyle name="Comma 2 2 3 3 2" xfId="958"/>
    <cellStyle name="Comma 2 2 3 4" xfId="959"/>
    <cellStyle name="Comma 2 2 3 4 2" xfId="960"/>
    <cellStyle name="Comma 2 2 3 5" xfId="961"/>
    <cellStyle name="Comma 2 2 3 6" xfId="962"/>
    <cellStyle name="Comma 2 2 4" xfId="98"/>
    <cellStyle name="Comma 2 2 4 2" xfId="99"/>
    <cellStyle name="Comma 2 2 4 2 2" xfId="963"/>
    <cellStyle name="Comma 2 2 4 2 2 2" xfId="964"/>
    <cellStyle name="Comma 2 2 4 2 3" xfId="965"/>
    <cellStyle name="Comma 2 2 4 2 3 2" xfId="966"/>
    <cellStyle name="Comma 2 2 4 2 4" xfId="967"/>
    <cellStyle name="Comma 2 2 4 3" xfId="968"/>
    <cellStyle name="Comma 2 2 4 3 2" xfId="969"/>
    <cellStyle name="Comma 2 2 4 4" xfId="970"/>
    <cellStyle name="Comma 2 2 4 4 2" xfId="971"/>
    <cellStyle name="Comma 2 2 4 5" xfId="972"/>
    <cellStyle name="Comma 2 2 5" xfId="100"/>
    <cellStyle name="Comma 2 2 5 2" xfId="101"/>
    <cellStyle name="Comma 2 2 5 2 2" xfId="973"/>
    <cellStyle name="Comma 2 2 5 2 2 2" xfId="974"/>
    <cellStyle name="Comma 2 2 5 2 3" xfId="975"/>
    <cellStyle name="Comma 2 2 5 2 3 2" xfId="976"/>
    <cellStyle name="Comma 2 2 5 2 4" xfId="977"/>
    <cellStyle name="Comma 2 2 5 3" xfId="978"/>
    <cellStyle name="Comma 2 2 5 3 2" xfId="979"/>
    <cellStyle name="Comma 2 2 5 4" xfId="980"/>
    <cellStyle name="Comma 2 2 5 4 2" xfId="981"/>
    <cellStyle name="Comma 2 2 5 5" xfId="982"/>
    <cellStyle name="Comma 2 2 6" xfId="102"/>
    <cellStyle name="Comma 2 2 6 2" xfId="103"/>
    <cellStyle name="Comma 2 2 6 2 2" xfId="983"/>
    <cellStyle name="Comma 2 2 6 2 2 2" xfId="984"/>
    <cellStyle name="Comma 2 2 6 2 3" xfId="985"/>
    <cellStyle name="Comma 2 2 6 2 3 2" xfId="986"/>
    <cellStyle name="Comma 2 2 6 2 4" xfId="987"/>
    <cellStyle name="Comma 2 2 6 3" xfId="988"/>
    <cellStyle name="Comma 2 2 6 3 2" xfId="989"/>
    <cellStyle name="Comma 2 2 6 4" xfId="990"/>
    <cellStyle name="Comma 2 2 6 4 2" xfId="991"/>
    <cellStyle name="Comma 2 2 6 5" xfId="992"/>
    <cellStyle name="Comma 2 2 7" xfId="104"/>
    <cellStyle name="Comma 2 2 7 2" xfId="993"/>
    <cellStyle name="Comma 2 2 7 2 2" xfId="994"/>
    <cellStyle name="Comma 2 2 7 3" xfId="995"/>
    <cellStyle name="Comma 2 2 7 3 2" xfId="996"/>
    <cellStyle name="Comma 2 2 7 4" xfId="997"/>
    <cellStyle name="Comma 2 2 8" xfId="105"/>
    <cellStyle name="Comma 2 2 9" xfId="998"/>
    <cellStyle name="Comma 2 3" xfId="106"/>
    <cellStyle name="Comma 2 3 2" xfId="999"/>
    <cellStyle name="Comma 2 4" xfId="107"/>
    <cellStyle name="Comma 2 4 2" xfId="1413"/>
    <cellStyle name="Comma 2 5" xfId="108"/>
    <cellStyle name="Comma 3" xfId="109"/>
    <cellStyle name="Comma 3 10" xfId="110"/>
    <cellStyle name="Comma 3 11" xfId="1000"/>
    <cellStyle name="Comma 3 2" xfId="111"/>
    <cellStyle name="Comma 3 2 2" xfId="112"/>
    <cellStyle name="Comma 3 2 2 2" xfId="1001"/>
    <cellStyle name="Comma 3 2 3" xfId="113"/>
    <cellStyle name="Comma 3 2 4" xfId="1002"/>
    <cellStyle name="Comma 3 3" xfId="114"/>
    <cellStyle name="Comma 3 3 2" xfId="115"/>
    <cellStyle name="Comma 3 3 2 2" xfId="1003"/>
    <cellStyle name="Comma 3 3 2 2 2" xfId="1004"/>
    <cellStyle name="Comma 3 3 2 3" xfId="1005"/>
    <cellStyle name="Comma 3 3 2 3 2" xfId="1006"/>
    <cellStyle name="Comma 3 3 2 4" xfId="1007"/>
    <cellStyle name="Comma 3 3 2 5" xfId="1008"/>
    <cellStyle name="Comma 3 3 3" xfId="116"/>
    <cellStyle name="Comma 3 3 3 2" xfId="1009"/>
    <cellStyle name="Comma 3 3 3 2 2" xfId="1010"/>
    <cellStyle name="Comma 3 3 3 3" xfId="1011"/>
    <cellStyle name="Comma 3 3 3 3 2" xfId="1012"/>
    <cellStyle name="Comma 3 3 3 4" xfId="1013"/>
    <cellStyle name="Comma 3 3 4" xfId="345"/>
    <cellStyle name="Comma 3 4" xfId="117"/>
    <cellStyle name="Comma 3 4 2" xfId="118"/>
    <cellStyle name="Comma 3 4 2 2" xfId="1014"/>
    <cellStyle name="Comma 3 4 2 2 2" xfId="1015"/>
    <cellStyle name="Comma 3 4 2 3" xfId="1016"/>
    <cellStyle name="Comma 3 4 2 3 2" xfId="1017"/>
    <cellStyle name="Comma 3 4 2 4" xfId="1018"/>
    <cellStyle name="Comma 3 4 3" xfId="1019"/>
    <cellStyle name="Comma 3 4 3 2" xfId="1020"/>
    <cellStyle name="Comma 3 4 4" xfId="1021"/>
    <cellStyle name="Comma 3 4 4 2" xfId="1022"/>
    <cellStyle name="Comma 3 4 5" xfId="1023"/>
    <cellStyle name="Comma 3 4 6" xfId="1024"/>
    <cellStyle name="Comma 3 5" xfId="119"/>
    <cellStyle name="Comma 3 5 2" xfId="120"/>
    <cellStyle name="Comma 3 5 2 2" xfId="1025"/>
    <cellStyle name="Comma 3 5 2 2 2" xfId="1026"/>
    <cellStyle name="Comma 3 5 2 3" xfId="1027"/>
    <cellStyle name="Comma 3 5 2 3 2" xfId="1028"/>
    <cellStyle name="Comma 3 5 2 4" xfId="1029"/>
    <cellStyle name="Comma 3 5 3" xfId="1030"/>
    <cellStyle name="Comma 3 5 3 2" xfId="1031"/>
    <cellStyle name="Comma 3 5 4" xfId="1032"/>
    <cellStyle name="Comma 3 5 4 2" xfId="1033"/>
    <cellStyle name="Comma 3 5 5" xfId="1034"/>
    <cellStyle name="Comma 3 6" xfId="121"/>
    <cellStyle name="Comma 3 6 2" xfId="122"/>
    <cellStyle name="Comma 3 6 2 2" xfId="1035"/>
    <cellStyle name="Comma 3 6 2 2 2" xfId="1036"/>
    <cellStyle name="Comma 3 6 2 3" xfId="1037"/>
    <cellStyle name="Comma 3 6 2 3 2" xfId="1038"/>
    <cellStyle name="Comma 3 6 2 4" xfId="1039"/>
    <cellStyle name="Comma 3 6 3" xfId="1040"/>
    <cellStyle name="Comma 3 6 3 2" xfId="1041"/>
    <cellStyle name="Comma 3 6 4" xfId="1042"/>
    <cellStyle name="Comma 3 6 4 2" xfId="1043"/>
    <cellStyle name="Comma 3 6 5" xfId="1044"/>
    <cellStyle name="Comma 3 7" xfId="123"/>
    <cellStyle name="Comma 3 8" xfId="124"/>
    <cellStyle name="Comma 3 8 2" xfId="1045"/>
    <cellStyle name="Comma 3 8 2 2" xfId="1046"/>
    <cellStyle name="Comma 3 8 3" xfId="1047"/>
    <cellStyle name="Comma 3 8 3 2" xfId="1048"/>
    <cellStyle name="Comma 3 8 4" xfId="1049"/>
    <cellStyle name="Comma 3 9" xfId="125"/>
    <cellStyle name="Comma 4" xfId="126"/>
    <cellStyle name="Comma 4 2" xfId="346"/>
    <cellStyle name="Comma 4 2 2" xfId="347"/>
    <cellStyle name="Comma 4 3" xfId="348"/>
    <cellStyle name="Comma 5" xfId="127"/>
    <cellStyle name="Comma 5 2" xfId="349"/>
    <cellStyle name="Comma 5 3" xfId="350"/>
    <cellStyle name="Comma 6" xfId="128"/>
    <cellStyle name="Comma 7" xfId="129"/>
    <cellStyle name="Comma 8" xfId="130"/>
    <cellStyle name="Comma 9" xfId="1050"/>
    <cellStyle name="Currency" xfId="507" builtinId="4"/>
    <cellStyle name="Currency 2" xfId="131"/>
    <cellStyle name="Currency 2 2" xfId="132"/>
    <cellStyle name="Currency 2 2 2" xfId="133"/>
    <cellStyle name="Currency 2 2 2 2" xfId="1051"/>
    <cellStyle name="Currency 2 2 3" xfId="134"/>
    <cellStyle name="Currency 2 2 4" xfId="1052"/>
    <cellStyle name="Currency 2 3" xfId="135"/>
    <cellStyle name="Currency 2 3 2" xfId="1053"/>
    <cellStyle name="Currency 2 4" xfId="136"/>
    <cellStyle name="Currency 2 5" xfId="137"/>
    <cellStyle name="Currency 2 6" xfId="1414"/>
    <cellStyle name="Currency 3" xfId="138"/>
    <cellStyle name="Currency 3 2" xfId="139"/>
    <cellStyle name="Currency 3 2 2" xfId="140"/>
    <cellStyle name="Currency 3 2 2 2" xfId="1054"/>
    <cellStyle name="Currency 3 2 3" xfId="141"/>
    <cellStyle name="Currency 3 2 4" xfId="1055"/>
    <cellStyle name="Currency 3 3" xfId="7"/>
    <cellStyle name="Currency 3 3 2" xfId="1056"/>
    <cellStyle name="Currency 3 4" xfId="142"/>
    <cellStyle name="Currency 3 4 2" xfId="1415"/>
    <cellStyle name="Currency 3 5" xfId="143"/>
    <cellStyle name="Currency 3 6" xfId="1057"/>
    <cellStyle name="Currency 4" xfId="144"/>
    <cellStyle name="Currency 4 2" xfId="145"/>
    <cellStyle name="Currency 4 3" xfId="146"/>
    <cellStyle name="Currency 5" xfId="147"/>
    <cellStyle name="Currency 5 2" xfId="351"/>
    <cellStyle name="Currency 5 2 2" xfId="352"/>
    <cellStyle name="Currency 5 2 2 2" xfId="1058"/>
    <cellStyle name="Currency 5 2 3" xfId="1059"/>
    <cellStyle name="Currency 5 2 3 2" xfId="1060"/>
    <cellStyle name="Currency 5 2 4" xfId="1061"/>
    <cellStyle name="Currency 5 2 5" xfId="1062"/>
    <cellStyle name="Currency 5 3" xfId="353"/>
    <cellStyle name="Currency 5 3 2" xfId="1063"/>
    <cellStyle name="Currency 5 4" xfId="1064"/>
    <cellStyle name="Currency 5 4 2" xfId="1065"/>
    <cellStyle name="Currency 5 5" xfId="1066"/>
    <cellStyle name="Currency 5 6" xfId="1067"/>
    <cellStyle name="Currency 6" xfId="148"/>
    <cellStyle name="Currency 6 2" xfId="354"/>
    <cellStyle name="Currency 7" xfId="149"/>
    <cellStyle name="Currency 7 2" xfId="355"/>
    <cellStyle name="Currency 8" xfId="356"/>
    <cellStyle name="Data Field" xfId="150"/>
    <cellStyle name="Data Field 2" xfId="151"/>
    <cellStyle name="Data Field 2 2" xfId="152"/>
    <cellStyle name="Data Field 2 2 2" xfId="1068"/>
    <cellStyle name="Data Field 2 3" xfId="153"/>
    <cellStyle name="Data Field 2 4" xfId="1069"/>
    <cellStyle name="Data Field 3" xfId="154"/>
    <cellStyle name="Data Field 3 2" xfId="1070"/>
    <cellStyle name="Data Field 4" xfId="155"/>
    <cellStyle name="Data Field 4 2" xfId="1416"/>
    <cellStyle name="Data Field 5" xfId="156"/>
    <cellStyle name="Data Field 6" xfId="1071"/>
    <cellStyle name="Data Name" xfId="157"/>
    <cellStyle name="Data Name 2" xfId="158"/>
    <cellStyle name="Data Name 2 2" xfId="159"/>
    <cellStyle name="Data Name 2 3" xfId="1417"/>
    <cellStyle name="Data Name 3" xfId="160"/>
    <cellStyle name="Data Name 4" xfId="161"/>
    <cellStyle name="Date/Time" xfId="162"/>
    <cellStyle name="Emphasis 1" xfId="357"/>
    <cellStyle name="Emphasis 2" xfId="358"/>
    <cellStyle name="Emphasis 3" xfId="359"/>
    <cellStyle name="Explanatory Text 2" xfId="360"/>
    <cellStyle name="Explanatory Text 3" xfId="449"/>
    <cellStyle name="Good 2" xfId="361"/>
    <cellStyle name="Good 3" xfId="450"/>
    <cellStyle name="Heading" xfId="163"/>
    <cellStyle name="Heading 1 2" xfId="362"/>
    <cellStyle name="Heading 1 2 2" xfId="451"/>
    <cellStyle name="Heading 1 3" xfId="452"/>
    <cellStyle name="Heading 2 2" xfId="164"/>
    <cellStyle name="Heading 2 2 2" xfId="1072"/>
    <cellStyle name="Heading 2 3" xfId="363"/>
    <cellStyle name="Heading 2 3 2" xfId="1073"/>
    <cellStyle name="Heading 2 4" xfId="1418"/>
    <cellStyle name="Heading 3 2" xfId="364"/>
    <cellStyle name="Heading 3 2 2" xfId="453"/>
    <cellStyle name="Heading 3 3" xfId="454"/>
    <cellStyle name="Heading 4 2" xfId="365"/>
    <cellStyle name="Heading 4 2 2" xfId="455"/>
    <cellStyle name="Heading 4 3" xfId="456"/>
    <cellStyle name="Hyperlink 2" xfId="165"/>
    <cellStyle name="Hyperlink 2 2" xfId="166"/>
    <cellStyle name="Hyperlink 2 2 2" xfId="167"/>
    <cellStyle name="Hyperlink 2 3" xfId="1419"/>
    <cellStyle name="Hyperlink 2_ResWXMF_FY10v2_0" xfId="366"/>
    <cellStyle name="Hyperlink 3" xfId="168"/>
    <cellStyle name="Hyperlink 3 2" xfId="367"/>
    <cellStyle name="Hyperlink 3 2 2" xfId="368"/>
    <cellStyle name="Hyperlink 3 3" xfId="1074"/>
    <cellStyle name="Hyperlink 4" xfId="369"/>
    <cellStyle name="Hyperlink 4 2" xfId="1075"/>
    <cellStyle name="Hyperlink 4 2 2" xfId="1076"/>
    <cellStyle name="Hyperlink 4 3" xfId="1077"/>
    <cellStyle name="Hyperlink 4 4" xfId="1078"/>
    <cellStyle name="Hyperlink 4 5" xfId="1411"/>
    <cellStyle name="Hyperlink 5" xfId="370"/>
    <cellStyle name="Hyperlink 6" xfId="371"/>
    <cellStyle name="Hyperlink 7" xfId="372"/>
    <cellStyle name="Hyperlink 8" xfId="373"/>
    <cellStyle name="Input 2" xfId="374"/>
    <cellStyle name="Input 3" xfId="457"/>
    <cellStyle name="Linked Cell 2" xfId="375"/>
    <cellStyle name="Linked Cell 3" xfId="458"/>
    <cellStyle name="Neutral 2" xfId="376"/>
    <cellStyle name="Neutral 3" xfId="459"/>
    <cellStyle name="Normal" xfId="0" builtinId="0"/>
    <cellStyle name="Normal 10" xfId="169"/>
    <cellStyle name="Normal 10 2" xfId="170"/>
    <cellStyle name="Normal 10 2 2" xfId="1079"/>
    <cellStyle name="Normal 10 3" xfId="1420"/>
    <cellStyle name="Normal 10 3 2" xfId="1421"/>
    <cellStyle name="Normal 10 4" xfId="1422"/>
    <cellStyle name="Normal 10 5" xfId="1423"/>
    <cellStyle name="Normal 11" xfId="171"/>
    <cellStyle name="Normal 11 2" xfId="172"/>
    <cellStyle name="Normal 12" xfId="173"/>
    <cellStyle name="Normal 12 2" xfId="174"/>
    <cellStyle name="Normal 13" xfId="175"/>
    <cellStyle name="Normal 13 2" xfId="176"/>
    <cellStyle name="Normal 13 2 2" xfId="1080"/>
    <cellStyle name="Normal 13 2 2 2" xfId="1081"/>
    <cellStyle name="Normal 13 3" xfId="377"/>
    <cellStyle name="Normal 13 3 2" xfId="1082"/>
    <cellStyle name="Normal 14" xfId="1"/>
    <cellStyle name="Normal 14 2" xfId="378"/>
    <cellStyle name="Normal 14 2 2" xfId="379"/>
    <cellStyle name="Normal 14 2 2 2" xfId="1083"/>
    <cellStyle name="Normal 14 2 3" xfId="1084"/>
    <cellStyle name="Normal 14 2 3 2" xfId="1085"/>
    <cellStyle name="Normal 14 2 4" xfId="1086"/>
    <cellStyle name="Normal 14 2 5" xfId="1087"/>
    <cellStyle name="Normal 14 3" xfId="380"/>
    <cellStyle name="Normal 14 3 2" xfId="381"/>
    <cellStyle name="Normal 14 4" xfId="460"/>
    <cellStyle name="Normal 14 4 2" xfId="1410"/>
    <cellStyle name="Normal 14 5" xfId="1088"/>
    <cellStyle name="Normal 15" xfId="5"/>
    <cellStyle name="Normal 15 2" xfId="382"/>
    <cellStyle name="Normal 15 2 2" xfId="383"/>
    <cellStyle name="Normal 15 2 2 2" xfId="1089"/>
    <cellStyle name="Normal 15 2 3" xfId="1090"/>
    <cellStyle name="Normal 15 2 3 2" xfId="1091"/>
    <cellStyle name="Normal 15 2 4" xfId="1092"/>
    <cellStyle name="Normal 15 2 5" xfId="1093"/>
    <cellStyle name="Normal 15 3" xfId="384"/>
    <cellStyle name="Normal 15 3 2" xfId="1094"/>
    <cellStyle name="Normal 15 4" xfId="385"/>
    <cellStyle name="Normal 15 4 2" xfId="1095"/>
    <cellStyle name="Normal 15 5" xfId="1096"/>
    <cellStyle name="Normal 15 5 2" xfId="1097"/>
    <cellStyle name="Normal 15 6" xfId="1098"/>
    <cellStyle name="Normal 15 7" xfId="1099"/>
    <cellStyle name="Normal 16" xfId="177"/>
    <cellStyle name="Normal 16 2" xfId="386"/>
    <cellStyle name="Normal 16 2 2" xfId="1100"/>
    <cellStyle name="Normal 16 3" xfId="387"/>
    <cellStyle name="Normal 16 4" xfId="1101"/>
    <cellStyle name="Normal 17" xfId="178"/>
    <cellStyle name="Normal 17 2" xfId="388"/>
    <cellStyle name="Normal 17 3" xfId="1102"/>
    <cellStyle name="Normal 17 4" xfId="1103"/>
    <cellStyle name="Normal 18" xfId="179"/>
    <cellStyle name="Normal 18 2" xfId="1104"/>
    <cellStyle name="Normal 19" xfId="180"/>
    <cellStyle name="Normal 19 2" xfId="1424"/>
    <cellStyle name="Normal 2" xfId="181"/>
    <cellStyle name="Normal 2 10" xfId="182"/>
    <cellStyle name="Normal 2 10 10" xfId="1425"/>
    <cellStyle name="Normal 2 10 10 2" xfId="1426"/>
    <cellStyle name="Normal 2 10 10 2 2" xfId="1427"/>
    <cellStyle name="Normal 2 10 10 3" xfId="1428"/>
    <cellStyle name="Normal 2 10 11" xfId="1429"/>
    <cellStyle name="Normal 2 10 11 2" xfId="1430"/>
    <cellStyle name="Normal 2 10 11 2 2" xfId="1431"/>
    <cellStyle name="Normal 2 10 11 3" xfId="1432"/>
    <cellStyle name="Normal 2 10 12" xfId="1433"/>
    <cellStyle name="Normal 2 10 12 2" xfId="1434"/>
    <cellStyle name="Normal 2 10 12 2 2" xfId="1435"/>
    <cellStyle name="Normal 2 10 12 3" xfId="1436"/>
    <cellStyle name="Normal 2 10 13" xfId="1437"/>
    <cellStyle name="Normal 2 10 13 2" xfId="1438"/>
    <cellStyle name="Normal 2 10 13 2 2" xfId="1439"/>
    <cellStyle name="Normal 2 10 13 3" xfId="1440"/>
    <cellStyle name="Normal 2 10 14" xfId="1441"/>
    <cellStyle name="Normal 2 10 14 2" xfId="1442"/>
    <cellStyle name="Normal 2 10 14 2 2" xfId="1443"/>
    <cellStyle name="Normal 2 10 14 3" xfId="1444"/>
    <cellStyle name="Normal 2 10 15" xfId="1445"/>
    <cellStyle name="Normal 2 10 15 2" xfId="1446"/>
    <cellStyle name="Normal 2 10 15 2 2" xfId="1447"/>
    <cellStyle name="Normal 2 10 15 3" xfId="1448"/>
    <cellStyle name="Normal 2 10 16" xfId="1449"/>
    <cellStyle name="Normal 2 10 16 2" xfId="1450"/>
    <cellStyle name="Normal 2 10 16 2 2" xfId="1451"/>
    <cellStyle name="Normal 2 10 16 3" xfId="1452"/>
    <cellStyle name="Normal 2 10 17" xfId="1453"/>
    <cellStyle name="Normal 2 10 17 2" xfId="1454"/>
    <cellStyle name="Normal 2 10 17 2 2" xfId="1455"/>
    <cellStyle name="Normal 2 10 17 3" xfId="1456"/>
    <cellStyle name="Normal 2 10 18" xfId="1457"/>
    <cellStyle name="Normal 2 10 18 2" xfId="1458"/>
    <cellStyle name="Normal 2 10 18 2 2" xfId="1459"/>
    <cellStyle name="Normal 2 10 18 3" xfId="1460"/>
    <cellStyle name="Normal 2 10 19" xfId="1461"/>
    <cellStyle name="Normal 2 10 19 2" xfId="1462"/>
    <cellStyle name="Normal 2 10 19 2 2" xfId="1463"/>
    <cellStyle name="Normal 2 10 19 3" xfId="1464"/>
    <cellStyle name="Normal 2 10 2" xfId="1105"/>
    <cellStyle name="Normal 2 10 2 2" xfId="1106"/>
    <cellStyle name="Normal 2 10 2 2 2" xfId="1465"/>
    <cellStyle name="Normal 2 10 2 3" xfId="1466"/>
    <cellStyle name="Normal 2 10 20" xfId="1467"/>
    <cellStyle name="Normal 2 10 20 2" xfId="1468"/>
    <cellStyle name="Normal 2 10 20 2 2" xfId="1469"/>
    <cellStyle name="Normal 2 10 20 3" xfId="1470"/>
    <cellStyle name="Normal 2 10 21" xfId="1471"/>
    <cellStyle name="Normal 2 10 21 2" xfId="1472"/>
    <cellStyle name="Normal 2 10 21 2 2" xfId="1473"/>
    <cellStyle name="Normal 2 10 21 3" xfId="1474"/>
    <cellStyle name="Normal 2 10 22" xfId="1475"/>
    <cellStyle name="Normal 2 10 22 2" xfId="1476"/>
    <cellStyle name="Normal 2 10 22 2 2" xfId="1477"/>
    <cellStyle name="Normal 2 10 22 3" xfId="1478"/>
    <cellStyle name="Normal 2 10 23" xfId="1479"/>
    <cellStyle name="Normal 2 10 23 2" xfId="1480"/>
    <cellStyle name="Normal 2 10 23 2 2" xfId="1481"/>
    <cellStyle name="Normal 2 10 23 3" xfId="1482"/>
    <cellStyle name="Normal 2 10 24" xfId="1483"/>
    <cellStyle name="Normal 2 10 24 2" xfId="1484"/>
    <cellStyle name="Normal 2 10 25" xfId="1485"/>
    <cellStyle name="Normal 2 10 3" xfId="1107"/>
    <cellStyle name="Normal 2 10 3 2" xfId="1108"/>
    <cellStyle name="Normal 2 10 3 2 2" xfId="1486"/>
    <cellStyle name="Normal 2 10 3 3" xfId="1487"/>
    <cellStyle name="Normal 2 10 4" xfId="1109"/>
    <cellStyle name="Normal 2 10 4 2" xfId="1488"/>
    <cellStyle name="Normal 2 10 4 2 2" xfId="1489"/>
    <cellStyle name="Normal 2 10 4 3" xfId="1490"/>
    <cellStyle name="Normal 2 10 5" xfId="1491"/>
    <cellStyle name="Normal 2 10 5 2" xfId="1492"/>
    <cellStyle name="Normal 2 10 5 2 2" xfId="1493"/>
    <cellStyle name="Normal 2 10 5 3" xfId="1494"/>
    <cellStyle name="Normal 2 10 6" xfId="1495"/>
    <cellStyle name="Normal 2 10 6 2" xfId="1496"/>
    <cellStyle name="Normal 2 10 6 2 2" xfId="1497"/>
    <cellStyle name="Normal 2 10 6 3" xfId="1498"/>
    <cellStyle name="Normal 2 10 7" xfId="1499"/>
    <cellStyle name="Normal 2 10 7 2" xfId="1500"/>
    <cellStyle name="Normal 2 10 7 2 2" xfId="1501"/>
    <cellStyle name="Normal 2 10 7 3" xfId="1502"/>
    <cellStyle name="Normal 2 10 8" xfId="1503"/>
    <cellStyle name="Normal 2 10 8 2" xfId="1504"/>
    <cellStyle name="Normal 2 10 8 2 2" xfId="1505"/>
    <cellStyle name="Normal 2 10 8 3" xfId="1506"/>
    <cellStyle name="Normal 2 10 9" xfId="1507"/>
    <cellStyle name="Normal 2 10 9 2" xfId="1508"/>
    <cellStyle name="Normal 2 10 9 2 2" xfId="1509"/>
    <cellStyle name="Normal 2 10 9 3" xfId="1510"/>
    <cellStyle name="Normal 2 100" xfId="1511"/>
    <cellStyle name="Normal 2 100 2" xfId="1512"/>
    <cellStyle name="Normal 2 100 3" xfId="1513"/>
    <cellStyle name="Normal 2 101" xfId="1514"/>
    <cellStyle name="Normal 2 101 2" xfId="1515"/>
    <cellStyle name="Normal 2 101 3" xfId="1516"/>
    <cellStyle name="Normal 2 102" xfId="1517"/>
    <cellStyle name="Normal 2 103" xfId="1518"/>
    <cellStyle name="Normal 2 104" xfId="1519"/>
    <cellStyle name="Normal 2 105" xfId="1520"/>
    <cellStyle name="Normal 2 106" xfId="1521"/>
    <cellStyle name="Normal 2 107" xfId="1522"/>
    <cellStyle name="Normal 2 108" xfId="1523"/>
    <cellStyle name="Normal 2 109" xfId="1524"/>
    <cellStyle name="Normal 2 11" xfId="183"/>
    <cellStyle name="Normal 2 11 10" xfId="1525"/>
    <cellStyle name="Normal 2 11 10 2" xfId="1526"/>
    <cellStyle name="Normal 2 11 10 2 2" xfId="1527"/>
    <cellStyle name="Normal 2 11 10 3" xfId="1528"/>
    <cellStyle name="Normal 2 11 11" xfId="1529"/>
    <cellStyle name="Normal 2 11 11 2" xfId="1530"/>
    <cellStyle name="Normal 2 11 11 2 2" xfId="1531"/>
    <cellStyle name="Normal 2 11 11 3" xfId="1532"/>
    <cellStyle name="Normal 2 11 12" xfId="1533"/>
    <cellStyle name="Normal 2 11 12 2" xfId="1534"/>
    <cellStyle name="Normal 2 11 12 2 2" xfId="1535"/>
    <cellStyle name="Normal 2 11 12 3" xfId="1536"/>
    <cellStyle name="Normal 2 11 13" xfId="1537"/>
    <cellStyle name="Normal 2 11 13 2" xfId="1538"/>
    <cellStyle name="Normal 2 11 13 2 2" xfId="1539"/>
    <cellStyle name="Normal 2 11 13 3" xfId="1540"/>
    <cellStyle name="Normal 2 11 14" xfId="1541"/>
    <cellStyle name="Normal 2 11 14 2" xfId="1542"/>
    <cellStyle name="Normal 2 11 14 2 2" xfId="1543"/>
    <cellStyle name="Normal 2 11 14 3" xfId="1544"/>
    <cellStyle name="Normal 2 11 15" xfId="1545"/>
    <cellStyle name="Normal 2 11 15 2" xfId="1546"/>
    <cellStyle name="Normal 2 11 15 2 2" xfId="1547"/>
    <cellStyle name="Normal 2 11 15 3" xfId="1548"/>
    <cellStyle name="Normal 2 11 16" xfId="1549"/>
    <cellStyle name="Normal 2 11 16 2" xfId="1550"/>
    <cellStyle name="Normal 2 11 16 2 2" xfId="1551"/>
    <cellStyle name="Normal 2 11 16 3" xfId="1552"/>
    <cellStyle name="Normal 2 11 17" xfId="1553"/>
    <cellStyle name="Normal 2 11 17 2" xfId="1554"/>
    <cellStyle name="Normal 2 11 17 2 2" xfId="1555"/>
    <cellStyle name="Normal 2 11 17 3" xfId="1556"/>
    <cellStyle name="Normal 2 11 18" xfId="1557"/>
    <cellStyle name="Normal 2 11 18 2" xfId="1558"/>
    <cellStyle name="Normal 2 11 18 2 2" xfId="1559"/>
    <cellStyle name="Normal 2 11 18 3" xfId="1560"/>
    <cellStyle name="Normal 2 11 19" xfId="1561"/>
    <cellStyle name="Normal 2 11 19 2" xfId="1562"/>
    <cellStyle name="Normal 2 11 19 2 2" xfId="1563"/>
    <cellStyle name="Normal 2 11 19 3" xfId="1564"/>
    <cellStyle name="Normal 2 11 2" xfId="1565"/>
    <cellStyle name="Normal 2 11 2 2" xfId="1566"/>
    <cellStyle name="Normal 2 11 2 2 2" xfId="1567"/>
    <cellStyle name="Normal 2 11 2 3" xfId="1568"/>
    <cellStyle name="Normal 2 11 20" xfId="1569"/>
    <cellStyle name="Normal 2 11 20 2" xfId="1570"/>
    <cellStyle name="Normal 2 11 20 2 2" xfId="1571"/>
    <cellStyle name="Normal 2 11 20 3" xfId="1572"/>
    <cellStyle name="Normal 2 11 21" xfId="1573"/>
    <cellStyle name="Normal 2 11 21 2" xfId="1574"/>
    <cellStyle name="Normal 2 11 21 2 2" xfId="1575"/>
    <cellStyle name="Normal 2 11 21 3" xfId="1576"/>
    <cellStyle name="Normal 2 11 22" xfId="1577"/>
    <cellStyle name="Normal 2 11 22 2" xfId="1578"/>
    <cellStyle name="Normal 2 11 22 2 2" xfId="1579"/>
    <cellStyle name="Normal 2 11 22 3" xfId="1580"/>
    <cellStyle name="Normal 2 11 23" xfId="1581"/>
    <cellStyle name="Normal 2 11 23 2" xfId="1582"/>
    <cellStyle name="Normal 2 11 23 2 2" xfId="1583"/>
    <cellStyle name="Normal 2 11 23 3" xfId="1584"/>
    <cellStyle name="Normal 2 11 24" xfId="1585"/>
    <cellStyle name="Normal 2 11 24 2" xfId="1586"/>
    <cellStyle name="Normal 2 11 25" xfId="1587"/>
    <cellStyle name="Normal 2 11 3" xfId="1588"/>
    <cellStyle name="Normal 2 11 3 2" xfId="1589"/>
    <cellStyle name="Normal 2 11 3 2 2" xfId="1590"/>
    <cellStyle name="Normal 2 11 3 3" xfId="1591"/>
    <cellStyle name="Normal 2 11 4" xfId="1592"/>
    <cellStyle name="Normal 2 11 4 2" xfId="1593"/>
    <cellStyle name="Normal 2 11 4 2 2" xfId="1594"/>
    <cellStyle name="Normal 2 11 4 3" xfId="1595"/>
    <cellStyle name="Normal 2 11 5" xfId="1596"/>
    <cellStyle name="Normal 2 11 5 2" xfId="1597"/>
    <cellStyle name="Normal 2 11 5 2 2" xfId="1598"/>
    <cellStyle name="Normal 2 11 5 3" xfId="1599"/>
    <cellStyle name="Normal 2 11 6" xfId="1600"/>
    <cellStyle name="Normal 2 11 6 2" xfId="1601"/>
    <cellStyle name="Normal 2 11 6 2 2" xfId="1602"/>
    <cellStyle name="Normal 2 11 6 3" xfId="1603"/>
    <cellStyle name="Normal 2 11 7" xfId="1604"/>
    <cellStyle name="Normal 2 11 7 2" xfId="1605"/>
    <cellStyle name="Normal 2 11 7 2 2" xfId="1606"/>
    <cellStyle name="Normal 2 11 7 3" xfId="1607"/>
    <cellStyle name="Normal 2 11 8" xfId="1608"/>
    <cellStyle name="Normal 2 11 8 2" xfId="1609"/>
    <cellStyle name="Normal 2 11 8 2 2" xfId="1610"/>
    <cellStyle name="Normal 2 11 8 3" xfId="1611"/>
    <cellStyle name="Normal 2 11 9" xfId="1612"/>
    <cellStyle name="Normal 2 11 9 2" xfId="1613"/>
    <cellStyle name="Normal 2 11 9 2 2" xfId="1614"/>
    <cellStyle name="Normal 2 11 9 3" xfId="1615"/>
    <cellStyle name="Normal 2 12" xfId="184"/>
    <cellStyle name="Normal 2 12 10" xfId="1616"/>
    <cellStyle name="Normal 2 12 10 2" xfId="1617"/>
    <cellStyle name="Normal 2 12 10 2 2" xfId="1618"/>
    <cellStyle name="Normal 2 12 10 3" xfId="1619"/>
    <cellStyle name="Normal 2 12 11" xfId="1620"/>
    <cellStyle name="Normal 2 12 11 2" xfId="1621"/>
    <cellStyle name="Normal 2 12 11 2 2" xfId="1622"/>
    <cellStyle name="Normal 2 12 11 3" xfId="1623"/>
    <cellStyle name="Normal 2 12 12" xfId="1624"/>
    <cellStyle name="Normal 2 12 12 2" xfId="1625"/>
    <cellStyle name="Normal 2 12 12 2 2" xfId="1626"/>
    <cellStyle name="Normal 2 12 12 3" xfId="1627"/>
    <cellStyle name="Normal 2 12 13" xfId="1628"/>
    <cellStyle name="Normal 2 12 13 2" xfId="1629"/>
    <cellStyle name="Normal 2 12 13 2 2" xfId="1630"/>
    <cellStyle name="Normal 2 12 13 3" xfId="1631"/>
    <cellStyle name="Normal 2 12 14" xfId="1632"/>
    <cellStyle name="Normal 2 12 14 2" xfId="1633"/>
    <cellStyle name="Normal 2 12 14 2 2" xfId="1634"/>
    <cellStyle name="Normal 2 12 14 3" xfId="1635"/>
    <cellStyle name="Normal 2 12 15" xfId="1636"/>
    <cellStyle name="Normal 2 12 15 2" xfId="1637"/>
    <cellStyle name="Normal 2 12 15 2 2" xfId="1638"/>
    <cellStyle name="Normal 2 12 15 3" xfId="1639"/>
    <cellStyle name="Normal 2 12 16" xfId="1640"/>
    <cellStyle name="Normal 2 12 16 2" xfId="1641"/>
    <cellStyle name="Normal 2 12 16 2 2" xfId="1642"/>
    <cellStyle name="Normal 2 12 16 3" xfId="1643"/>
    <cellStyle name="Normal 2 12 17" xfId="1644"/>
    <cellStyle name="Normal 2 12 17 2" xfId="1645"/>
    <cellStyle name="Normal 2 12 17 2 2" xfId="1646"/>
    <cellStyle name="Normal 2 12 17 3" xfId="1647"/>
    <cellStyle name="Normal 2 12 18" xfId="1648"/>
    <cellStyle name="Normal 2 12 18 2" xfId="1649"/>
    <cellStyle name="Normal 2 12 18 2 2" xfId="1650"/>
    <cellStyle name="Normal 2 12 18 3" xfId="1651"/>
    <cellStyle name="Normal 2 12 19" xfId="1652"/>
    <cellStyle name="Normal 2 12 19 2" xfId="1653"/>
    <cellStyle name="Normal 2 12 19 2 2" xfId="1654"/>
    <cellStyle name="Normal 2 12 19 3" xfId="1655"/>
    <cellStyle name="Normal 2 12 2" xfId="1110"/>
    <cellStyle name="Normal 2 12 2 2" xfId="1111"/>
    <cellStyle name="Normal 2 12 2 2 2" xfId="1656"/>
    <cellStyle name="Normal 2 12 2 3" xfId="1657"/>
    <cellStyle name="Normal 2 12 20" xfId="1658"/>
    <cellStyle name="Normal 2 12 20 2" xfId="1659"/>
    <cellStyle name="Normal 2 12 20 2 2" xfId="1660"/>
    <cellStyle name="Normal 2 12 20 3" xfId="1661"/>
    <cellStyle name="Normal 2 12 21" xfId="1662"/>
    <cellStyle name="Normal 2 12 21 2" xfId="1663"/>
    <cellStyle name="Normal 2 12 21 2 2" xfId="1664"/>
    <cellStyle name="Normal 2 12 21 3" xfId="1665"/>
    <cellStyle name="Normal 2 12 22" xfId="1666"/>
    <cellStyle name="Normal 2 12 22 2" xfId="1667"/>
    <cellStyle name="Normal 2 12 22 2 2" xfId="1668"/>
    <cellStyle name="Normal 2 12 22 3" xfId="1669"/>
    <cellStyle name="Normal 2 12 23" xfId="1670"/>
    <cellStyle name="Normal 2 12 23 2" xfId="1671"/>
    <cellStyle name="Normal 2 12 23 2 2" xfId="1672"/>
    <cellStyle name="Normal 2 12 23 3" xfId="1673"/>
    <cellStyle name="Normal 2 12 24" xfId="1674"/>
    <cellStyle name="Normal 2 12 24 2" xfId="1675"/>
    <cellStyle name="Normal 2 12 25" xfId="1676"/>
    <cellStyle name="Normal 2 12 3" xfId="1112"/>
    <cellStyle name="Normal 2 12 3 2" xfId="1113"/>
    <cellStyle name="Normal 2 12 3 2 2" xfId="1677"/>
    <cellStyle name="Normal 2 12 3 3" xfId="1678"/>
    <cellStyle name="Normal 2 12 4" xfId="1114"/>
    <cellStyle name="Normal 2 12 4 2" xfId="1679"/>
    <cellStyle name="Normal 2 12 4 2 2" xfId="1680"/>
    <cellStyle name="Normal 2 12 4 3" xfId="1681"/>
    <cellStyle name="Normal 2 12 5" xfId="1682"/>
    <cellStyle name="Normal 2 12 5 2" xfId="1683"/>
    <cellStyle name="Normal 2 12 5 2 2" xfId="1684"/>
    <cellStyle name="Normal 2 12 5 3" xfId="1685"/>
    <cellStyle name="Normal 2 12 6" xfId="1686"/>
    <cellStyle name="Normal 2 12 6 2" xfId="1687"/>
    <cellStyle name="Normal 2 12 6 2 2" xfId="1688"/>
    <cellStyle name="Normal 2 12 6 3" xfId="1689"/>
    <cellStyle name="Normal 2 12 7" xfId="1690"/>
    <cellStyle name="Normal 2 12 7 2" xfId="1691"/>
    <cellStyle name="Normal 2 12 7 2 2" xfId="1692"/>
    <cellStyle name="Normal 2 12 7 3" xfId="1693"/>
    <cellStyle name="Normal 2 12 8" xfId="1694"/>
    <cellStyle name="Normal 2 12 8 2" xfId="1695"/>
    <cellStyle name="Normal 2 12 8 2 2" xfId="1696"/>
    <cellStyle name="Normal 2 12 8 3" xfId="1697"/>
    <cellStyle name="Normal 2 12 9" xfId="1698"/>
    <cellStyle name="Normal 2 12 9 2" xfId="1699"/>
    <cellStyle name="Normal 2 12 9 2 2" xfId="1700"/>
    <cellStyle name="Normal 2 12 9 3" xfId="1701"/>
    <cellStyle name="Normal 2 13" xfId="1702"/>
    <cellStyle name="Normal 2 13 10" xfId="1703"/>
    <cellStyle name="Normal 2 13 10 2" xfId="1704"/>
    <cellStyle name="Normal 2 13 10 2 2" xfId="1705"/>
    <cellStyle name="Normal 2 13 10 3" xfId="1706"/>
    <cellStyle name="Normal 2 13 11" xfId="1707"/>
    <cellStyle name="Normal 2 13 11 2" xfId="1708"/>
    <cellStyle name="Normal 2 13 11 2 2" xfId="1709"/>
    <cellStyle name="Normal 2 13 11 3" xfId="1710"/>
    <cellStyle name="Normal 2 13 12" xfId="1711"/>
    <cellStyle name="Normal 2 13 12 2" xfId="1712"/>
    <cellStyle name="Normal 2 13 12 2 2" xfId="1713"/>
    <cellStyle name="Normal 2 13 12 3" xfId="1714"/>
    <cellStyle name="Normal 2 13 13" xfId="1715"/>
    <cellStyle name="Normal 2 13 13 2" xfId="1716"/>
    <cellStyle name="Normal 2 13 13 2 2" xfId="1717"/>
    <cellStyle name="Normal 2 13 13 3" xfId="1718"/>
    <cellStyle name="Normal 2 13 14" xfId="1719"/>
    <cellStyle name="Normal 2 13 14 2" xfId="1720"/>
    <cellStyle name="Normal 2 13 14 2 2" xfId="1721"/>
    <cellStyle name="Normal 2 13 14 3" xfId="1722"/>
    <cellStyle name="Normal 2 13 15" xfId="1723"/>
    <cellStyle name="Normal 2 13 15 2" xfId="1724"/>
    <cellStyle name="Normal 2 13 15 2 2" xfId="1725"/>
    <cellStyle name="Normal 2 13 15 3" xfId="1726"/>
    <cellStyle name="Normal 2 13 16" xfId="1727"/>
    <cellStyle name="Normal 2 13 16 2" xfId="1728"/>
    <cellStyle name="Normal 2 13 16 2 2" xfId="1729"/>
    <cellStyle name="Normal 2 13 16 3" xfId="1730"/>
    <cellStyle name="Normal 2 13 17" xfId="1731"/>
    <cellStyle name="Normal 2 13 17 2" xfId="1732"/>
    <cellStyle name="Normal 2 13 17 2 2" xfId="1733"/>
    <cellStyle name="Normal 2 13 17 3" xfId="1734"/>
    <cellStyle name="Normal 2 13 18" xfId="1735"/>
    <cellStyle name="Normal 2 13 18 2" xfId="1736"/>
    <cellStyle name="Normal 2 13 18 2 2" xfId="1737"/>
    <cellStyle name="Normal 2 13 18 3" xfId="1738"/>
    <cellStyle name="Normal 2 13 19" xfId="1739"/>
    <cellStyle name="Normal 2 13 19 2" xfId="1740"/>
    <cellStyle name="Normal 2 13 19 2 2" xfId="1741"/>
    <cellStyle name="Normal 2 13 19 3" xfId="1742"/>
    <cellStyle name="Normal 2 13 2" xfId="1743"/>
    <cellStyle name="Normal 2 13 2 2" xfId="1744"/>
    <cellStyle name="Normal 2 13 2 2 2" xfId="1745"/>
    <cellStyle name="Normal 2 13 2 3" xfId="1746"/>
    <cellStyle name="Normal 2 13 20" xfId="1747"/>
    <cellStyle name="Normal 2 13 20 2" xfId="1748"/>
    <cellStyle name="Normal 2 13 20 2 2" xfId="1749"/>
    <cellStyle name="Normal 2 13 20 3" xfId="1750"/>
    <cellStyle name="Normal 2 13 21" xfId="1751"/>
    <cellStyle name="Normal 2 13 21 2" xfId="1752"/>
    <cellStyle name="Normal 2 13 21 2 2" xfId="1753"/>
    <cellStyle name="Normal 2 13 21 3" xfId="1754"/>
    <cellStyle name="Normal 2 13 22" xfId="1755"/>
    <cellStyle name="Normal 2 13 22 2" xfId="1756"/>
    <cellStyle name="Normal 2 13 22 2 2" xfId="1757"/>
    <cellStyle name="Normal 2 13 22 3" xfId="1758"/>
    <cellStyle name="Normal 2 13 23" xfId="1759"/>
    <cellStyle name="Normal 2 13 23 2" xfId="1760"/>
    <cellStyle name="Normal 2 13 23 2 2" xfId="1761"/>
    <cellStyle name="Normal 2 13 23 3" xfId="1762"/>
    <cellStyle name="Normal 2 13 24" xfId="1763"/>
    <cellStyle name="Normal 2 13 24 2" xfId="1764"/>
    <cellStyle name="Normal 2 13 25" xfId="1765"/>
    <cellStyle name="Normal 2 13 3" xfId="1766"/>
    <cellStyle name="Normal 2 13 3 2" xfId="1767"/>
    <cellStyle name="Normal 2 13 3 2 2" xfId="1768"/>
    <cellStyle name="Normal 2 13 3 3" xfId="1769"/>
    <cellStyle name="Normal 2 13 4" xfId="1770"/>
    <cellStyle name="Normal 2 13 4 2" xfId="1771"/>
    <cellStyle name="Normal 2 13 4 2 2" xfId="1772"/>
    <cellStyle name="Normal 2 13 4 3" xfId="1773"/>
    <cellStyle name="Normal 2 13 5" xfId="1774"/>
    <cellStyle name="Normal 2 13 5 2" xfId="1775"/>
    <cellStyle name="Normal 2 13 5 2 2" xfId="1776"/>
    <cellStyle name="Normal 2 13 5 3" xfId="1777"/>
    <cellStyle name="Normal 2 13 6" xfId="1778"/>
    <cellStyle name="Normal 2 13 6 2" xfId="1779"/>
    <cellStyle name="Normal 2 13 6 2 2" xfId="1780"/>
    <cellStyle name="Normal 2 13 6 3" xfId="1781"/>
    <cellStyle name="Normal 2 13 7" xfId="1782"/>
    <cellStyle name="Normal 2 13 7 2" xfId="1783"/>
    <cellStyle name="Normal 2 13 7 2 2" xfId="1784"/>
    <cellStyle name="Normal 2 13 7 3" xfId="1785"/>
    <cellStyle name="Normal 2 13 8" xfId="1786"/>
    <cellStyle name="Normal 2 13 8 2" xfId="1787"/>
    <cellStyle name="Normal 2 13 8 2 2" xfId="1788"/>
    <cellStyle name="Normal 2 13 8 3" xfId="1789"/>
    <cellStyle name="Normal 2 13 9" xfId="1790"/>
    <cellStyle name="Normal 2 13 9 2" xfId="1791"/>
    <cellStyle name="Normal 2 13 9 2 2" xfId="1792"/>
    <cellStyle name="Normal 2 13 9 3" xfId="1793"/>
    <cellStyle name="Normal 2 14" xfId="1794"/>
    <cellStyle name="Normal 2 14 10" xfId="1795"/>
    <cellStyle name="Normal 2 14 10 2" xfId="1796"/>
    <cellStyle name="Normal 2 14 10 2 2" xfId="1797"/>
    <cellStyle name="Normal 2 14 10 3" xfId="1798"/>
    <cellStyle name="Normal 2 14 11" xfId="1799"/>
    <cellStyle name="Normal 2 14 11 2" xfId="1800"/>
    <cellStyle name="Normal 2 14 11 2 2" xfId="1801"/>
    <cellStyle name="Normal 2 14 11 3" xfId="1802"/>
    <cellStyle name="Normal 2 14 12" xfId="1803"/>
    <cellStyle name="Normal 2 14 12 2" xfId="1804"/>
    <cellStyle name="Normal 2 14 12 2 2" xfId="1805"/>
    <cellStyle name="Normal 2 14 12 3" xfId="1806"/>
    <cellStyle name="Normal 2 14 13" xfId="1807"/>
    <cellStyle name="Normal 2 14 13 2" xfId="1808"/>
    <cellStyle name="Normal 2 14 13 2 2" xfId="1809"/>
    <cellStyle name="Normal 2 14 13 3" xfId="1810"/>
    <cellStyle name="Normal 2 14 14" xfId="1811"/>
    <cellStyle name="Normal 2 14 14 2" xfId="1812"/>
    <cellStyle name="Normal 2 14 14 2 2" xfId="1813"/>
    <cellStyle name="Normal 2 14 14 3" xfId="1814"/>
    <cellStyle name="Normal 2 14 15" xfId="1815"/>
    <cellStyle name="Normal 2 14 15 2" xfId="1816"/>
    <cellStyle name="Normal 2 14 15 2 2" xfId="1817"/>
    <cellStyle name="Normal 2 14 15 3" xfId="1818"/>
    <cellStyle name="Normal 2 14 16" xfId="1819"/>
    <cellStyle name="Normal 2 14 16 2" xfId="1820"/>
    <cellStyle name="Normal 2 14 16 2 2" xfId="1821"/>
    <cellStyle name="Normal 2 14 16 3" xfId="1822"/>
    <cellStyle name="Normal 2 14 17" xfId="1823"/>
    <cellStyle name="Normal 2 14 17 2" xfId="1824"/>
    <cellStyle name="Normal 2 14 17 2 2" xfId="1825"/>
    <cellStyle name="Normal 2 14 17 3" xfId="1826"/>
    <cellStyle name="Normal 2 14 18" xfId="1827"/>
    <cellStyle name="Normal 2 14 18 2" xfId="1828"/>
    <cellStyle name="Normal 2 14 18 2 2" xfId="1829"/>
    <cellStyle name="Normal 2 14 18 3" xfId="1830"/>
    <cellStyle name="Normal 2 14 19" xfId="1831"/>
    <cellStyle name="Normal 2 14 19 2" xfId="1832"/>
    <cellStyle name="Normal 2 14 19 2 2" xfId="1833"/>
    <cellStyle name="Normal 2 14 19 3" xfId="1834"/>
    <cellStyle name="Normal 2 14 2" xfId="1835"/>
    <cellStyle name="Normal 2 14 2 2" xfId="1836"/>
    <cellStyle name="Normal 2 14 2 2 2" xfId="1837"/>
    <cellStyle name="Normal 2 14 2 3" xfId="1838"/>
    <cellStyle name="Normal 2 14 20" xfId="1839"/>
    <cellStyle name="Normal 2 14 20 2" xfId="1840"/>
    <cellStyle name="Normal 2 14 20 2 2" xfId="1841"/>
    <cellStyle name="Normal 2 14 20 3" xfId="1842"/>
    <cellStyle name="Normal 2 14 21" xfId="1843"/>
    <cellStyle name="Normal 2 14 21 2" xfId="1844"/>
    <cellStyle name="Normal 2 14 21 2 2" xfId="1845"/>
    <cellStyle name="Normal 2 14 21 3" xfId="1846"/>
    <cellStyle name="Normal 2 14 22" xfId="1847"/>
    <cellStyle name="Normal 2 14 22 2" xfId="1848"/>
    <cellStyle name="Normal 2 14 22 2 2" xfId="1849"/>
    <cellStyle name="Normal 2 14 22 3" xfId="1850"/>
    <cellStyle name="Normal 2 14 23" xfId="1851"/>
    <cellStyle name="Normal 2 14 23 2" xfId="1852"/>
    <cellStyle name="Normal 2 14 23 2 2" xfId="1853"/>
    <cellStyle name="Normal 2 14 23 3" xfId="1854"/>
    <cellStyle name="Normal 2 14 24" xfId="1855"/>
    <cellStyle name="Normal 2 14 24 2" xfId="1856"/>
    <cellStyle name="Normal 2 14 25" xfId="1857"/>
    <cellStyle name="Normal 2 14 3" xfId="1858"/>
    <cellStyle name="Normal 2 14 3 2" xfId="1859"/>
    <cellStyle name="Normal 2 14 3 2 2" xfId="1860"/>
    <cellStyle name="Normal 2 14 3 3" xfId="1861"/>
    <cellStyle name="Normal 2 14 4" xfId="1862"/>
    <cellStyle name="Normal 2 14 4 2" xfId="1863"/>
    <cellStyle name="Normal 2 14 4 2 2" xfId="1864"/>
    <cellStyle name="Normal 2 14 4 3" xfId="1865"/>
    <cellStyle name="Normal 2 14 5" xfId="1866"/>
    <cellStyle name="Normal 2 14 5 2" xfId="1867"/>
    <cellStyle name="Normal 2 14 5 2 2" xfId="1868"/>
    <cellStyle name="Normal 2 14 5 3" xfId="1869"/>
    <cellStyle name="Normal 2 14 6" xfId="1870"/>
    <cellStyle name="Normal 2 14 6 2" xfId="1871"/>
    <cellStyle name="Normal 2 14 6 2 2" xfId="1872"/>
    <cellStyle name="Normal 2 14 6 3" xfId="1873"/>
    <cellStyle name="Normal 2 14 7" xfId="1874"/>
    <cellStyle name="Normal 2 14 7 2" xfId="1875"/>
    <cellStyle name="Normal 2 14 7 2 2" xfId="1876"/>
    <cellStyle name="Normal 2 14 7 3" xfId="1877"/>
    <cellStyle name="Normal 2 14 8" xfId="1878"/>
    <cellStyle name="Normal 2 14 8 2" xfId="1879"/>
    <cellStyle name="Normal 2 14 8 2 2" xfId="1880"/>
    <cellStyle name="Normal 2 14 8 3" xfId="1881"/>
    <cellStyle name="Normal 2 14 9" xfId="1882"/>
    <cellStyle name="Normal 2 14 9 2" xfId="1883"/>
    <cellStyle name="Normal 2 14 9 2 2" xfId="1884"/>
    <cellStyle name="Normal 2 14 9 3" xfId="1885"/>
    <cellStyle name="Normal 2 15" xfId="1886"/>
    <cellStyle name="Normal 2 15 10" xfId="1887"/>
    <cellStyle name="Normal 2 15 10 2" xfId="1888"/>
    <cellStyle name="Normal 2 15 10 2 2" xfId="1889"/>
    <cellStyle name="Normal 2 15 10 3" xfId="1890"/>
    <cellStyle name="Normal 2 15 11" xfId="1891"/>
    <cellStyle name="Normal 2 15 11 2" xfId="1892"/>
    <cellStyle name="Normal 2 15 11 2 2" xfId="1893"/>
    <cellStyle name="Normal 2 15 11 3" xfId="1894"/>
    <cellStyle name="Normal 2 15 12" xfId="1895"/>
    <cellStyle name="Normal 2 15 12 2" xfId="1896"/>
    <cellStyle name="Normal 2 15 12 2 2" xfId="1897"/>
    <cellStyle name="Normal 2 15 12 3" xfId="1898"/>
    <cellStyle name="Normal 2 15 13" xfId="1899"/>
    <cellStyle name="Normal 2 15 13 2" xfId="1900"/>
    <cellStyle name="Normal 2 15 13 2 2" xfId="1901"/>
    <cellStyle name="Normal 2 15 13 3" xfId="1902"/>
    <cellStyle name="Normal 2 15 14" xfId="1903"/>
    <cellStyle name="Normal 2 15 14 2" xfId="1904"/>
    <cellStyle name="Normal 2 15 14 2 2" xfId="1905"/>
    <cellStyle name="Normal 2 15 14 3" xfId="1906"/>
    <cellStyle name="Normal 2 15 15" xfId="1907"/>
    <cellStyle name="Normal 2 15 15 2" xfId="1908"/>
    <cellStyle name="Normal 2 15 15 2 2" xfId="1909"/>
    <cellStyle name="Normal 2 15 15 3" xfId="1910"/>
    <cellStyle name="Normal 2 15 16" xfId="1911"/>
    <cellStyle name="Normal 2 15 16 2" xfId="1912"/>
    <cellStyle name="Normal 2 15 16 2 2" xfId="1913"/>
    <cellStyle name="Normal 2 15 16 3" xfId="1914"/>
    <cellStyle name="Normal 2 15 17" xfId="1915"/>
    <cellStyle name="Normal 2 15 17 2" xfId="1916"/>
    <cellStyle name="Normal 2 15 17 2 2" xfId="1917"/>
    <cellStyle name="Normal 2 15 17 3" xfId="1918"/>
    <cellStyle name="Normal 2 15 18" xfId="1919"/>
    <cellStyle name="Normal 2 15 18 2" xfId="1920"/>
    <cellStyle name="Normal 2 15 18 2 2" xfId="1921"/>
    <cellStyle name="Normal 2 15 18 3" xfId="1922"/>
    <cellStyle name="Normal 2 15 19" xfId="1923"/>
    <cellStyle name="Normal 2 15 19 2" xfId="1924"/>
    <cellStyle name="Normal 2 15 19 2 2" xfId="1925"/>
    <cellStyle name="Normal 2 15 19 3" xfId="1926"/>
    <cellStyle name="Normal 2 15 2" xfId="1927"/>
    <cellStyle name="Normal 2 15 2 2" xfId="1928"/>
    <cellStyle name="Normal 2 15 2 2 2" xfId="1929"/>
    <cellStyle name="Normal 2 15 2 3" xfId="1930"/>
    <cellStyle name="Normal 2 15 20" xfId="1931"/>
    <cellStyle name="Normal 2 15 20 2" xfId="1932"/>
    <cellStyle name="Normal 2 15 20 2 2" xfId="1933"/>
    <cellStyle name="Normal 2 15 20 3" xfId="1934"/>
    <cellStyle name="Normal 2 15 21" xfId="1935"/>
    <cellStyle name="Normal 2 15 21 2" xfId="1936"/>
    <cellStyle name="Normal 2 15 21 2 2" xfId="1937"/>
    <cellStyle name="Normal 2 15 21 3" xfId="1938"/>
    <cellStyle name="Normal 2 15 22" xfId="1939"/>
    <cellStyle name="Normal 2 15 22 2" xfId="1940"/>
    <cellStyle name="Normal 2 15 22 2 2" xfId="1941"/>
    <cellStyle name="Normal 2 15 22 3" xfId="1942"/>
    <cellStyle name="Normal 2 15 23" xfId="1943"/>
    <cellStyle name="Normal 2 15 23 2" xfId="1944"/>
    <cellStyle name="Normal 2 15 23 2 2" xfId="1945"/>
    <cellStyle name="Normal 2 15 23 3" xfId="1946"/>
    <cellStyle name="Normal 2 15 24" xfId="1947"/>
    <cellStyle name="Normal 2 15 24 2" xfId="1948"/>
    <cellStyle name="Normal 2 15 25" xfId="1949"/>
    <cellStyle name="Normal 2 15 3" xfId="1950"/>
    <cellStyle name="Normal 2 15 3 2" xfId="1951"/>
    <cellStyle name="Normal 2 15 3 2 2" xfId="1952"/>
    <cellStyle name="Normal 2 15 3 3" xfId="1953"/>
    <cellStyle name="Normal 2 15 4" xfId="1954"/>
    <cellStyle name="Normal 2 15 4 2" xfId="1955"/>
    <cellStyle name="Normal 2 15 4 2 2" xfId="1956"/>
    <cellStyle name="Normal 2 15 4 3" xfId="1957"/>
    <cellStyle name="Normal 2 15 5" xfId="1958"/>
    <cellStyle name="Normal 2 15 5 2" xfId="1959"/>
    <cellStyle name="Normal 2 15 5 2 2" xfId="1960"/>
    <cellStyle name="Normal 2 15 5 3" xfId="1961"/>
    <cellStyle name="Normal 2 15 6" xfId="1962"/>
    <cellStyle name="Normal 2 15 6 2" xfId="1963"/>
    <cellStyle name="Normal 2 15 6 2 2" xfId="1964"/>
    <cellStyle name="Normal 2 15 6 3" xfId="1965"/>
    <cellStyle name="Normal 2 15 7" xfId="1966"/>
    <cellStyle name="Normal 2 15 7 2" xfId="1967"/>
    <cellStyle name="Normal 2 15 7 2 2" xfId="1968"/>
    <cellStyle name="Normal 2 15 7 3" xfId="1969"/>
    <cellStyle name="Normal 2 15 8" xfId="1970"/>
    <cellStyle name="Normal 2 15 8 2" xfId="1971"/>
    <cellStyle name="Normal 2 15 8 2 2" xfId="1972"/>
    <cellStyle name="Normal 2 15 8 3" xfId="1973"/>
    <cellStyle name="Normal 2 15 9" xfId="1974"/>
    <cellStyle name="Normal 2 15 9 2" xfId="1975"/>
    <cellStyle name="Normal 2 15 9 2 2" xfId="1976"/>
    <cellStyle name="Normal 2 15 9 3" xfId="1977"/>
    <cellStyle name="Normal 2 16" xfId="1978"/>
    <cellStyle name="Normal 2 16 10" xfId="1979"/>
    <cellStyle name="Normal 2 16 10 2" xfId="1980"/>
    <cellStyle name="Normal 2 16 10 2 2" xfId="1981"/>
    <cellStyle name="Normal 2 16 10 3" xfId="1982"/>
    <cellStyle name="Normal 2 16 11" xfId="1983"/>
    <cellStyle name="Normal 2 16 11 2" xfId="1984"/>
    <cellStyle name="Normal 2 16 11 2 2" xfId="1985"/>
    <cellStyle name="Normal 2 16 11 3" xfId="1986"/>
    <cellStyle name="Normal 2 16 12" xfId="1987"/>
    <cellStyle name="Normal 2 16 12 2" xfId="1988"/>
    <cellStyle name="Normal 2 16 12 2 2" xfId="1989"/>
    <cellStyle name="Normal 2 16 12 3" xfId="1990"/>
    <cellStyle name="Normal 2 16 13" xfId="1991"/>
    <cellStyle name="Normal 2 16 13 2" xfId="1992"/>
    <cellStyle name="Normal 2 16 13 2 2" xfId="1993"/>
    <cellStyle name="Normal 2 16 13 3" xfId="1994"/>
    <cellStyle name="Normal 2 16 14" xfId="1995"/>
    <cellStyle name="Normal 2 16 14 2" xfId="1996"/>
    <cellStyle name="Normal 2 16 14 2 2" xfId="1997"/>
    <cellStyle name="Normal 2 16 14 3" xfId="1998"/>
    <cellStyle name="Normal 2 16 15" xfId="1999"/>
    <cellStyle name="Normal 2 16 15 2" xfId="2000"/>
    <cellStyle name="Normal 2 16 15 2 2" xfId="2001"/>
    <cellStyle name="Normal 2 16 15 3" xfId="2002"/>
    <cellStyle name="Normal 2 16 16" xfId="2003"/>
    <cellStyle name="Normal 2 16 16 2" xfId="2004"/>
    <cellStyle name="Normal 2 16 16 2 2" xfId="2005"/>
    <cellStyle name="Normal 2 16 16 3" xfId="2006"/>
    <cellStyle name="Normal 2 16 17" xfId="2007"/>
    <cellStyle name="Normal 2 16 17 2" xfId="2008"/>
    <cellStyle name="Normal 2 16 17 2 2" xfId="2009"/>
    <cellStyle name="Normal 2 16 17 3" xfId="2010"/>
    <cellStyle name="Normal 2 16 18" xfId="2011"/>
    <cellStyle name="Normal 2 16 18 2" xfId="2012"/>
    <cellStyle name="Normal 2 16 18 2 2" xfId="2013"/>
    <cellStyle name="Normal 2 16 18 3" xfId="2014"/>
    <cellStyle name="Normal 2 16 19" xfId="2015"/>
    <cellStyle name="Normal 2 16 19 2" xfId="2016"/>
    <cellStyle name="Normal 2 16 19 2 2" xfId="2017"/>
    <cellStyle name="Normal 2 16 19 3" xfId="2018"/>
    <cellStyle name="Normal 2 16 2" xfId="2019"/>
    <cellStyle name="Normal 2 16 2 2" xfId="2020"/>
    <cellStyle name="Normal 2 16 2 2 2" xfId="2021"/>
    <cellStyle name="Normal 2 16 2 3" xfId="2022"/>
    <cellStyle name="Normal 2 16 20" xfId="2023"/>
    <cellStyle name="Normal 2 16 20 2" xfId="2024"/>
    <cellStyle name="Normal 2 16 20 2 2" xfId="2025"/>
    <cellStyle name="Normal 2 16 20 3" xfId="2026"/>
    <cellStyle name="Normal 2 16 21" xfId="2027"/>
    <cellStyle name="Normal 2 16 21 2" xfId="2028"/>
    <cellStyle name="Normal 2 16 21 2 2" xfId="2029"/>
    <cellStyle name="Normal 2 16 21 3" xfId="2030"/>
    <cellStyle name="Normal 2 16 22" xfId="2031"/>
    <cellStyle name="Normal 2 16 22 2" xfId="2032"/>
    <cellStyle name="Normal 2 16 22 2 2" xfId="2033"/>
    <cellStyle name="Normal 2 16 22 3" xfId="2034"/>
    <cellStyle name="Normal 2 16 23" xfId="2035"/>
    <cellStyle name="Normal 2 16 23 2" xfId="2036"/>
    <cellStyle name="Normal 2 16 23 2 2" xfId="2037"/>
    <cellStyle name="Normal 2 16 23 3" xfId="2038"/>
    <cellStyle name="Normal 2 16 24" xfId="2039"/>
    <cellStyle name="Normal 2 16 24 2" xfId="2040"/>
    <cellStyle name="Normal 2 16 25" xfId="2041"/>
    <cellStyle name="Normal 2 16 3" xfId="2042"/>
    <cellStyle name="Normal 2 16 3 2" xfId="2043"/>
    <cellStyle name="Normal 2 16 3 2 2" xfId="2044"/>
    <cellStyle name="Normal 2 16 3 3" xfId="2045"/>
    <cellStyle name="Normal 2 16 4" xfId="2046"/>
    <cellStyle name="Normal 2 16 4 2" xfId="2047"/>
    <cellStyle name="Normal 2 16 4 2 2" xfId="2048"/>
    <cellStyle name="Normal 2 16 4 3" xfId="2049"/>
    <cellStyle name="Normal 2 16 5" xfId="2050"/>
    <cellStyle name="Normal 2 16 5 2" xfId="2051"/>
    <cellStyle name="Normal 2 16 5 2 2" xfId="2052"/>
    <cellStyle name="Normal 2 16 5 3" xfId="2053"/>
    <cellStyle name="Normal 2 16 6" xfId="2054"/>
    <cellStyle name="Normal 2 16 6 2" xfId="2055"/>
    <cellStyle name="Normal 2 16 6 2 2" xfId="2056"/>
    <cellStyle name="Normal 2 16 6 3" xfId="2057"/>
    <cellStyle name="Normal 2 16 7" xfId="2058"/>
    <cellStyle name="Normal 2 16 7 2" xfId="2059"/>
    <cellStyle name="Normal 2 16 7 2 2" xfId="2060"/>
    <cellStyle name="Normal 2 16 7 3" xfId="2061"/>
    <cellStyle name="Normal 2 16 8" xfId="2062"/>
    <cellStyle name="Normal 2 16 8 2" xfId="2063"/>
    <cellStyle name="Normal 2 16 8 2 2" xfId="2064"/>
    <cellStyle name="Normal 2 16 8 3" xfId="2065"/>
    <cellStyle name="Normal 2 16 9" xfId="2066"/>
    <cellStyle name="Normal 2 16 9 2" xfId="2067"/>
    <cellStyle name="Normal 2 16 9 2 2" xfId="2068"/>
    <cellStyle name="Normal 2 16 9 3" xfId="2069"/>
    <cellStyle name="Normal 2 17" xfId="2070"/>
    <cellStyle name="Normal 2 17 10" xfId="2071"/>
    <cellStyle name="Normal 2 17 10 2" xfId="2072"/>
    <cellStyle name="Normal 2 17 10 2 2" xfId="2073"/>
    <cellStyle name="Normal 2 17 10 3" xfId="2074"/>
    <cellStyle name="Normal 2 17 11" xfId="2075"/>
    <cellStyle name="Normal 2 17 11 2" xfId="2076"/>
    <cellStyle name="Normal 2 17 11 2 2" xfId="2077"/>
    <cellStyle name="Normal 2 17 11 3" xfId="2078"/>
    <cellStyle name="Normal 2 17 12" xfId="2079"/>
    <cellStyle name="Normal 2 17 12 2" xfId="2080"/>
    <cellStyle name="Normal 2 17 12 2 2" xfId="2081"/>
    <cellStyle name="Normal 2 17 12 3" xfId="2082"/>
    <cellStyle name="Normal 2 17 13" xfId="2083"/>
    <cellStyle name="Normal 2 17 13 2" xfId="2084"/>
    <cellStyle name="Normal 2 17 13 2 2" xfId="2085"/>
    <cellStyle name="Normal 2 17 13 3" xfId="2086"/>
    <cellStyle name="Normal 2 17 14" xfId="2087"/>
    <cellStyle name="Normal 2 17 14 2" xfId="2088"/>
    <cellStyle name="Normal 2 17 14 2 2" xfId="2089"/>
    <cellStyle name="Normal 2 17 14 3" xfId="2090"/>
    <cellStyle name="Normal 2 17 15" xfId="2091"/>
    <cellStyle name="Normal 2 17 15 2" xfId="2092"/>
    <cellStyle name="Normal 2 17 15 2 2" xfId="2093"/>
    <cellStyle name="Normal 2 17 15 3" xfId="2094"/>
    <cellStyle name="Normal 2 17 16" xfId="2095"/>
    <cellStyle name="Normal 2 17 16 2" xfId="2096"/>
    <cellStyle name="Normal 2 17 16 2 2" xfId="2097"/>
    <cellStyle name="Normal 2 17 16 3" xfId="2098"/>
    <cellStyle name="Normal 2 17 17" xfId="2099"/>
    <cellStyle name="Normal 2 17 17 2" xfId="2100"/>
    <cellStyle name="Normal 2 17 17 2 2" xfId="2101"/>
    <cellStyle name="Normal 2 17 17 3" xfId="2102"/>
    <cellStyle name="Normal 2 17 18" xfId="2103"/>
    <cellStyle name="Normal 2 17 18 2" xfId="2104"/>
    <cellStyle name="Normal 2 17 18 2 2" xfId="2105"/>
    <cellStyle name="Normal 2 17 18 3" xfId="2106"/>
    <cellStyle name="Normal 2 17 19" xfId="2107"/>
    <cellStyle name="Normal 2 17 19 2" xfId="2108"/>
    <cellStyle name="Normal 2 17 19 2 2" xfId="2109"/>
    <cellStyle name="Normal 2 17 19 3" xfId="2110"/>
    <cellStyle name="Normal 2 17 2" xfId="2111"/>
    <cellStyle name="Normal 2 17 2 2" xfId="2112"/>
    <cellStyle name="Normal 2 17 2 2 2" xfId="2113"/>
    <cellStyle name="Normal 2 17 2 3" xfId="2114"/>
    <cellStyle name="Normal 2 17 20" xfId="2115"/>
    <cellStyle name="Normal 2 17 20 2" xfId="2116"/>
    <cellStyle name="Normal 2 17 20 2 2" xfId="2117"/>
    <cellStyle name="Normal 2 17 20 3" xfId="2118"/>
    <cellStyle name="Normal 2 17 21" xfId="2119"/>
    <cellStyle name="Normal 2 17 21 2" xfId="2120"/>
    <cellStyle name="Normal 2 17 21 2 2" xfId="2121"/>
    <cellStyle name="Normal 2 17 21 3" xfId="2122"/>
    <cellStyle name="Normal 2 17 22" xfId="2123"/>
    <cellStyle name="Normal 2 17 22 2" xfId="2124"/>
    <cellStyle name="Normal 2 17 22 2 2" xfId="2125"/>
    <cellStyle name="Normal 2 17 22 3" xfId="2126"/>
    <cellStyle name="Normal 2 17 23" xfId="2127"/>
    <cellStyle name="Normal 2 17 23 2" xfId="2128"/>
    <cellStyle name="Normal 2 17 23 2 2" xfId="2129"/>
    <cellStyle name="Normal 2 17 23 3" xfId="2130"/>
    <cellStyle name="Normal 2 17 24" xfId="2131"/>
    <cellStyle name="Normal 2 17 24 2" xfId="2132"/>
    <cellStyle name="Normal 2 17 25" xfId="2133"/>
    <cellStyle name="Normal 2 17 3" xfId="2134"/>
    <cellStyle name="Normal 2 17 3 2" xfId="2135"/>
    <cellStyle name="Normal 2 17 3 2 2" xfId="2136"/>
    <cellStyle name="Normal 2 17 3 3" xfId="2137"/>
    <cellStyle name="Normal 2 17 4" xfId="2138"/>
    <cellStyle name="Normal 2 17 4 2" xfId="2139"/>
    <cellStyle name="Normal 2 17 4 2 2" xfId="2140"/>
    <cellStyle name="Normal 2 17 4 3" xfId="2141"/>
    <cellStyle name="Normal 2 17 5" xfId="2142"/>
    <cellStyle name="Normal 2 17 5 2" xfId="2143"/>
    <cellStyle name="Normal 2 17 5 2 2" xfId="2144"/>
    <cellStyle name="Normal 2 17 5 3" xfId="2145"/>
    <cellStyle name="Normal 2 17 6" xfId="2146"/>
    <cellStyle name="Normal 2 17 6 2" xfId="2147"/>
    <cellStyle name="Normal 2 17 6 2 2" xfId="2148"/>
    <cellStyle name="Normal 2 17 6 3" xfId="2149"/>
    <cellStyle name="Normal 2 17 7" xfId="2150"/>
    <cellStyle name="Normal 2 17 7 2" xfId="2151"/>
    <cellStyle name="Normal 2 17 7 2 2" xfId="2152"/>
    <cellStyle name="Normal 2 17 7 3" xfId="2153"/>
    <cellStyle name="Normal 2 17 8" xfId="2154"/>
    <cellStyle name="Normal 2 17 8 2" xfId="2155"/>
    <cellStyle name="Normal 2 17 8 2 2" xfId="2156"/>
    <cellStyle name="Normal 2 17 8 3" xfId="2157"/>
    <cellStyle name="Normal 2 17 9" xfId="2158"/>
    <cellStyle name="Normal 2 17 9 2" xfId="2159"/>
    <cellStyle name="Normal 2 17 9 2 2" xfId="2160"/>
    <cellStyle name="Normal 2 17 9 3" xfId="2161"/>
    <cellStyle name="Normal 2 18" xfId="2162"/>
    <cellStyle name="Normal 2 18 10" xfId="2163"/>
    <cellStyle name="Normal 2 18 10 2" xfId="2164"/>
    <cellStyle name="Normal 2 18 10 2 2" xfId="2165"/>
    <cellStyle name="Normal 2 18 10 3" xfId="2166"/>
    <cellStyle name="Normal 2 18 11" xfId="2167"/>
    <cellStyle name="Normal 2 18 11 2" xfId="2168"/>
    <cellStyle name="Normal 2 18 11 2 2" xfId="2169"/>
    <cellStyle name="Normal 2 18 11 3" xfId="2170"/>
    <cellStyle name="Normal 2 18 12" xfId="2171"/>
    <cellStyle name="Normal 2 18 12 2" xfId="2172"/>
    <cellStyle name="Normal 2 18 12 2 2" xfId="2173"/>
    <cellStyle name="Normal 2 18 12 3" xfId="2174"/>
    <cellStyle name="Normal 2 18 13" xfId="2175"/>
    <cellStyle name="Normal 2 18 13 2" xfId="2176"/>
    <cellStyle name="Normal 2 18 13 2 2" xfId="2177"/>
    <cellStyle name="Normal 2 18 13 3" xfId="2178"/>
    <cellStyle name="Normal 2 18 14" xfId="2179"/>
    <cellStyle name="Normal 2 18 14 2" xfId="2180"/>
    <cellStyle name="Normal 2 18 14 2 2" xfId="2181"/>
    <cellStyle name="Normal 2 18 14 3" xfId="2182"/>
    <cellStyle name="Normal 2 18 15" xfId="2183"/>
    <cellStyle name="Normal 2 18 15 2" xfId="2184"/>
    <cellStyle name="Normal 2 18 15 2 2" xfId="2185"/>
    <cellStyle name="Normal 2 18 15 3" xfId="2186"/>
    <cellStyle name="Normal 2 18 16" xfId="2187"/>
    <cellStyle name="Normal 2 18 16 2" xfId="2188"/>
    <cellStyle name="Normal 2 18 16 2 2" xfId="2189"/>
    <cellStyle name="Normal 2 18 16 3" xfId="2190"/>
    <cellStyle name="Normal 2 18 17" xfId="2191"/>
    <cellStyle name="Normal 2 18 17 2" xfId="2192"/>
    <cellStyle name="Normal 2 18 17 2 2" xfId="2193"/>
    <cellStyle name="Normal 2 18 17 3" xfId="2194"/>
    <cellStyle name="Normal 2 18 18" xfId="2195"/>
    <cellStyle name="Normal 2 18 18 2" xfId="2196"/>
    <cellStyle name="Normal 2 18 18 2 2" xfId="2197"/>
    <cellStyle name="Normal 2 18 18 3" xfId="2198"/>
    <cellStyle name="Normal 2 18 19" xfId="2199"/>
    <cellStyle name="Normal 2 18 19 2" xfId="2200"/>
    <cellStyle name="Normal 2 18 19 2 2" xfId="2201"/>
    <cellStyle name="Normal 2 18 19 3" xfId="2202"/>
    <cellStyle name="Normal 2 18 2" xfId="2203"/>
    <cellStyle name="Normal 2 18 2 2" xfId="2204"/>
    <cellStyle name="Normal 2 18 2 2 2" xfId="2205"/>
    <cellStyle name="Normal 2 18 2 3" xfId="2206"/>
    <cellStyle name="Normal 2 18 20" xfId="2207"/>
    <cellStyle name="Normal 2 18 20 2" xfId="2208"/>
    <cellStyle name="Normal 2 18 20 2 2" xfId="2209"/>
    <cellStyle name="Normal 2 18 20 3" xfId="2210"/>
    <cellStyle name="Normal 2 18 21" xfId="2211"/>
    <cellStyle name="Normal 2 18 21 2" xfId="2212"/>
    <cellStyle name="Normal 2 18 21 2 2" xfId="2213"/>
    <cellStyle name="Normal 2 18 21 3" xfId="2214"/>
    <cellStyle name="Normal 2 18 22" xfId="2215"/>
    <cellStyle name="Normal 2 18 22 2" xfId="2216"/>
    <cellStyle name="Normal 2 18 22 2 2" xfId="2217"/>
    <cellStyle name="Normal 2 18 22 3" xfId="2218"/>
    <cellStyle name="Normal 2 18 23" xfId="2219"/>
    <cellStyle name="Normal 2 18 23 2" xfId="2220"/>
    <cellStyle name="Normal 2 18 23 2 2" xfId="2221"/>
    <cellStyle name="Normal 2 18 23 3" xfId="2222"/>
    <cellStyle name="Normal 2 18 24" xfId="2223"/>
    <cellStyle name="Normal 2 18 24 2" xfId="2224"/>
    <cellStyle name="Normal 2 18 25" xfId="2225"/>
    <cellStyle name="Normal 2 18 3" xfId="2226"/>
    <cellStyle name="Normal 2 18 3 2" xfId="2227"/>
    <cellStyle name="Normal 2 18 3 2 2" xfId="2228"/>
    <cellStyle name="Normal 2 18 3 3" xfId="2229"/>
    <cellStyle name="Normal 2 18 4" xfId="2230"/>
    <cellStyle name="Normal 2 18 4 2" xfId="2231"/>
    <cellStyle name="Normal 2 18 4 2 2" xfId="2232"/>
    <cellStyle name="Normal 2 18 4 3" xfId="2233"/>
    <cellStyle name="Normal 2 18 5" xfId="2234"/>
    <cellStyle name="Normal 2 18 5 2" xfId="2235"/>
    <cellStyle name="Normal 2 18 5 2 2" xfId="2236"/>
    <cellStyle name="Normal 2 18 5 3" xfId="2237"/>
    <cellStyle name="Normal 2 18 6" xfId="2238"/>
    <cellStyle name="Normal 2 18 6 2" xfId="2239"/>
    <cellStyle name="Normal 2 18 6 2 2" xfId="2240"/>
    <cellStyle name="Normal 2 18 6 3" xfId="2241"/>
    <cellStyle name="Normal 2 18 7" xfId="2242"/>
    <cellStyle name="Normal 2 18 7 2" xfId="2243"/>
    <cellStyle name="Normal 2 18 7 2 2" xfId="2244"/>
    <cellStyle name="Normal 2 18 7 3" xfId="2245"/>
    <cellStyle name="Normal 2 18 8" xfId="2246"/>
    <cellStyle name="Normal 2 18 8 2" xfId="2247"/>
    <cellStyle name="Normal 2 18 8 2 2" xfId="2248"/>
    <cellStyle name="Normal 2 18 8 3" xfId="2249"/>
    <cellStyle name="Normal 2 18 9" xfId="2250"/>
    <cellStyle name="Normal 2 18 9 2" xfId="2251"/>
    <cellStyle name="Normal 2 18 9 2 2" xfId="2252"/>
    <cellStyle name="Normal 2 18 9 3" xfId="2253"/>
    <cellStyle name="Normal 2 19" xfId="2254"/>
    <cellStyle name="Normal 2 19 10" xfId="2255"/>
    <cellStyle name="Normal 2 19 10 2" xfId="2256"/>
    <cellStyle name="Normal 2 19 10 2 2" xfId="2257"/>
    <cellStyle name="Normal 2 19 10 3" xfId="2258"/>
    <cellStyle name="Normal 2 19 11" xfId="2259"/>
    <cellStyle name="Normal 2 19 11 2" xfId="2260"/>
    <cellStyle name="Normal 2 19 11 2 2" xfId="2261"/>
    <cellStyle name="Normal 2 19 11 3" xfId="2262"/>
    <cellStyle name="Normal 2 19 12" xfId="2263"/>
    <cellStyle name="Normal 2 19 12 2" xfId="2264"/>
    <cellStyle name="Normal 2 19 12 2 2" xfId="2265"/>
    <cellStyle name="Normal 2 19 12 3" xfId="2266"/>
    <cellStyle name="Normal 2 19 13" xfId="2267"/>
    <cellStyle name="Normal 2 19 13 2" xfId="2268"/>
    <cellStyle name="Normal 2 19 13 2 2" xfId="2269"/>
    <cellStyle name="Normal 2 19 13 3" xfId="2270"/>
    <cellStyle name="Normal 2 19 14" xfId="2271"/>
    <cellStyle name="Normal 2 19 14 2" xfId="2272"/>
    <cellStyle name="Normal 2 19 14 2 2" xfId="2273"/>
    <cellStyle name="Normal 2 19 14 3" xfId="2274"/>
    <cellStyle name="Normal 2 19 15" xfId="2275"/>
    <cellStyle name="Normal 2 19 15 2" xfId="2276"/>
    <cellStyle name="Normal 2 19 15 2 2" xfId="2277"/>
    <cellStyle name="Normal 2 19 15 3" xfId="2278"/>
    <cellStyle name="Normal 2 19 16" xfId="2279"/>
    <cellStyle name="Normal 2 19 16 2" xfId="2280"/>
    <cellStyle name="Normal 2 19 16 2 2" xfId="2281"/>
    <cellStyle name="Normal 2 19 16 3" xfId="2282"/>
    <cellStyle name="Normal 2 19 17" xfId="2283"/>
    <cellStyle name="Normal 2 19 17 2" xfId="2284"/>
    <cellStyle name="Normal 2 19 17 2 2" xfId="2285"/>
    <cellStyle name="Normal 2 19 17 3" xfId="2286"/>
    <cellStyle name="Normal 2 19 18" xfId="2287"/>
    <cellStyle name="Normal 2 19 18 2" xfId="2288"/>
    <cellStyle name="Normal 2 19 18 2 2" xfId="2289"/>
    <cellStyle name="Normal 2 19 18 3" xfId="2290"/>
    <cellStyle name="Normal 2 19 19" xfId="2291"/>
    <cellStyle name="Normal 2 19 19 2" xfId="2292"/>
    <cellStyle name="Normal 2 19 19 2 2" xfId="2293"/>
    <cellStyle name="Normal 2 19 19 3" xfId="2294"/>
    <cellStyle name="Normal 2 19 2" xfId="2295"/>
    <cellStyle name="Normal 2 19 2 2" xfId="2296"/>
    <cellStyle name="Normal 2 19 2 2 2" xfId="2297"/>
    <cellStyle name="Normal 2 19 2 3" xfId="2298"/>
    <cellStyle name="Normal 2 19 20" xfId="2299"/>
    <cellStyle name="Normal 2 19 20 2" xfId="2300"/>
    <cellStyle name="Normal 2 19 20 2 2" xfId="2301"/>
    <cellStyle name="Normal 2 19 20 3" xfId="2302"/>
    <cellStyle name="Normal 2 19 21" xfId="2303"/>
    <cellStyle name="Normal 2 19 21 2" xfId="2304"/>
    <cellStyle name="Normal 2 19 21 2 2" xfId="2305"/>
    <cellStyle name="Normal 2 19 21 3" xfId="2306"/>
    <cellStyle name="Normal 2 19 22" xfId="2307"/>
    <cellStyle name="Normal 2 19 22 2" xfId="2308"/>
    <cellStyle name="Normal 2 19 22 2 2" xfId="2309"/>
    <cellStyle name="Normal 2 19 22 3" xfId="2310"/>
    <cellStyle name="Normal 2 19 23" xfId="2311"/>
    <cellStyle name="Normal 2 19 23 2" xfId="2312"/>
    <cellStyle name="Normal 2 19 23 2 2" xfId="2313"/>
    <cellStyle name="Normal 2 19 23 3" xfId="2314"/>
    <cellStyle name="Normal 2 19 24" xfId="2315"/>
    <cellStyle name="Normal 2 19 24 2" xfId="2316"/>
    <cellStyle name="Normal 2 19 25" xfId="2317"/>
    <cellStyle name="Normal 2 19 3" xfId="2318"/>
    <cellStyle name="Normal 2 19 3 2" xfId="2319"/>
    <cellStyle name="Normal 2 19 3 2 2" xfId="2320"/>
    <cellStyle name="Normal 2 19 3 3" xfId="2321"/>
    <cellStyle name="Normal 2 19 4" xfId="2322"/>
    <cellStyle name="Normal 2 19 4 2" xfId="2323"/>
    <cellStyle name="Normal 2 19 4 2 2" xfId="2324"/>
    <cellStyle name="Normal 2 19 4 3" xfId="2325"/>
    <cellStyle name="Normal 2 19 5" xfId="2326"/>
    <cellStyle name="Normal 2 19 5 2" xfId="2327"/>
    <cellStyle name="Normal 2 19 5 2 2" xfId="2328"/>
    <cellStyle name="Normal 2 19 5 3" xfId="2329"/>
    <cellStyle name="Normal 2 19 6" xfId="2330"/>
    <cellStyle name="Normal 2 19 6 2" xfId="2331"/>
    <cellStyle name="Normal 2 19 6 2 2" xfId="2332"/>
    <cellStyle name="Normal 2 19 6 3" xfId="2333"/>
    <cellStyle name="Normal 2 19 7" xfId="2334"/>
    <cellStyle name="Normal 2 19 7 2" xfId="2335"/>
    <cellStyle name="Normal 2 19 7 2 2" xfId="2336"/>
    <cellStyle name="Normal 2 19 7 3" xfId="2337"/>
    <cellStyle name="Normal 2 19 8" xfId="2338"/>
    <cellStyle name="Normal 2 19 8 2" xfId="2339"/>
    <cellStyle name="Normal 2 19 8 2 2" xfId="2340"/>
    <cellStyle name="Normal 2 19 8 3" xfId="2341"/>
    <cellStyle name="Normal 2 19 9" xfId="2342"/>
    <cellStyle name="Normal 2 19 9 2" xfId="2343"/>
    <cellStyle name="Normal 2 19 9 2 2" xfId="2344"/>
    <cellStyle name="Normal 2 19 9 3" xfId="2345"/>
    <cellStyle name="Normal 2 2" xfId="185"/>
    <cellStyle name="Normal 2 2 2" xfId="186"/>
    <cellStyle name="Normal 2 2 2 2" xfId="187"/>
    <cellStyle name="Normal 2 2 2 2 2" xfId="1115"/>
    <cellStyle name="Normal 2 2 2 3" xfId="188"/>
    <cellStyle name="Normal 2 2 2 4" xfId="1116"/>
    <cellStyle name="Normal 2 2 3" xfId="2"/>
    <cellStyle name="Normal 2 2 3 2" xfId="189"/>
    <cellStyle name="Normal 2 2 3 2 2" xfId="1117"/>
    <cellStyle name="Normal 2 2 3 3" xfId="389"/>
    <cellStyle name="Normal 2 2 4" xfId="190"/>
    <cellStyle name="Normal 2 2 4 2" xfId="191"/>
    <cellStyle name="Normal 2 2 5" xfId="192"/>
    <cellStyle name="Normal 2 2 6" xfId="1118"/>
    <cellStyle name="Normal 2 2 7" xfId="2346"/>
    <cellStyle name="Normal 2 2 8" xfId="2347"/>
    <cellStyle name="Normal 2 20" xfId="2348"/>
    <cellStyle name="Normal 2 20 10" xfId="2349"/>
    <cellStyle name="Normal 2 20 10 2" xfId="2350"/>
    <cellStyle name="Normal 2 20 10 2 2" xfId="2351"/>
    <cellStyle name="Normal 2 20 10 3" xfId="2352"/>
    <cellStyle name="Normal 2 20 11" xfId="2353"/>
    <cellStyle name="Normal 2 20 11 2" xfId="2354"/>
    <cellStyle name="Normal 2 20 11 2 2" xfId="2355"/>
    <cellStyle name="Normal 2 20 11 3" xfId="2356"/>
    <cellStyle name="Normal 2 20 12" xfId="2357"/>
    <cellStyle name="Normal 2 20 12 2" xfId="2358"/>
    <cellStyle name="Normal 2 20 12 2 2" xfId="2359"/>
    <cellStyle name="Normal 2 20 12 3" xfId="2360"/>
    <cellStyle name="Normal 2 20 13" xfId="2361"/>
    <cellStyle name="Normal 2 20 13 2" xfId="2362"/>
    <cellStyle name="Normal 2 20 13 2 2" xfId="2363"/>
    <cellStyle name="Normal 2 20 13 3" xfId="2364"/>
    <cellStyle name="Normal 2 20 14" xfId="2365"/>
    <cellStyle name="Normal 2 20 14 2" xfId="2366"/>
    <cellStyle name="Normal 2 20 14 2 2" xfId="2367"/>
    <cellStyle name="Normal 2 20 14 3" xfId="2368"/>
    <cellStyle name="Normal 2 20 15" xfId="2369"/>
    <cellStyle name="Normal 2 20 15 2" xfId="2370"/>
    <cellStyle name="Normal 2 20 15 2 2" xfId="2371"/>
    <cellStyle name="Normal 2 20 15 3" xfId="2372"/>
    <cellStyle name="Normal 2 20 16" xfId="2373"/>
    <cellStyle name="Normal 2 20 16 2" xfId="2374"/>
    <cellStyle name="Normal 2 20 16 2 2" xfId="2375"/>
    <cellStyle name="Normal 2 20 16 3" xfId="2376"/>
    <cellStyle name="Normal 2 20 17" xfId="2377"/>
    <cellStyle name="Normal 2 20 17 2" xfId="2378"/>
    <cellStyle name="Normal 2 20 17 2 2" xfId="2379"/>
    <cellStyle name="Normal 2 20 17 3" xfId="2380"/>
    <cellStyle name="Normal 2 20 18" xfId="2381"/>
    <cellStyle name="Normal 2 20 18 2" xfId="2382"/>
    <cellStyle name="Normal 2 20 18 2 2" xfId="2383"/>
    <cellStyle name="Normal 2 20 18 3" xfId="2384"/>
    <cellStyle name="Normal 2 20 19" xfId="2385"/>
    <cellStyle name="Normal 2 20 19 2" xfId="2386"/>
    <cellStyle name="Normal 2 20 19 2 2" xfId="2387"/>
    <cellStyle name="Normal 2 20 19 3" xfId="2388"/>
    <cellStyle name="Normal 2 20 2" xfId="2389"/>
    <cellStyle name="Normal 2 20 2 2" xfId="2390"/>
    <cellStyle name="Normal 2 20 2 2 2" xfId="2391"/>
    <cellStyle name="Normal 2 20 2 3" xfId="2392"/>
    <cellStyle name="Normal 2 20 20" xfId="2393"/>
    <cellStyle name="Normal 2 20 20 2" xfId="2394"/>
    <cellStyle name="Normal 2 20 20 2 2" xfId="2395"/>
    <cellStyle name="Normal 2 20 20 3" xfId="2396"/>
    <cellStyle name="Normal 2 20 21" xfId="2397"/>
    <cellStyle name="Normal 2 20 21 2" xfId="2398"/>
    <cellStyle name="Normal 2 20 21 2 2" xfId="2399"/>
    <cellStyle name="Normal 2 20 21 3" xfId="2400"/>
    <cellStyle name="Normal 2 20 22" xfId="2401"/>
    <cellStyle name="Normal 2 20 22 2" xfId="2402"/>
    <cellStyle name="Normal 2 20 22 2 2" xfId="2403"/>
    <cellStyle name="Normal 2 20 22 3" xfId="2404"/>
    <cellStyle name="Normal 2 20 23" xfId="2405"/>
    <cellStyle name="Normal 2 20 23 2" xfId="2406"/>
    <cellStyle name="Normal 2 20 23 2 2" xfId="2407"/>
    <cellStyle name="Normal 2 20 23 3" xfId="2408"/>
    <cellStyle name="Normal 2 20 24" xfId="2409"/>
    <cellStyle name="Normal 2 20 24 2" xfId="2410"/>
    <cellStyle name="Normal 2 20 25" xfId="2411"/>
    <cellStyle name="Normal 2 20 3" xfId="2412"/>
    <cellStyle name="Normal 2 20 3 2" xfId="2413"/>
    <cellStyle name="Normal 2 20 3 2 2" xfId="2414"/>
    <cellStyle name="Normal 2 20 3 3" xfId="2415"/>
    <cellStyle name="Normal 2 20 4" xfId="2416"/>
    <cellStyle name="Normal 2 20 4 2" xfId="2417"/>
    <cellStyle name="Normal 2 20 4 2 2" xfId="2418"/>
    <cellStyle name="Normal 2 20 4 3" xfId="2419"/>
    <cellStyle name="Normal 2 20 5" xfId="2420"/>
    <cellStyle name="Normal 2 20 5 2" xfId="2421"/>
    <cellStyle name="Normal 2 20 5 2 2" xfId="2422"/>
    <cellStyle name="Normal 2 20 5 3" xfId="2423"/>
    <cellStyle name="Normal 2 20 6" xfId="2424"/>
    <cellStyle name="Normal 2 20 6 2" xfId="2425"/>
    <cellStyle name="Normal 2 20 6 2 2" xfId="2426"/>
    <cellStyle name="Normal 2 20 6 3" xfId="2427"/>
    <cellStyle name="Normal 2 20 7" xfId="2428"/>
    <cellStyle name="Normal 2 20 7 2" xfId="2429"/>
    <cellStyle name="Normal 2 20 7 2 2" xfId="2430"/>
    <cellStyle name="Normal 2 20 7 3" xfId="2431"/>
    <cellStyle name="Normal 2 20 8" xfId="2432"/>
    <cellStyle name="Normal 2 20 8 2" xfId="2433"/>
    <cellStyle name="Normal 2 20 8 2 2" xfId="2434"/>
    <cellStyle name="Normal 2 20 8 3" xfId="2435"/>
    <cellStyle name="Normal 2 20 9" xfId="2436"/>
    <cellStyle name="Normal 2 20 9 2" xfId="2437"/>
    <cellStyle name="Normal 2 20 9 2 2" xfId="2438"/>
    <cellStyle name="Normal 2 20 9 3" xfId="2439"/>
    <cellStyle name="Normal 2 21" xfId="2440"/>
    <cellStyle name="Normal 2 21 10" xfId="2441"/>
    <cellStyle name="Normal 2 21 10 2" xfId="2442"/>
    <cellStyle name="Normal 2 21 10 2 2" xfId="2443"/>
    <cellStyle name="Normal 2 21 10 3" xfId="2444"/>
    <cellStyle name="Normal 2 21 11" xfId="2445"/>
    <cellStyle name="Normal 2 21 11 2" xfId="2446"/>
    <cellStyle name="Normal 2 21 11 2 2" xfId="2447"/>
    <cellStyle name="Normal 2 21 11 3" xfId="2448"/>
    <cellStyle name="Normal 2 21 12" xfId="2449"/>
    <cellStyle name="Normal 2 21 12 2" xfId="2450"/>
    <cellStyle name="Normal 2 21 12 2 2" xfId="2451"/>
    <cellStyle name="Normal 2 21 12 3" xfId="2452"/>
    <cellStyle name="Normal 2 21 13" xfId="2453"/>
    <cellStyle name="Normal 2 21 13 2" xfId="2454"/>
    <cellStyle name="Normal 2 21 13 2 2" xfId="2455"/>
    <cellStyle name="Normal 2 21 13 3" xfId="2456"/>
    <cellStyle name="Normal 2 21 14" xfId="2457"/>
    <cellStyle name="Normal 2 21 14 2" xfId="2458"/>
    <cellStyle name="Normal 2 21 14 2 2" xfId="2459"/>
    <cellStyle name="Normal 2 21 14 3" xfId="2460"/>
    <cellStyle name="Normal 2 21 15" xfId="2461"/>
    <cellStyle name="Normal 2 21 15 2" xfId="2462"/>
    <cellStyle name="Normal 2 21 15 2 2" xfId="2463"/>
    <cellStyle name="Normal 2 21 15 3" xfId="2464"/>
    <cellStyle name="Normal 2 21 16" xfId="2465"/>
    <cellStyle name="Normal 2 21 16 2" xfId="2466"/>
    <cellStyle name="Normal 2 21 16 2 2" xfId="2467"/>
    <cellStyle name="Normal 2 21 16 3" xfId="2468"/>
    <cellStyle name="Normal 2 21 17" xfId="2469"/>
    <cellStyle name="Normal 2 21 17 2" xfId="2470"/>
    <cellStyle name="Normal 2 21 17 2 2" xfId="2471"/>
    <cellStyle name="Normal 2 21 17 3" xfId="2472"/>
    <cellStyle name="Normal 2 21 18" xfId="2473"/>
    <cellStyle name="Normal 2 21 18 2" xfId="2474"/>
    <cellStyle name="Normal 2 21 18 2 2" xfId="2475"/>
    <cellStyle name="Normal 2 21 18 3" xfId="2476"/>
    <cellStyle name="Normal 2 21 19" xfId="2477"/>
    <cellStyle name="Normal 2 21 19 2" xfId="2478"/>
    <cellStyle name="Normal 2 21 19 2 2" xfId="2479"/>
    <cellStyle name="Normal 2 21 19 3" xfId="2480"/>
    <cellStyle name="Normal 2 21 2" xfId="2481"/>
    <cellStyle name="Normal 2 21 2 2" xfId="2482"/>
    <cellStyle name="Normal 2 21 2 2 2" xfId="2483"/>
    <cellStyle name="Normal 2 21 2 3" xfId="2484"/>
    <cellStyle name="Normal 2 21 20" xfId="2485"/>
    <cellStyle name="Normal 2 21 20 2" xfId="2486"/>
    <cellStyle name="Normal 2 21 20 2 2" xfId="2487"/>
    <cellStyle name="Normal 2 21 20 3" xfId="2488"/>
    <cellStyle name="Normal 2 21 21" xfId="2489"/>
    <cellStyle name="Normal 2 21 21 2" xfId="2490"/>
    <cellStyle name="Normal 2 21 21 2 2" xfId="2491"/>
    <cellStyle name="Normal 2 21 21 3" xfId="2492"/>
    <cellStyle name="Normal 2 21 22" xfId="2493"/>
    <cellStyle name="Normal 2 21 22 2" xfId="2494"/>
    <cellStyle name="Normal 2 21 22 2 2" xfId="2495"/>
    <cellStyle name="Normal 2 21 22 3" xfId="2496"/>
    <cellStyle name="Normal 2 21 23" xfId="2497"/>
    <cellStyle name="Normal 2 21 23 2" xfId="2498"/>
    <cellStyle name="Normal 2 21 23 2 2" xfId="2499"/>
    <cellStyle name="Normal 2 21 23 3" xfId="2500"/>
    <cellStyle name="Normal 2 21 24" xfId="2501"/>
    <cellStyle name="Normal 2 21 24 2" xfId="2502"/>
    <cellStyle name="Normal 2 21 25" xfId="2503"/>
    <cellStyle name="Normal 2 21 3" xfId="2504"/>
    <cellStyle name="Normal 2 21 3 2" xfId="2505"/>
    <cellStyle name="Normal 2 21 3 2 2" xfId="2506"/>
    <cellStyle name="Normal 2 21 3 3" xfId="2507"/>
    <cellStyle name="Normal 2 21 4" xfId="2508"/>
    <cellStyle name="Normal 2 21 4 2" xfId="2509"/>
    <cellStyle name="Normal 2 21 4 2 2" xfId="2510"/>
    <cellStyle name="Normal 2 21 4 3" xfId="2511"/>
    <cellStyle name="Normal 2 21 5" xfId="2512"/>
    <cellStyle name="Normal 2 21 5 2" xfId="2513"/>
    <cellStyle name="Normal 2 21 5 2 2" xfId="2514"/>
    <cellStyle name="Normal 2 21 5 3" xfId="2515"/>
    <cellStyle name="Normal 2 21 6" xfId="2516"/>
    <cellStyle name="Normal 2 21 6 2" xfId="2517"/>
    <cellStyle name="Normal 2 21 6 2 2" xfId="2518"/>
    <cellStyle name="Normal 2 21 6 3" xfId="2519"/>
    <cellStyle name="Normal 2 21 7" xfId="2520"/>
    <cellStyle name="Normal 2 21 7 2" xfId="2521"/>
    <cellStyle name="Normal 2 21 7 2 2" xfId="2522"/>
    <cellStyle name="Normal 2 21 7 3" xfId="2523"/>
    <cellStyle name="Normal 2 21 8" xfId="2524"/>
    <cellStyle name="Normal 2 21 8 2" xfId="2525"/>
    <cellStyle name="Normal 2 21 8 2 2" xfId="2526"/>
    <cellStyle name="Normal 2 21 8 3" xfId="2527"/>
    <cellStyle name="Normal 2 21 9" xfId="2528"/>
    <cellStyle name="Normal 2 21 9 2" xfId="2529"/>
    <cellStyle name="Normal 2 21 9 2 2" xfId="2530"/>
    <cellStyle name="Normal 2 21 9 3" xfId="2531"/>
    <cellStyle name="Normal 2 22" xfId="2532"/>
    <cellStyle name="Normal 2 22 10" xfId="2533"/>
    <cellStyle name="Normal 2 22 10 2" xfId="2534"/>
    <cellStyle name="Normal 2 22 10 2 2" xfId="2535"/>
    <cellStyle name="Normal 2 22 10 3" xfId="2536"/>
    <cellStyle name="Normal 2 22 11" xfId="2537"/>
    <cellStyle name="Normal 2 22 11 2" xfId="2538"/>
    <cellStyle name="Normal 2 22 11 2 2" xfId="2539"/>
    <cellStyle name="Normal 2 22 11 3" xfId="2540"/>
    <cellStyle name="Normal 2 22 12" xfId="2541"/>
    <cellStyle name="Normal 2 22 12 2" xfId="2542"/>
    <cellStyle name="Normal 2 22 12 2 2" xfId="2543"/>
    <cellStyle name="Normal 2 22 12 3" xfId="2544"/>
    <cellStyle name="Normal 2 22 13" xfId="2545"/>
    <cellStyle name="Normal 2 22 13 2" xfId="2546"/>
    <cellStyle name="Normal 2 22 13 2 2" xfId="2547"/>
    <cellStyle name="Normal 2 22 13 3" xfId="2548"/>
    <cellStyle name="Normal 2 22 14" xfId="2549"/>
    <cellStyle name="Normal 2 22 14 2" xfId="2550"/>
    <cellStyle name="Normal 2 22 14 2 2" xfId="2551"/>
    <cellStyle name="Normal 2 22 14 3" xfId="2552"/>
    <cellStyle name="Normal 2 22 15" xfId="2553"/>
    <cellStyle name="Normal 2 22 15 2" xfId="2554"/>
    <cellStyle name="Normal 2 22 15 2 2" xfId="2555"/>
    <cellStyle name="Normal 2 22 15 3" xfId="2556"/>
    <cellStyle name="Normal 2 22 16" xfId="2557"/>
    <cellStyle name="Normal 2 22 16 2" xfId="2558"/>
    <cellStyle name="Normal 2 22 16 2 2" xfId="2559"/>
    <cellStyle name="Normal 2 22 16 3" xfId="2560"/>
    <cellStyle name="Normal 2 22 17" xfId="2561"/>
    <cellStyle name="Normal 2 22 17 2" xfId="2562"/>
    <cellStyle name="Normal 2 22 17 2 2" xfId="2563"/>
    <cellStyle name="Normal 2 22 17 3" xfId="2564"/>
    <cellStyle name="Normal 2 22 18" xfId="2565"/>
    <cellStyle name="Normal 2 22 18 2" xfId="2566"/>
    <cellStyle name="Normal 2 22 18 2 2" xfId="2567"/>
    <cellStyle name="Normal 2 22 18 3" xfId="2568"/>
    <cellStyle name="Normal 2 22 19" xfId="2569"/>
    <cellStyle name="Normal 2 22 19 2" xfId="2570"/>
    <cellStyle name="Normal 2 22 19 2 2" xfId="2571"/>
    <cellStyle name="Normal 2 22 19 3" xfId="2572"/>
    <cellStyle name="Normal 2 22 2" xfId="2573"/>
    <cellStyle name="Normal 2 22 2 2" xfId="2574"/>
    <cellStyle name="Normal 2 22 2 2 2" xfId="2575"/>
    <cellStyle name="Normal 2 22 2 3" xfId="2576"/>
    <cellStyle name="Normal 2 22 20" xfId="2577"/>
    <cellStyle name="Normal 2 22 20 2" xfId="2578"/>
    <cellStyle name="Normal 2 22 20 2 2" xfId="2579"/>
    <cellStyle name="Normal 2 22 20 3" xfId="2580"/>
    <cellStyle name="Normal 2 22 21" xfId="2581"/>
    <cellStyle name="Normal 2 22 21 2" xfId="2582"/>
    <cellStyle name="Normal 2 22 21 2 2" xfId="2583"/>
    <cellStyle name="Normal 2 22 21 3" xfId="2584"/>
    <cellStyle name="Normal 2 22 22" xfId="2585"/>
    <cellStyle name="Normal 2 22 22 2" xfId="2586"/>
    <cellStyle name="Normal 2 22 22 2 2" xfId="2587"/>
    <cellStyle name="Normal 2 22 22 3" xfId="2588"/>
    <cellStyle name="Normal 2 22 23" xfId="2589"/>
    <cellStyle name="Normal 2 22 23 2" xfId="2590"/>
    <cellStyle name="Normal 2 22 23 2 2" xfId="2591"/>
    <cellStyle name="Normal 2 22 23 3" xfId="2592"/>
    <cellStyle name="Normal 2 22 24" xfId="2593"/>
    <cellStyle name="Normal 2 22 24 2" xfId="2594"/>
    <cellStyle name="Normal 2 22 25" xfId="2595"/>
    <cellStyle name="Normal 2 22 3" xfId="2596"/>
    <cellStyle name="Normal 2 22 3 2" xfId="2597"/>
    <cellStyle name="Normal 2 22 3 2 2" xfId="2598"/>
    <cellStyle name="Normal 2 22 3 3" xfId="2599"/>
    <cellStyle name="Normal 2 22 4" xfId="2600"/>
    <cellStyle name="Normal 2 22 4 2" xfId="2601"/>
    <cellStyle name="Normal 2 22 4 2 2" xfId="2602"/>
    <cellStyle name="Normal 2 22 4 3" xfId="2603"/>
    <cellStyle name="Normal 2 22 5" xfId="2604"/>
    <cellStyle name="Normal 2 22 5 2" xfId="2605"/>
    <cellStyle name="Normal 2 22 5 2 2" xfId="2606"/>
    <cellStyle name="Normal 2 22 5 3" xfId="2607"/>
    <cellStyle name="Normal 2 22 6" xfId="2608"/>
    <cellStyle name="Normal 2 22 6 2" xfId="2609"/>
    <cellStyle name="Normal 2 22 6 2 2" xfId="2610"/>
    <cellStyle name="Normal 2 22 6 3" xfId="2611"/>
    <cellStyle name="Normal 2 22 7" xfId="2612"/>
    <cellStyle name="Normal 2 22 7 2" xfId="2613"/>
    <cellStyle name="Normal 2 22 7 2 2" xfId="2614"/>
    <cellStyle name="Normal 2 22 7 3" xfId="2615"/>
    <cellStyle name="Normal 2 22 8" xfId="2616"/>
    <cellStyle name="Normal 2 22 8 2" xfId="2617"/>
    <cellStyle name="Normal 2 22 8 2 2" xfId="2618"/>
    <cellStyle name="Normal 2 22 8 3" xfId="2619"/>
    <cellStyle name="Normal 2 22 9" xfId="2620"/>
    <cellStyle name="Normal 2 22 9 2" xfId="2621"/>
    <cellStyle name="Normal 2 22 9 2 2" xfId="2622"/>
    <cellStyle name="Normal 2 22 9 3" xfId="2623"/>
    <cellStyle name="Normal 2 23" xfId="2624"/>
    <cellStyle name="Normal 2 23 10" xfId="2625"/>
    <cellStyle name="Normal 2 23 10 2" xfId="2626"/>
    <cellStyle name="Normal 2 23 10 2 2" xfId="2627"/>
    <cellStyle name="Normal 2 23 10 3" xfId="2628"/>
    <cellStyle name="Normal 2 23 11" xfId="2629"/>
    <cellStyle name="Normal 2 23 11 2" xfId="2630"/>
    <cellStyle name="Normal 2 23 11 2 2" xfId="2631"/>
    <cellStyle name="Normal 2 23 11 3" xfId="2632"/>
    <cellStyle name="Normal 2 23 12" xfId="2633"/>
    <cellStyle name="Normal 2 23 12 2" xfId="2634"/>
    <cellStyle name="Normal 2 23 12 2 2" xfId="2635"/>
    <cellStyle name="Normal 2 23 12 3" xfId="2636"/>
    <cellStyle name="Normal 2 23 13" xfId="2637"/>
    <cellStyle name="Normal 2 23 13 2" xfId="2638"/>
    <cellStyle name="Normal 2 23 13 2 2" xfId="2639"/>
    <cellStyle name="Normal 2 23 13 3" xfId="2640"/>
    <cellStyle name="Normal 2 23 14" xfId="2641"/>
    <cellStyle name="Normal 2 23 14 2" xfId="2642"/>
    <cellStyle name="Normal 2 23 14 2 2" xfId="2643"/>
    <cellStyle name="Normal 2 23 14 3" xfId="2644"/>
    <cellStyle name="Normal 2 23 15" xfId="2645"/>
    <cellStyle name="Normal 2 23 15 2" xfId="2646"/>
    <cellStyle name="Normal 2 23 15 2 2" xfId="2647"/>
    <cellStyle name="Normal 2 23 15 3" xfId="2648"/>
    <cellStyle name="Normal 2 23 16" xfId="2649"/>
    <cellStyle name="Normal 2 23 16 2" xfId="2650"/>
    <cellStyle name="Normal 2 23 16 2 2" xfId="2651"/>
    <cellStyle name="Normal 2 23 16 3" xfId="2652"/>
    <cellStyle name="Normal 2 23 17" xfId="2653"/>
    <cellStyle name="Normal 2 23 17 2" xfId="2654"/>
    <cellStyle name="Normal 2 23 17 2 2" xfId="2655"/>
    <cellStyle name="Normal 2 23 17 3" xfId="2656"/>
    <cellStyle name="Normal 2 23 18" xfId="2657"/>
    <cellStyle name="Normal 2 23 18 2" xfId="2658"/>
    <cellStyle name="Normal 2 23 18 2 2" xfId="2659"/>
    <cellStyle name="Normal 2 23 18 3" xfId="2660"/>
    <cellStyle name="Normal 2 23 19" xfId="2661"/>
    <cellStyle name="Normal 2 23 19 2" xfId="2662"/>
    <cellStyle name="Normal 2 23 19 2 2" xfId="2663"/>
    <cellStyle name="Normal 2 23 19 3" xfId="2664"/>
    <cellStyle name="Normal 2 23 2" xfId="2665"/>
    <cellStyle name="Normal 2 23 2 2" xfId="2666"/>
    <cellStyle name="Normal 2 23 2 2 2" xfId="2667"/>
    <cellStyle name="Normal 2 23 2 3" xfId="2668"/>
    <cellStyle name="Normal 2 23 20" xfId="2669"/>
    <cellStyle name="Normal 2 23 20 2" xfId="2670"/>
    <cellStyle name="Normal 2 23 20 2 2" xfId="2671"/>
    <cellStyle name="Normal 2 23 20 3" xfId="2672"/>
    <cellStyle name="Normal 2 23 21" xfId="2673"/>
    <cellStyle name="Normal 2 23 21 2" xfId="2674"/>
    <cellStyle name="Normal 2 23 21 2 2" xfId="2675"/>
    <cellStyle name="Normal 2 23 21 3" xfId="2676"/>
    <cellStyle name="Normal 2 23 22" xfId="2677"/>
    <cellStyle name="Normal 2 23 22 2" xfId="2678"/>
    <cellStyle name="Normal 2 23 22 2 2" xfId="2679"/>
    <cellStyle name="Normal 2 23 22 3" xfId="2680"/>
    <cellStyle name="Normal 2 23 23" xfId="2681"/>
    <cellStyle name="Normal 2 23 23 2" xfId="2682"/>
    <cellStyle name="Normal 2 23 23 2 2" xfId="2683"/>
    <cellStyle name="Normal 2 23 23 3" xfId="2684"/>
    <cellStyle name="Normal 2 23 24" xfId="2685"/>
    <cellStyle name="Normal 2 23 24 2" xfId="2686"/>
    <cellStyle name="Normal 2 23 25" xfId="2687"/>
    <cellStyle name="Normal 2 23 3" xfId="2688"/>
    <cellStyle name="Normal 2 23 3 2" xfId="2689"/>
    <cellStyle name="Normal 2 23 3 2 2" xfId="2690"/>
    <cellStyle name="Normal 2 23 3 3" xfId="2691"/>
    <cellStyle name="Normal 2 23 4" xfId="2692"/>
    <cellStyle name="Normal 2 23 4 2" xfId="2693"/>
    <cellStyle name="Normal 2 23 4 2 2" xfId="2694"/>
    <cellStyle name="Normal 2 23 4 3" xfId="2695"/>
    <cellStyle name="Normal 2 23 5" xfId="2696"/>
    <cellStyle name="Normal 2 23 5 2" xfId="2697"/>
    <cellStyle name="Normal 2 23 5 2 2" xfId="2698"/>
    <cellStyle name="Normal 2 23 5 3" xfId="2699"/>
    <cellStyle name="Normal 2 23 6" xfId="2700"/>
    <cellStyle name="Normal 2 23 6 2" xfId="2701"/>
    <cellStyle name="Normal 2 23 6 2 2" xfId="2702"/>
    <cellStyle name="Normal 2 23 6 3" xfId="2703"/>
    <cellStyle name="Normal 2 23 7" xfId="2704"/>
    <cellStyle name="Normal 2 23 7 2" xfId="2705"/>
    <cellStyle name="Normal 2 23 7 2 2" xfId="2706"/>
    <cellStyle name="Normal 2 23 7 3" xfId="2707"/>
    <cellStyle name="Normal 2 23 8" xfId="2708"/>
    <cellStyle name="Normal 2 23 8 2" xfId="2709"/>
    <cellStyle name="Normal 2 23 8 2 2" xfId="2710"/>
    <cellStyle name="Normal 2 23 8 3" xfId="2711"/>
    <cellStyle name="Normal 2 23 9" xfId="2712"/>
    <cellStyle name="Normal 2 23 9 2" xfId="2713"/>
    <cellStyle name="Normal 2 23 9 2 2" xfId="2714"/>
    <cellStyle name="Normal 2 23 9 3" xfId="2715"/>
    <cellStyle name="Normal 2 24" xfId="2716"/>
    <cellStyle name="Normal 2 24 10" xfId="2717"/>
    <cellStyle name="Normal 2 24 10 2" xfId="2718"/>
    <cellStyle name="Normal 2 24 10 2 2" xfId="2719"/>
    <cellStyle name="Normal 2 24 10 3" xfId="2720"/>
    <cellStyle name="Normal 2 24 11" xfId="2721"/>
    <cellStyle name="Normal 2 24 11 2" xfId="2722"/>
    <cellStyle name="Normal 2 24 11 2 2" xfId="2723"/>
    <cellStyle name="Normal 2 24 11 3" xfId="2724"/>
    <cellStyle name="Normal 2 24 12" xfId="2725"/>
    <cellStyle name="Normal 2 24 12 2" xfId="2726"/>
    <cellStyle name="Normal 2 24 12 2 2" xfId="2727"/>
    <cellStyle name="Normal 2 24 12 3" xfId="2728"/>
    <cellStyle name="Normal 2 24 13" xfId="2729"/>
    <cellStyle name="Normal 2 24 13 2" xfId="2730"/>
    <cellStyle name="Normal 2 24 13 2 2" xfId="2731"/>
    <cellStyle name="Normal 2 24 13 3" xfId="2732"/>
    <cellStyle name="Normal 2 24 14" xfId="2733"/>
    <cellStyle name="Normal 2 24 14 2" xfId="2734"/>
    <cellStyle name="Normal 2 24 14 2 2" xfId="2735"/>
    <cellStyle name="Normal 2 24 14 3" xfId="2736"/>
    <cellStyle name="Normal 2 24 15" xfId="2737"/>
    <cellStyle name="Normal 2 24 15 2" xfId="2738"/>
    <cellStyle name="Normal 2 24 15 2 2" xfId="2739"/>
    <cellStyle name="Normal 2 24 15 3" xfId="2740"/>
    <cellStyle name="Normal 2 24 16" xfId="2741"/>
    <cellStyle name="Normal 2 24 16 2" xfId="2742"/>
    <cellStyle name="Normal 2 24 16 2 2" xfId="2743"/>
    <cellStyle name="Normal 2 24 16 3" xfId="2744"/>
    <cellStyle name="Normal 2 24 17" xfId="2745"/>
    <cellStyle name="Normal 2 24 17 2" xfId="2746"/>
    <cellStyle name="Normal 2 24 17 2 2" xfId="2747"/>
    <cellStyle name="Normal 2 24 17 3" xfId="2748"/>
    <cellStyle name="Normal 2 24 18" xfId="2749"/>
    <cellStyle name="Normal 2 24 18 2" xfId="2750"/>
    <cellStyle name="Normal 2 24 18 2 2" xfId="2751"/>
    <cellStyle name="Normal 2 24 18 3" xfId="2752"/>
    <cellStyle name="Normal 2 24 19" xfId="2753"/>
    <cellStyle name="Normal 2 24 19 2" xfId="2754"/>
    <cellStyle name="Normal 2 24 19 2 2" xfId="2755"/>
    <cellStyle name="Normal 2 24 19 3" xfId="2756"/>
    <cellStyle name="Normal 2 24 2" xfId="2757"/>
    <cellStyle name="Normal 2 24 2 2" xfId="2758"/>
    <cellStyle name="Normal 2 24 2 2 2" xfId="2759"/>
    <cellStyle name="Normal 2 24 2 3" xfId="2760"/>
    <cellStyle name="Normal 2 24 20" xfId="2761"/>
    <cellStyle name="Normal 2 24 20 2" xfId="2762"/>
    <cellStyle name="Normal 2 24 20 2 2" xfId="2763"/>
    <cellStyle name="Normal 2 24 20 3" xfId="2764"/>
    <cellStyle name="Normal 2 24 21" xfId="2765"/>
    <cellStyle name="Normal 2 24 21 2" xfId="2766"/>
    <cellStyle name="Normal 2 24 21 2 2" xfId="2767"/>
    <cellStyle name="Normal 2 24 21 3" xfId="2768"/>
    <cellStyle name="Normal 2 24 22" xfId="2769"/>
    <cellStyle name="Normal 2 24 22 2" xfId="2770"/>
    <cellStyle name="Normal 2 24 22 2 2" xfId="2771"/>
    <cellStyle name="Normal 2 24 22 3" xfId="2772"/>
    <cellStyle name="Normal 2 24 23" xfId="2773"/>
    <cellStyle name="Normal 2 24 23 2" xfId="2774"/>
    <cellStyle name="Normal 2 24 23 2 2" xfId="2775"/>
    <cellStyle name="Normal 2 24 23 3" xfId="2776"/>
    <cellStyle name="Normal 2 24 24" xfId="2777"/>
    <cellStyle name="Normal 2 24 24 2" xfId="2778"/>
    <cellStyle name="Normal 2 24 25" xfId="2779"/>
    <cellStyle name="Normal 2 24 3" xfId="2780"/>
    <cellStyle name="Normal 2 24 3 2" xfId="2781"/>
    <cellStyle name="Normal 2 24 3 2 2" xfId="2782"/>
    <cellStyle name="Normal 2 24 3 3" xfId="2783"/>
    <cellStyle name="Normal 2 24 4" xfId="2784"/>
    <cellStyle name="Normal 2 24 4 2" xfId="2785"/>
    <cellStyle name="Normal 2 24 4 2 2" xfId="2786"/>
    <cellStyle name="Normal 2 24 4 3" xfId="2787"/>
    <cellStyle name="Normal 2 24 5" xfId="2788"/>
    <cellStyle name="Normal 2 24 5 2" xfId="2789"/>
    <cellStyle name="Normal 2 24 5 2 2" xfId="2790"/>
    <cellStyle name="Normal 2 24 5 3" xfId="2791"/>
    <cellStyle name="Normal 2 24 6" xfId="2792"/>
    <cellStyle name="Normal 2 24 6 2" xfId="2793"/>
    <cellStyle name="Normal 2 24 6 2 2" xfId="2794"/>
    <cellStyle name="Normal 2 24 6 3" xfId="2795"/>
    <cellStyle name="Normal 2 24 7" xfId="2796"/>
    <cellStyle name="Normal 2 24 7 2" xfId="2797"/>
    <cellStyle name="Normal 2 24 7 2 2" xfId="2798"/>
    <cellStyle name="Normal 2 24 7 3" xfId="2799"/>
    <cellStyle name="Normal 2 24 8" xfId="2800"/>
    <cellStyle name="Normal 2 24 8 2" xfId="2801"/>
    <cellStyle name="Normal 2 24 8 2 2" xfId="2802"/>
    <cellStyle name="Normal 2 24 8 3" xfId="2803"/>
    <cellStyle name="Normal 2 24 9" xfId="2804"/>
    <cellStyle name="Normal 2 24 9 2" xfId="2805"/>
    <cellStyle name="Normal 2 24 9 2 2" xfId="2806"/>
    <cellStyle name="Normal 2 24 9 3" xfId="2807"/>
    <cellStyle name="Normal 2 25" xfId="2808"/>
    <cellStyle name="Normal 2 25 10" xfId="2809"/>
    <cellStyle name="Normal 2 25 10 2" xfId="2810"/>
    <cellStyle name="Normal 2 25 10 2 2" xfId="2811"/>
    <cellStyle name="Normal 2 25 10 3" xfId="2812"/>
    <cellStyle name="Normal 2 25 11" xfId="2813"/>
    <cellStyle name="Normal 2 25 11 2" xfId="2814"/>
    <cellStyle name="Normal 2 25 11 2 2" xfId="2815"/>
    <cellStyle name="Normal 2 25 11 3" xfId="2816"/>
    <cellStyle name="Normal 2 25 12" xfId="2817"/>
    <cellStyle name="Normal 2 25 12 2" xfId="2818"/>
    <cellStyle name="Normal 2 25 12 2 2" xfId="2819"/>
    <cellStyle name="Normal 2 25 12 3" xfId="2820"/>
    <cellStyle name="Normal 2 25 13" xfId="2821"/>
    <cellStyle name="Normal 2 25 13 2" xfId="2822"/>
    <cellStyle name="Normal 2 25 13 2 2" xfId="2823"/>
    <cellStyle name="Normal 2 25 13 3" xfId="2824"/>
    <cellStyle name="Normal 2 25 14" xfId="2825"/>
    <cellStyle name="Normal 2 25 14 2" xfId="2826"/>
    <cellStyle name="Normal 2 25 14 2 2" xfId="2827"/>
    <cellStyle name="Normal 2 25 14 3" xfId="2828"/>
    <cellStyle name="Normal 2 25 15" xfId="2829"/>
    <cellStyle name="Normal 2 25 15 2" xfId="2830"/>
    <cellStyle name="Normal 2 25 15 2 2" xfId="2831"/>
    <cellStyle name="Normal 2 25 15 3" xfId="2832"/>
    <cellStyle name="Normal 2 25 16" xfId="2833"/>
    <cellStyle name="Normal 2 25 16 2" xfId="2834"/>
    <cellStyle name="Normal 2 25 16 2 2" xfId="2835"/>
    <cellStyle name="Normal 2 25 16 3" xfId="2836"/>
    <cellStyle name="Normal 2 25 17" xfId="2837"/>
    <cellStyle name="Normal 2 25 17 2" xfId="2838"/>
    <cellStyle name="Normal 2 25 17 2 2" xfId="2839"/>
    <cellStyle name="Normal 2 25 17 3" xfId="2840"/>
    <cellStyle name="Normal 2 25 18" xfId="2841"/>
    <cellStyle name="Normal 2 25 18 2" xfId="2842"/>
    <cellStyle name="Normal 2 25 18 2 2" xfId="2843"/>
    <cellStyle name="Normal 2 25 18 3" xfId="2844"/>
    <cellStyle name="Normal 2 25 19" xfId="2845"/>
    <cellStyle name="Normal 2 25 19 2" xfId="2846"/>
    <cellStyle name="Normal 2 25 19 2 2" xfId="2847"/>
    <cellStyle name="Normal 2 25 19 3" xfId="2848"/>
    <cellStyle name="Normal 2 25 2" xfId="2849"/>
    <cellStyle name="Normal 2 25 2 2" xfId="2850"/>
    <cellStyle name="Normal 2 25 2 2 2" xfId="2851"/>
    <cellStyle name="Normal 2 25 2 3" xfId="2852"/>
    <cellStyle name="Normal 2 25 20" xfId="2853"/>
    <cellStyle name="Normal 2 25 20 2" xfId="2854"/>
    <cellStyle name="Normal 2 25 20 2 2" xfId="2855"/>
    <cellStyle name="Normal 2 25 20 3" xfId="2856"/>
    <cellStyle name="Normal 2 25 21" xfId="2857"/>
    <cellStyle name="Normal 2 25 21 2" xfId="2858"/>
    <cellStyle name="Normal 2 25 21 2 2" xfId="2859"/>
    <cellStyle name="Normal 2 25 21 3" xfId="2860"/>
    <cellStyle name="Normal 2 25 22" xfId="2861"/>
    <cellStyle name="Normal 2 25 22 2" xfId="2862"/>
    <cellStyle name="Normal 2 25 22 2 2" xfId="2863"/>
    <cellStyle name="Normal 2 25 22 3" xfId="2864"/>
    <cellStyle name="Normal 2 25 23" xfId="2865"/>
    <cellStyle name="Normal 2 25 23 2" xfId="2866"/>
    <cellStyle name="Normal 2 25 23 2 2" xfId="2867"/>
    <cellStyle name="Normal 2 25 23 3" xfId="2868"/>
    <cellStyle name="Normal 2 25 24" xfId="2869"/>
    <cellStyle name="Normal 2 25 24 2" xfId="2870"/>
    <cellStyle name="Normal 2 25 25" xfId="2871"/>
    <cellStyle name="Normal 2 25 3" xfId="2872"/>
    <cellStyle name="Normal 2 25 3 2" xfId="2873"/>
    <cellStyle name="Normal 2 25 3 2 2" xfId="2874"/>
    <cellStyle name="Normal 2 25 3 3" xfId="2875"/>
    <cellStyle name="Normal 2 25 4" xfId="2876"/>
    <cellStyle name="Normal 2 25 4 2" xfId="2877"/>
    <cellStyle name="Normal 2 25 4 2 2" xfId="2878"/>
    <cellStyle name="Normal 2 25 4 3" xfId="2879"/>
    <cellStyle name="Normal 2 25 5" xfId="2880"/>
    <cellStyle name="Normal 2 25 5 2" xfId="2881"/>
    <cellStyle name="Normal 2 25 5 2 2" xfId="2882"/>
    <cellStyle name="Normal 2 25 5 3" xfId="2883"/>
    <cellStyle name="Normal 2 25 6" xfId="2884"/>
    <cellStyle name="Normal 2 25 6 2" xfId="2885"/>
    <cellStyle name="Normal 2 25 6 2 2" xfId="2886"/>
    <cellStyle name="Normal 2 25 6 3" xfId="2887"/>
    <cellStyle name="Normal 2 25 7" xfId="2888"/>
    <cellStyle name="Normal 2 25 7 2" xfId="2889"/>
    <cellStyle name="Normal 2 25 7 2 2" xfId="2890"/>
    <cellStyle name="Normal 2 25 7 3" xfId="2891"/>
    <cellStyle name="Normal 2 25 8" xfId="2892"/>
    <cellStyle name="Normal 2 25 8 2" xfId="2893"/>
    <cellStyle name="Normal 2 25 8 2 2" xfId="2894"/>
    <cellStyle name="Normal 2 25 8 3" xfId="2895"/>
    <cellStyle name="Normal 2 25 9" xfId="2896"/>
    <cellStyle name="Normal 2 25 9 2" xfId="2897"/>
    <cellStyle name="Normal 2 25 9 2 2" xfId="2898"/>
    <cellStyle name="Normal 2 25 9 3" xfId="2899"/>
    <cellStyle name="Normal 2 26" xfId="2900"/>
    <cellStyle name="Normal 2 26 10" xfId="2901"/>
    <cellStyle name="Normal 2 26 10 2" xfId="2902"/>
    <cellStyle name="Normal 2 26 10 2 2" xfId="2903"/>
    <cellStyle name="Normal 2 26 10 3" xfId="2904"/>
    <cellStyle name="Normal 2 26 11" xfId="2905"/>
    <cellStyle name="Normal 2 26 11 2" xfId="2906"/>
    <cellStyle name="Normal 2 26 11 2 2" xfId="2907"/>
    <cellStyle name="Normal 2 26 11 3" xfId="2908"/>
    <cellStyle name="Normal 2 26 12" xfId="2909"/>
    <cellStyle name="Normal 2 26 12 2" xfId="2910"/>
    <cellStyle name="Normal 2 26 12 2 2" xfId="2911"/>
    <cellStyle name="Normal 2 26 12 3" xfId="2912"/>
    <cellStyle name="Normal 2 26 13" xfId="2913"/>
    <cellStyle name="Normal 2 26 13 2" xfId="2914"/>
    <cellStyle name="Normal 2 26 13 2 2" xfId="2915"/>
    <cellStyle name="Normal 2 26 13 3" xfId="2916"/>
    <cellStyle name="Normal 2 26 14" xfId="2917"/>
    <cellStyle name="Normal 2 26 14 2" xfId="2918"/>
    <cellStyle name="Normal 2 26 14 2 2" xfId="2919"/>
    <cellStyle name="Normal 2 26 14 3" xfId="2920"/>
    <cellStyle name="Normal 2 26 15" xfId="2921"/>
    <cellStyle name="Normal 2 26 15 2" xfId="2922"/>
    <cellStyle name="Normal 2 26 15 2 2" xfId="2923"/>
    <cellStyle name="Normal 2 26 15 3" xfId="2924"/>
    <cellStyle name="Normal 2 26 16" xfId="2925"/>
    <cellStyle name="Normal 2 26 16 2" xfId="2926"/>
    <cellStyle name="Normal 2 26 16 2 2" xfId="2927"/>
    <cellStyle name="Normal 2 26 16 3" xfId="2928"/>
    <cellStyle name="Normal 2 26 17" xfId="2929"/>
    <cellStyle name="Normal 2 26 17 2" xfId="2930"/>
    <cellStyle name="Normal 2 26 17 2 2" xfId="2931"/>
    <cellStyle name="Normal 2 26 17 3" xfId="2932"/>
    <cellStyle name="Normal 2 26 18" xfId="2933"/>
    <cellStyle name="Normal 2 26 18 2" xfId="2934"/>
    <cellStyle name="Normal 2 26 18 2 2" xfId="2935"/>
    <cellStyle name="Normal 2 26 18 3" xfId="2936"/>
    <cellStyle name="Normal 2 26 19" xfId="2937"/>
    <cellStyle name="Normal 2 26 19 2" xfId="2938"/>
    <cellStyle name="Normal 2 26 19 2 2" xfId="2939"/>
    <cellStyle name="Normal 2 26 19 3" xfId="2940"/>
    <cellStyle name="Normal 2 26 2" xfId="2941"/>
    <cellStyle name="Normal 2 26 2 2" xfId="2942"/>
    <cellStyle name="Normal 2 26 2 2 2" xfId="2943"/>
    <cellStyle name="Normal 2 26 2 3" xfId="2944"/>
    <cellStyle name="Normal 2 26 20" xfId="2945"/>
    <cellStyle name="Normal 2 26 20 2" xfId="2946"/>
    <cellStyle name="Normal 2 26 20 2 2" xfId="2947"/>
    <cellStyle name="Normal 2 26 20 3" xfId="2948"/>
    <cellStyle name="Normal 2 26 21" xfId="2949"/>
    <cellStyle name="Normal 2 26 21 2" xfId="2950"/>
    <cellStyle name="Normal 2 26 21 2 2" xfId="2951"/>
    <cellStyle name="Normal 2 26 21 3" xfId="2952"/>
    <cellStyle name="Normal 2 26 22" xfId="2953"/>
    <cellStyle name="Normal 2 26 22 2" xfId="2954"/>
    <cellStyle name="Normal 2 26 22 2 2" xfId="2955"/>
    <cellStyle name="Normal 2 26 22 3" xfId="2956"/>
    <cellStyle name="Normal 2 26 23" xfId="2957"/>
    <cellStyle name="Normal 2 26 23 2" xfId="2958"/>
    <cellStyle name="Normal 2 26 23 2 2" xfId="2959"/>
    <cellStyle name="Normal 2 26 23 3" xfId="2960"/>
    <cellStyle name="Normal 2 26 24" xfId="2961"/>
    <cellStyle name="Normal 2 26 24 2" xfId="2962"/>
    <cellStyle name="Normal 2 26 25" xfId="2963"/>
    <cellStyle name="Normal 2 26 3" xfId="2964"/>
    <cellStyle name="Normal 2 26 3 2" xfId="2965"/>
    <cellStyle name="Normal 2 26 3 2 2" xfId="2966"/>
    <cellStyle name="Normal 2 26 3 3" xfId="2967"/>
    <cellStyle name="Normal 2 26 4" xfId="2968"/>
    <cellStyle name="Normal 2 26 4 2" xfId="2969"/>
    <cellStyle name="Normal 2 26 4 2 2" xfId="2970"/>
    <cellStyle name="Normal 2 26 4 3" xfId="2971"/>
    <cellStyle name="Normal 2 26 5" xfId="2972"/>
    <cellStyle name="Normal 2 26 5 2" xfId="2973"/>
    <cellStyle name="Normal 2 26 5 2 2" xfId="2974"/>
    <cellStyle name="Normal 2 26 5 3" xfId="2975"/>
    <cellStyle name="Normal 2 26 6" xfId="2976"/>
    <cellStyle name="Normal 2 26 6 2" xfId="2977"/>
    <cellStyle name="Normal 2 26 6 2 2" xfId="2978"/>
    <cellStyle name="Normal 2 26 6 3" xfId="2979"/>
    <cellStyle name="Normal 2 26 7" xfId="2980"/>
    <cellStyle name="Normal 2 26 7 2" xfId="2981"/>
    <cellStyle name="Normal 2 26 7 2 2" xfId="2982"/>
    <cellStyle name="Normal 2 26 7 3" xfId="2983"/>
    <cellStyle name="Normal 2 26 8" xfId="2984"/>
    <cellStyle name="Normal 2 26 8 2" xfId="2985"/>
    <cellStyle name="Normal 2 26 8 2 2" xfId="2986"/>
    <cellStyle name="Normal 2 26 8 3" xfId="2987"/>
    <cellStyle name="Normal 2 26 9" xfId="2988"/>
    <cellStyle name="Normal 2 26 9 2" xfId="2989"/>
    <cellStyle name="Normal 2 26 9 2 2" xfId="2990"/>
    <cellStyle name="Normal 2 26 9 3" xfId="2991"/>
    <cellStyle name="Normal 2 27" xfId="2992"/>
    <cellStyle name="Normal 2 27 10" xfId="2993"/>
    <cellStyle name="Normal 2 27 10 2" xfId="2994"/>
    <cellStyle name="Normal 2 27 10 2 2" xfId="2995"/>
    <cellStyle name="Normal 2 27 10 3" xfId="2996"/>
    <cellStyle name="Normal 2 27 11" xfId="2997"/>
    <cellStyle name="Normal 2 27 11 2" xfId="2998"/>
    <cellStyle name="Normal 2 27 11 2 2" xfId="2999"/>
    <cellStyle name="Normal 2 27 11 3" xfId="3000"/>
    <cellStyle name="Normal 2 27 12" xfId="3001"/>
    <cellStyle name="Normal 2 27 12 2" xfId="3002"/>
    <cellStyle name="Normal 2 27 12 2 2" xfId="3003"/>
    <cellStyle name="Normal 2 27 12 3" xfId="3004"/>
    <cellStyle name="Normal 2 27 13" xfId="3005"/>
    <cellStyle name="Normal 2 27 13 2" xfId="3006"/>
    <cellStyle name="Normal 2 27 13 2 2" xfId="3007"/>
    <cellStyle name="Normal 2 27 13 3" xfId="3008"/>
    <cellStyle name="Normal 2 27 14" xfId="3009"/>
    <cellStyle name="Normal 2 27 14 2" xfId="3010"/>
    <cellStyle name="Normal 2 27 14 2 2" xfId="3011"/>
    <cellStyle name="Normal 2 27 14 3" xfId="3012"/>
    <cellStyle name="Normal 2 27 15" xfId="3013"/>
    <cellStyle name="Normal 2 27 15 2" xfId="3014"/>
    <cellStyle name="Normal 2 27 15 2 2" xfId="3015"/>
    <cellStyle name="Normal 2 27 15 3" xfId="3016"/>
    <cellStyle name="Normal 2 27 16" xfId="3017"/>
    <cellStyle name="Normal 2 27 16 2" xfId="3018"/>
    <cellStyle name="Normal 2 27 16 2 2" xfId="3019"/>
    <cellStyle name="Normal 2 27 16 3" xfId="3020"/>
    <cellStyle name="Normal 2 27 17" xfId="3021"/>
    <cellStyle name="Normal 2 27 17 2" xfId="3022"/>
    <cellStyle name="Normal 2 27 17 2 2" xfId="3023"/>
    <cellStyle name="Normal 2 27 17 3" xfId="3024"/>
    <cellStyle name="Normal 2 27 18" xfId="3025"/>
    <cellStyle name="Normal 2 27 18 2" xfId="3026"/>
    <cellStyle name="Normal 2 27 18 2 2" xfId="3027"/>
    <cellStyle name="Normal 2 27 18 3" xfId="3028"/>
    <cellStyle name="Normal 2 27 19" xfId="3029"/>
    <cellStyle name="Normal 2 27 19 2" xfId="3030"/>
    <cellStyle name="Normal 2 27 19 2 2" xfId="3031"/>
    <cellStyle name="Normal 2 27 19 3" xfId="3032"/>
    <cellStyle name="Normal 2 27 2" xfId="3033"/>
    <cellStyle name="Normal 2 27 2 2" xfId="3034"/>
    <cellStyle name="Normal 2 27 2 2 2" xfId="3035"/>
    <cellStyle name="Normal 2 27 2 3" xfId="3036"/>
    <cellStyle name="Normal 2 27 20" xfId="3037"/>
    <cellStyle name="Normal 2 27 20 2" xfId="3038"/>
    <cellStyle name="Normal 2 27 20 2 2" xfId="3039"/>
    <cellStyle name="Normal 2 27 20 3" xfId="3040"/>
    <cellStyle name="Normal 2 27 21" xfId="3041"/>
    <cellStyle name="Normal 2 27 21 2" xfId="3042"/>
    <cellStyle name="Normal 2 27 21 2 2" xfId="3043"/>
    <cellStyle name="Normal 2 27 21 3" xfId="3044"/>
    <cellStyle name="Normal 2 27 22" xfId="3045"/>
    <cellStyle name="Normal 2 27 22 2" xfId="3046"/>
    <cellStyle name="Normal 2 27 22 2 2" xfId="3047"/>
    <cellStyle name="Normal 2 27 22 3" xfId="3048"/>
    <cellStyle name="Normal 2 27 23" xfId="3049"/>
    <cellStyle name="Normal 2 27 23 2" xfId="3050"/>
    <cellStyle name="Normal 2 27 23 2 2" xfId="3051"/>
    <cellStyle name="Normal 2 27 23 3" xfId="3052"/>
    <cellStyle name="Normal 2 27 24" xfId="3053"/>
    <cellStyle name="Normal 2 27 24 2" xfId="3054"/>
    <cellStyle name="Normal 2 27 25" xfId="3055"/>
    <cellStyle name="Normal 2 27 3" xfId="3056"/>
    <cellStyle name="Normal 2 27 3 2" xfId="3057"/>
    <cellStyle name="Normal 2 27 3 2 2" xfId="3058"/>
    <cellStyle name="Normal 2 27 3 3" xfId="3059"/>
    <cellStyle name="Normal 2 27 4" xfId="3060"/>
    <cellStyle name="Normal 2 27 4 2" xfId="3061"/>
    <cellStyle name="Normal 2 27 4 2 2" xfId="3062"/>
    <cellStyle name="Normal 2 27 4 3" xfId="3063"/>
    <cellStyle name="Normal 2 27 5" xfId="3064"/>
    <cellStyle name="Normal 2 27 5 2" xfId="3065"/>
    <cellStyle name="Normal 2 27 5 2 2" xfId="3066"/>
    <cellStyle name="Normal 2 27 5 3" xfId="3067"/>
    <cellStyle name="Normal 2 27 6" xfId="3068"/>
    <cellStyle name="Normal 2 27 6 2" xfId="3069"/>
    <cellStyle name="Normal 2 27 6 2 2" xfId="3070"/>
    <cellStyle name="Normal 2 27 6 3" xfId="3071"/>
    <cellStyle name="Normal 2 27 7" xfId="3072"/>
    <cellStyle name="Normal 2 27 7 2" xfId="3073"/>
    <cellStyle name="Normal 2 27 7 2 2" xfId="3074"/>
    <cellStyle name="Normal 2 27 7 3" xfId="3075"/>
    <cellStyle name="Normal 2 27 8" xfId="3076"/>
    <cellStyle name="Normal 2 27 8 2" xfId="3077"/>
    <cellStyle name="Normal 2 27 8 2 2" xfId="3078"/>
    <cellStyle name="Normal 2 27 8 3" xfId="3079"/>
    <cellStyle name="Normal 2 27 9" xfId="3080"/>
    <cellStyle name="Normal 2 27 9 2" xfId="3081"/>
    <cellStyle name="Normal 2 27 9 2 2" xfId="3082"/>
    <cellStyle name="Normal 2 27 9 3" xfId="3083"/>
    <cellStyle name="Normal 2 28" xfId="3084"/>
    <cellStyle name="Normal 2 28 10" xfId="3085"/>
    <cellStyle name="Normal 2 28 10 2" xfId="3086"/>
    <cellStyle name="Normal 2 28 10 2 2" xfId="3087"/>
    <cellStyle name="Normal 2 28 10 3" xfId="3088"/>
    <cellStyle name="Normal 2 28 11" xfId="3089"/>
    <cellStyle name="Normal 2 28 11 2" xfId="3090"/>
    <cellStyle name="Normal 2 28 11 2 2" xfId="3091"/>
    <cellStyle name="Normal 2 28 11 3" xfId="3092"/>
    <cellStyle name="Normal 2 28 12" xfId="3093"/>
    <cellStyle name="Normal 2 28 12 2" xfId="3094"/>
    <cellStyle name="Normal 2 28 12 2 2" xfId="3095"/>
    <cellStyle name="Normal 2 28 12 3" xfId="3096"/>
    <cellStyle name="Normal 2 28 13" xfId="3097"/>
    <cellStyle name="Normal 2 28 13 2" xfId="3098"/>
    <cellStyle name="Normal 2 28 13 2 2" xfId="3099"/>
    <cellStyle name="Normal 2 28 13 3" xfId="3100"/>
    <cellStyle name="Normal 2 28 14" xfId="3101"/>
    <cellStyle name="Normal 2 28 14 2" xfId="3102"/>
    <cellStyle name="Normal 2 28 14 2 2" xfId="3103"/>
    <cellStyle name="Normal 2 28 14 3" xfId="3104"/>
    <cellStyle name="Normal 2 28 15" xfId="3105"/>
    <cellStyle name="Normal 2 28 15 2" xfId="3106"/>
    <cellStyle name="Normal 2 28 15 2 2" xfId="3107"/>
    <cellStyle name="Normal 2 28 15 3" xfId="3108"/>
    <cellStyle name="Normal 2 28 16" xfId="3109"/>
    <cellStyle name="Normal 2 28 16 2" xfId="3110"/>
    <cellStyle name="Normal 2 28 16 2 2" xfId="3111"/>
    <cellStyle name="Normal 2 28 16 3" xfId="3112"/>
    <cellStyle name="Normal 2 28 17" xfId="3113"/>
    <cellStyle name="Normal 2 28 17 2" xfId="3114"/>
    <cellStyle name="Normal 2 28 17 2 2" xfId="3115"/>
    <cellStyle name="Normal 2 28 17 3" xfId="3116"/>
    <cellStyle name="Normal 2 28 18" xfId="3117"/>
    <cellStyle name="Normal 2 28 18 2" xfId="3118"/>
    <cellStyle name="Normal 2 28 18 2 2" xfId="3119"/>
    <cellStyle name="Normal 2 28 18 3" xfId="3120"/>
    <cellStyle name="Normal 2 28 19" xfId="3121"/>
    <cellStyle name="Normal 2 28 19 2" xfId="3122"/>
    <cellStyle name="Normal 2 28 19 2 2" xfId="3123"/>
    <cellStyle name="Normal 2 28 19 3" xfId="3124"/>
    <cellStyle name="Normal 2 28 2" xfId="3125"/>
    <cellStyle name="Normal 2 28 2 2" xfId="3126"/>
    <cellStyle name="Normal 2 28 2 2 2" xfId="3127"/>
    <cellStyle name="Normal 2 28 2 3" xfId="3128"/>
    <cellStyle name="Normal 2 28 20" xfId="3129"/>
    <cellStyle name="Normal 2 28 20 2" xfId="3130"/>
    <cellStyle name="Normal 2 28 20 2 2" xfId="3131"/>
    <cellStyle name="Normal 2 28 20 3" xfId="3132"/>
    <cellStyle name="Normal 2 28 21" xfId="3133"/>
    <cellStyle name="Normal 2 28 21 2" xfId="3134"/>
    <cellStyle name="Normal 2 28 21 2 2" xfId="3135"/>
    <cellStyle name="Normal 2 28 21 3" xfId="3136"/>
    <cellStyle name="Normal 2 28 22" xfId="3137"/>
    <cellStyle name="Normal 2 28 22 2" xfId="3138"/>
    <cellStyle name="Normal 2 28 22 2 2" xfId="3139"/>
    <cellStyle name="Normal 2 28 22 3" xfId="3140"/>
    <cellStyle name="Normal 2 28 23" xfId="3141"/>
    <cellStyle name="Normal 2 28 23 2" xfId="3142"/>
    <cellStyle name="Normal 2 28 23 2 2" xfId="3143"/>
    <cellStyle name="Normal 2 28 23 3" xfId="3144"/>
    <cellStyle name="Normal 2 28 24" xfId="3145"/>
    <cellStyle name="Normal 2 28 24 2" xfId="3146"/>
    <cellStyle name="Normal 2 28 25" xfId="3147"/>
    <cellStyle name="Normal 2 28 3" xfId="3148"/>
    <cellStyle name="Normal 2 28 3 2" xfId="3149"/>
    <cellStyle name="Normal 2 28 3 2 2" xfId="3150"/>
    <cellStyle name="Normal 2 28 3 3" xfId="3151"/>
    <cellStyle name="Normal 2 28 4" xfId="3152"/>
    <cellStyle name="Normal 2 28 4 2" xfId="3153"/>
    <cellStyle name="Normal 2 28 4 2 2" xfId="3154"/>
    <cellStyle name="Normal 2 28 4 3" xfId="3155"/>
    <cellStyle name="Normal 2 28 5" xfId="3156"/>
    <cellStyle name="Normal 2 28 5 2" xfId="3157"/>
    <cellStyle name="Normal 2 28 5 2 2" xfId="3158"/>
    <cellStyle name="Normal 2 28 5 3" xfId="3159"/>
    <cellStyle name="Normal 2 28 6" xfId="3160"/>
    <cellStyle name="Normal 2 28 6 2" xfId="3161"/>
    <cellStyle name="Normal 2 28 6 2 2" xfId="3162"/>
    <cellStyle name="Normal 2 28 6 3" xfId="3163"/>
    <cellStyle name="Normal 2 28 7" xfId="3164"/>
    <cellStyle name="Normal 2 28 7 2" xfId="3165"/>
    <cellStyle name="Normal 2 28 7 2 2" xfId="3166"/>
    <cellStyle name="Normal 2 28 7 3" xfId="3167"/>
    <cellStyle name="Normal 2 28 8" xfId="3168"/>
    <cellStyle name="Normal 2 28 8 2" xfId="3169"/>
    <cellStyle name="Normal 2 28 8 2 2" xfId="3170"/>
    <cellStyle name="Normal 2 28 8 3" xfId="3171"/>
    <cellStyle name="Normal 2 28 9" xfId="3172"/>
    <cellStyle name="Normal 2 28 9 2" xfId="3173"/>
    <cellStyle name="Normal 2 28 9 2 2" xfId="3174"/>
    <cellStyle name="Normal 2 28 9 3" xfId="3175"/>
    <cellStyle name="Normal 2 29" xfId="3176"/>
    <cellStyle name="Normal 2 29 10" xfId="3177"/>
    <cellStyle name="Normal 2 29 10 2" xfId="3178"/>
    <cellStyle name="Normal 2 29 10 2 2" xfId="3179"/>
    <cellStyle name="Normal 2 29 10 3" xfId="3180"/>
    <cellStyle name="Normal 2 29 11" xfId="3181"/>
    <cellStyle name="Normal 2 29 11 2" xfId="3182"/>
    <cellStyle name="Normal 2 29 11 2 2" xfId="3183"/>
    <cellStyle name="Normal 2 29 11 3" xfId="3184"/>
    <cellStyle name="Normal 2 29 12" xfId="3185"/>
    <cellStyle name="Normal 2 29 12 2" xfId="3186"/>
    <cellStyle name="Normal 2 29 12 2 2" xfId="3187"/>
    <cellStyle name="Normal 2 29 12 3" xfId="3188"/>
    <cellStyle name="Normal 2 29 13" xfId="3189"/>
    <cellStyle name="Normal 2 29 13 2" xfId="3190"/>
    <cellStyle name="Normal 2 29 13 2 2" xfId="3191"/>
    <cellStyle name="Normal 2 29 13 3" xfId="3192"/>
    <cellStyle name="Normal 2 29 14" xfId="3193"/>
    <cellStyle name="Normal 2 29 14 2" xfId="3194"/>
    <cellStyle name="Normal 2 29 14 2 2" xfId="3195"/>
    <cellStyle name="Normal 2 29 14 3" xfId="3196"/>
    <cellStyle name="Normal 2 29 15" xfId="3197"/>
    <cellStyle name="Normal 2 29 15 2" xfId="3198"/>
    <cellStyle name="Normal 2 29 15 2 2" xfId="3199"/>
    <cellStyle name="Normal 2 29 15 3" xfId="3200"/>
    <cellStyle name="Normal 2 29 16" xfId="3201"/>
    <cellStyle name="Normal 2 29 16 2" xfId="3202"/>
    <cellStyle name="Normal 2 29 16 2 2" xfId="3203"/>
    <cellStyle name="Normal 2 29 16 3" xfId="3204"/>
    <cellStyle name="Normal 2 29 17" xfId="3205"/>
    <cellStyle name="Normal 2 29 17 2" xfId="3206"/>
    <cellStyle name="Normal 2 29 17 2 2" xfId="3207"/>
    <cellStyle name="Normal 2 29 17 3" xfId="3208"/>
    <cellStyle name="Normal 2 29 18" xfId="3209"/>
    <cellStyle name="Normal 2 29 18 2" xfId="3210"/>
    <cellStyle name="Normal 2 29 18 2 2" xfId="3211"/>
    <cellStyle name="Normal 2 29 18 3" xfId="3212"/>
    <cellStyle name="Normal 2 29 19" xfId="3213"/>
    <cellStyle name="Normal 2 29 19 2" xfId="3214"/>
    <cellStyle name="Normal 2 29 19 2 2" xfId="3215"/>
    <cellStyle name="Normal 2 29 19 3" xfId="3216"/>
    <cellStyle name="Normal 2 29 2" xfId="3217"/>
    <cellStyle name="Normal 2 29 2 2" xfId="3218"/>
    <cellStyle name="Normal 2 29 2 2 2" xfId="3219"/>
    <cellStyle name="Normal 2 29 2 3" xfId="3220"/>
    <cellStyle name="Normal 2 29 20" xfId="3221"/>
    <cellStyle name="Normal 2 29 20 2" xfId="3222"/>
    <cellStyle name="Normal 2 29 20 2 2" xfId="3223"/>
    <cellStyle name="Normal 2 29 20 3" xfId="3224"/>
    <cellStyle name="Normal 2 29 21" xfId="3225"/>
    <cellStyle name="Normal 2 29 21 2" xfId="3226"/>
    <cellStyle name="Normal 2 29 21 2 2" xfId="3227"/>
    <cellStyle name="Normal 2 29 21 3" xfId="3228"/>
    <cellStyle name="Normal 2 29 22" xfId="3229"/>
    <cellStyle name="Normal 2 29 22 2" xfId="3230"/>
    <cellStyle name="Normal 2 29 22 2 2" xfId="3231"/>
    <cellStyle name="Normal 2 29 22 3" xfId="3232"/>
    <cellStyle name="Normal 2 29 23" xfId="3233"/>
    <cellStyle name="Normal 2 29 23 2" xfId="3234"/>
    <cellStyle name="Normal 2 29 23 2 2" xfId="3235"/>
    <cellStyle name="Normal 2 29 23 3" xfId="3236"/>
    <cellStyle name="Normal 2 29 24" xfId="3237"/>
    <cellStyle name="Normal 2 29 24 2" xfId="3238"/>
    <cellStyle name="Normal 2 29 25" xfId="3239"/>
    <cellStyle name="Normal 2 29 3" xfId="3240"/>
    <cellStyle name="Normal 2 29 3 2" xfId="3241"/>
    <cellStyle name="Normal 2 29 3 2 2" xfId="3242"/>
    <cellStyle name="Normal 2 29 3 3" xfId="3243"/>
    <cellStyle name="Normal 2 29 4" xfId="3244"/>
    <cellStyle name="Normal 2 29 4 2" xfId="3245"/>
    <cellStyle name="Normal 2 29 4 2 2" xfId="3246"/>
    <cellStyle name="Normal 2 29 4 3" xfId="3247"/>
    <cellStyle name="Normal 2 29 5" xfId="3248"/>
    <cellStyle name="Normal 2 29 5 2" xfId="3249"/>
    <cellStyle name="Normal 2 29 5 2 2" xfId="3250"/>
    <cellStyle name="Normal 2 29 5 3" xfId="3251"/>
    <cellStyle name="Normal 2 29 6" xfId="3252"/>
    <cellStyle name="Normal 2 29 6 2" xfId="3253"/>
    <cellStyle name="Normal 2 29 6 2 2" xfId="3254"/>
    <cellStyle name="Normal 2 29 6 3" xfId="3255"/>
    <cellStyle name="Normal 2 29 7" xfId="3256"/>
    <cellStyle name="Normal 2 29 7 2" xfId="3257"/>
    <cellStyle name="Normal 2 29 7 2 2" xfId="3258"/>
    <cellStyle name="Normal 2 29 7 3" xfId="3259"/>
    <cellStyle name="Normal 2 29 8" xfId="3260"/>
    <cellStyle name="Normal 2 29 8 2" xfId="3261"/>
    <cellStyle name="Normal 2 29 8 2 2" xfId="3262"/>
    <cellStyle name="Normal 2 29 8 3" xfId="3263"/>
    <cellStyle name="Normal 2 29 9" xfId="3264"/>
    <cellStyle name="Normal 2 29 9 2" xfId="3265"/>
    <cellStyle name="Normal 2 29 9 2 2" xfId="3266"/>
    <cellStyle name="Normal 2 29 9 3" xfId="3267"/>
    <cellStyle name="Normal 2 3" xfId="193"/>
    <cellStyle name="Normal 2 3 2" xfId="194"/>
    <cellStyle name="Normal 2 3 2 2" xfId="195"/>
    <cellStyle name="Normal 2 3 2 2 2" xfId="390"/>
    <cellStyle name="Normal 2 3 2 3" xfId="3268"/>
    <cellStyle name="Normal 2 3 3" xfId="196"/>
    <cellStyle name="Normal 2 3 3 2" xfId="391"/>
    <cellStyle name="Normal 2 3 3 3" xfId="1119"/>
    <cellStyle name="Normal 2 3 4" xfId="3269"/>
    <cellStyle name="Normal 2 3 4 2" xfId="3270"/>
    <cellStyle name="Normal 2 3 5" xfId="3271"/>
    <cellStyle name="Normal 2 30" xfId="3272"/>
    <cellStyle name="Normal 2 30 10" xfId="3273"/>
    <cellStyle name="Normal 2 30 10 2" xfId="3274"/>
    <cellStyle name="Normal 2 30 10 2 2" xfId="3275"/>
    <cellStyle name="Normal 2 30 10 3" xfId="3276"/>
    <cellStyle name="Normal 2 30 11" xfId="3277"/>
    <cellStyle name="Normal 2 30 11 2" xfId="3278"/>
    <cellStyle name="Normal 2 30 11 2 2" xfId="3279"/>
    <cellStyle name="Normal 2 30 11 3" xfId="3280"/>
    <cellStyle name="Normal 2 30 12" xfId="3281"/>
    <cellStyle name="Normal 2 30 12 2" xfId="3282"/>
    <cellStyle name="Normal 2 30 12 2 2" xfId="3283"/>
    <cellStyle name="Normal 2 30 12 3" xfId="3284"/>
    <cellStyle name="Normal 2 30 13" xfId="3285"/>
    <cellStyle name="Normal 2 30 13 2" xfId="3286"/>
    <cellStyle name="Normal 2 30 13 2 2" xfId="3287"/>
    <cellStyle name="Normal 2 30 13 3" xfId="3288"/>
    <cellStyle name="Normal 2 30 14" xfId="3289"/>
    <cellStyle name="Normal 2 30 14 2" xfId="3290"/>
    <cellStyle name="Normal 2 30 14 2 2" xfId="3291"/>
    <cellStyle name="Normal 2 30 14 3" xfId="3292"/>
    <cellStyle name="Normal 2 30 15" xfId="3293"/>
    <cellStyle name="Normal 2 30 15 2" xfId="3294"/>
    <cellStyle name="Normal 2 30 15 2 2" xfId="3295"/>
    <cellStyle name="Normal 2 30 15 3" xfId="3296"/>
    <cellStyle name="Normal 2 30 16" xfId="3297"/>
    <cellStyle name="Normal 2 30 16 2" xfId="3298"/>
    <cellStyle name="Normal 2 30 16 2 2" xfId="3299"/>
    <cellStyle name="Normal 2 30 16 3" xfId="3300"/>
    <cellStyle name="Normal 2 30 17" xfId="3301"/>
    <cellStyle name="Normal 2 30 17 2" xfId="3302"/>
    <cellStyle name="Normal 2 30 17 2 2" xfId="3303"/>
    <cellStyle name="Normal 2 30 17 3" xfId="3304"/>
    <cellStyle name="Normal 2 30 18" xfId="3305"/>
    <cellStyle name="Normal 2 30 18 2" xfId="3306"/>
    <cellStyle name="Normal 2 30 18 2 2" xfId="3307"/>
    <cellStyle name="Normal 2 30 18 3" xfId="3308"/>
    <cellStyle name="Normal 2 30 19" xfId="3309"/>
    <cellStyle name="Normal 2 30 19 2" xfId="3310"/>
    <cellStyle name="Normal 2 30 19 2 2" xfId="3311"/>
    <cellStyle name="Normal 2 30 19 3" xfId="3312"/>
    <cellStyle name="Normal 2 30 2" xfId="3313"/>
    <cellStyle name="Normal 2 30 2 2" xfId="3314"/>
    <cellStyle name="Normal 2 30 2 2 2" xfId="3315"/>
    <cellStyle name="Normal 2 30 2 3" xfId="3316"/>
    <cellStyle name="Normal 2 30 20" xfId="3317"/>
    <cellStyle name="Normal 2 30 20 2" xfId="3318"/>
    <cellStyle name="Normal 2 30 20 2 2" xfId="3319"/>
    <cellStyle name="Normal 2 30 20 3" xfId="3320"/>
    <cellStyle name="Normal 2 30 21" xfId="3321"/>
    <cellStyle name="Normal 2 30 21 2" xfId="3322"/>
    <cellStyle name="Normal 2 30 21 2 2" xfId="3323"/>
    <cellStyle name="Normal 2 30 21 3" xfId="3324"/>
    <cellStyle name="Normal 2 30 22" xfId="3325"/>
    <cellStyle name="Normal 2 30 22 2" xfId="3326"/>
    <cellStyle name="Normal 2 30 22 2 2" xfId="3327"/>
    <cellStyle name="Normal 2 30 22 3" xfId="3328"/>
    <cellStyle name="Normal 2 30 23" xfId="3329"/>
    <cellStyle name="Normal 2 30 23 2" xfId="3330"/>
    <cellStyle name="Normal 2 30 23 2 2" xfId="3331"/>
    <cellStyle name="Normal 2 30 23 3" xfId="3332"/>
    <cellStyle name="Normal 2 30 24" xfId="3333"/>
    <cellStyle name="Normal 2 30 24 2" xfId="3334"/>
    <cellStyle name="Normal 2 30 25" xfId="3335"/>
    <cellStyle name="Normal 2 30 3" xfId="3336"/>
    <cellStyle name="Normal 2 30 3 2" xfId="3337"/>
    <cellStyle name="Normal 2 30 3 2 2" xfId="3338"/>
    <cellStyle name="Normal 2 30 3 3" xfId="3339"/>
    <cellStyle name="Normal 2 30 4" xfId="3340"/>
    <cellStyle name="Normal 2 30 4 2" xfId="3341"/>
    <cellStyle name="Normal 2 30 4 2 2" xfId="3342"/>
    <cellStyle name="Normal 2 30 4 3" xfId="3343"/>
    <cellStyle name="Normal 2 30 5" xfId="3344"/>
    <cellStyle name="Normal 2 30 5 2" xfId="3345"/>
    <cellStyle name="Normal 2 30 5 2 2" xfId="3346"/>
    <cellStyle name="Normal 2 30 5 3" xfId="3347"/>
    <cellStyle name="Normal 2 30 6" xfId="3348"/>
    <cellStyle name="Normal 2 30 6 2" xfId="3349"/>
    <cellStyle name="Normal 2 30 6 2 2" xfId="3350"/>
    <cellStyle name="Normal 2 30 6 3" xfId="3351"/>
    <cellStyle name="Normal 2 30 7" xfId="3352"/>
    <cellStyle name="Normal 2 30 7 2" xfId="3353"/>
    <cellStyle name="Normal 2 30 7 2 2" xfId="3354"/>
    <cellStyle name="Normal 2 30 7 3" xfId="3355"/>
    <cellStyle name="Normal 2 30 8" xfId="3356"/>
    <cellStyle name="Normal 2 30 8 2" xfId="3357"/>
    <cellStyle name="Normal 2 30 8 2 2" xfId="3358"/>
    <cellStyle name="Normal 2 30 8 3" xfId="3359"/>
    <cellStyle name="Normal 2 30 9" xfId="3360"/>
    <cellStyle name="Normal 2 30 9 2" xfId="3361"/>
    <cellStyle name="Normal 2 30 9 2 2" xfId="3362"/>
    <cellStyle name="Normal 2 30 9 3" xfId="3363"/>
    <cellStyle name="Normal 2 31" xfId="3364"/>
    <cellStyle name="Normal 2 31 10" xfId="3365"/>
    <cellStyle name="Normal 2 31 10 2" xfId="3366"/>
    <cellStyle name="Normal 2 31 10 2 2" xfId="3367"/>
    <cellStyle name="Normal 2 31 10 3" xfId="3368"/>
    <cellStyle name="Normal 2 31 11" xfId="3369"/>
    <cellStyle name="Normal 2 31 11 2" xfId="3370"/>
    <cellStyle name="Normal 2 31 11 2 2" xfId="3371"/>
    <cellStyle name="Normal 2 31 11 3" xfId="3372"/>
    <cellStyle name="Normal 2 31 12" xfId="3373"/>
    <cellStyle name="Normal 2 31 12 2" xfId="3374"/>
    <cellStyle name="Normal 2 31 12 2 2" xfId="3375"/>
    <cellStyle name="Normal 2 31 12 3" xfId="3376"/>
    <cellStyle name="Normal 2 31 13" xfId="3377"/>
    <cellStyle name="Normal 2 31 13 2" xfId="3378"/>
    <cellStyle name="Normal 2 31 13 2 2" xfId="3379"/>
    <cellStyle name="Normal 2 31 13 3" xfId="3380"/>
    <cellStyle name="Normal 2 31 14" xfId="3381"/>
    <cellStyle name="Normal 2 31 14 2" xfId="3382"/>
    <cellStyle name="Normal 2 31 14 2 2" xfId="3383"/>
    <cellStyle name="Normal 2 31 14 3" xfId="3384"/>
    <cellStyle name="Normal 2 31 15" xfId="3385"/>
    <cellStyle name="Normal 2 31 15 2" xfId="3386"/>
    <cellStyle name="Normal 2 31 15 2 2" xfId="3387"/>
    <cellStyle name="Normal 2 31 15 3" xfId="3388"/>
    <cellStyle name="Normal 2 31 16" xfId="3389"/>
    <cellStyle name="Normal 2 31 16 2" xfId="3390"/>
    <cellStyle name="Normal 2 31 16 2 2" xfId="3391"/>
    <cellStyle name="Normal 2 31 16 3" xfId="3392"/>
    <cellStyle name="Normal 2 31 17" xfId="3393"/>
    <cellStyle name="Normal 2 31 17 2" xfId="3394"/>
    <cellStyle name="Normal 2 31 17 2 2" xfId="3395"/>
    <cellStyle name="Normal 2 31 17 3" xfId="3396"/>
    <cellStyle name="Normal 2 31 18" xfId="3397"/>
    <cellStyle name="Normal 2 31 18 2" xfId="3398"/>
    <cellStyle name="Normal 2 31 18 2 2" xfId="3399"/>
    <cellStyle name="Normal 2 31 18 3" xfId="3400"/>
    <cellStyle name="Normal 2 31 19" xfId="3401"/>
    <cellStyle name="Normal 2 31 19 2" xfId="3402"/>
    <cellStyle name="Normal 2 31 19 2 2" xfId="3403"/>
    <cellStyle name="Normal 2 31 19 3" xfId="3404"/>
    <cellStyle name="Normal 2 31 2" xfId="3405"/>
    <cellStyle name="Normal 2 31 2 2" xfId="3406"/>
    <cellStyle name="Normal 2 31 2 2 2" xfId="3407"/>
    <cellStyle name="Normal 2 31 2 3" xfId="3408"/>
    <cellStyle name="Normal 2 31 20" xfId="3409"/>
    <cellStyle name="Normal 2 31 20 2" xfId="3410"/>
    <cellStyle name="Normal 2 31 20 2 2" xfId="3411"/>
    <cellStyle name="Normal 2 31 20 3" xfId="3412"/>
    <cellStyle name="Normal 2 31 21" xfId="3413"/>
    <cellStyle name="Normal 2 31 21 2" xfId="3414"/>
    <cellStyle name="Normal 2 31 21 2 2" xfId="3415"/>
    <cellStyle name="Normal 2 31 21 3" xfId="3416"/>
    <cellStyle name="Normal 2 31 22" xfId="3417"/>
    <cellStyle name="Normal 2 31 22 2" xfId="3418"/>
    <cellStyle name="Normal 2 31 22 2 2" xfId="3419"/>
    <cellStyle name="Normal 2 31 22 3" xfId="3420"/>
    <cellStyle name="Normal 2 31 23" xfId="3421"/>
    <cellStyle name="Normal 2 31 23 2" xfId="3422"/>
    <cellStyle name="Normal 2 31 23 2 2" xfId="3423"/>
    <cellStyle name="Normal 2 31 23 3" xfId="3424"/>
    <cellStyle name="Normal 2 31 24" xfId="3425"/>
    <cellStyle name="Normal 2 31 24 2" xfId="3426"/>
    <cellStyle name="Normal 2 31 25" xfId="3427"/>
    <cellStyle name="Normal 2 31 3" xfId="3428"/>
    <cellStyle name="Normal 2 31 3 2" xfId="3429"/>
    <cellStyle name="Normal 2 31 3 2 2" xfId="3430"/>
    <cellStyle name="Normal 2 31 3 3" xfId="3431"/>
    <cellStyle name="Normal 2 31 4" xfId="3432"/>
    <cellStyle name="Normal 2 31 4 2" xfId="3433"/>
    <cellStyle name="Normal 2 31 4 2 2" xfId="3434"/>
    <cellStyle name="Normal 2 31 4 3" xfId="3435"/>
    <cellStyle name="Normal 2 31 5" xfId="3436"/>
    <cellStyle name="Normal 2 31 5 2" xfId="3437"/>
    <cellStyle name="Normal 2 31 5 2 2" xfId="3438"/>
    <cellStyle name="Normal 2 31 5 3" xfId="3439"/>
    <cellStyle name="Normal 2 31 6" xfId="3440"/>
    <cellStyle name="Normal 2 31 6 2" xfId="3441"/>
    <cellStyle name="Normal 2 31 6 2 2" xfId="3442"/>
    <cellStyle name="Normal 2 31 6 3" xfId="3443"/>
    <cellStyle name="Normal 2 31 7" xfId="3444"/>
    <cellStyle name="Normal 2 31 7 2" xfId="3445"/>
    <cellStyle name="Normal 2 31 7 2 2" xfId="3446"/>
    <cellStyle name="Normal 2 31 7 3" xfId="3447"/>
    <cellStyle name="Normal 2 31 8" xfId="3448"/>
    <cellStyle name="Normal 2 31 8 2" xfId="3449"/>
    <cellStyle name="Normal 2 31 8 2 2" xfId="3450"/>
    <cellStyle name="Normal 2 31 8 3" xfId="3451"/>
    <cellStyle name="Normal 2 31 9" xfId="3452"/>
    <cellStyle name="Normal 2 31 9 2" xfId="3453"/>
    <cellStyle name="Normal 2 31 9 2 2" xfId="3454"/>
    <cellStyle name="Normal 2 31 9 3" xfId="3455"/>
    <cellStyle name="Normal 2 32" xfId="3456"/>
    <cellStyle name="Normal 2 32 10" xfId="3457"/>
    <cellStyle name="Normal 2 32 10 2" xfId="3458"/>
    <cellStyle name="Normal 2 32 10 2 2" xfId="3459"/>
    <cellStyle name="Normal 2 32 10 3" xfId="3460"/>
    <cellStyle name="Normal 2 32 11" xfId="3461"/>
    <cellStyle name="Normal 2 32 11 2" xfId="3462"/>
    <cellStyle name="Normal 2 32 11 2 2" xfId="3463"/>
    <cellStyle name="Normal 2 32 11 3" xfId="3464"/>
    <cellStyle name="Normal 2 32 12" xfId="3465"/>
    <cellStyle name="Normal 2 32 12 2" xfId="3466"/>
    <cellStyle name="Normal 2 32 12 2 2" xfId="3467"/>
    <cellStyle name="Normal 2 32 12 3" xfId="3468"/>
    <cellStyle name="Normal 2 32 13" xfId="3469"/>
    <cellStyle name="Normal 2 32 13 2" xfId="3470"/>
    <cellStyle name="Normal 2 32 13 2 2" xfId="3471"/>
    <cellStyle name="Normal 2 32 13 3" xfId="3472"/>
    <cellStyle name="Normal 2 32 14" xfId="3473"/>
    <cellStyle name="Normal 2 32 14 2" xfId="3474"/>
    <cellStyle name="Normal 2 32 14 2 2" xfId="3475"/>
    <cellStyle name="Normal 2 32 14 3" xfId="3476"/>
    <cellStyle name="Normal 2 32 15" xfId="3477"/>
    <cellStyle name="Normal 2 32 15 2" xfId="3478"/>
    <cellStyle name="Normal 2 32 15 2 2" xfId="3479"/>
    <cellStyle name="Normal 2 32 15 3" xfId="3480"/>
    <cellStyle name="Normal 2 32 16" xfId="3481"/>
    <cellStyle name="Normal 2 32 16 2" xfId="3482"/>
    <cellStyle name="Normal 2 32 16 2 2" xfId="3483"/>
    <cellStyle name="Normal 2 32 16 3" xfId="3484"/>
    <cellStyle name="Normal 2 32 17" xfId="3485"/>
    <cellStyle name="Normal 2 32 17 2" xfId="3486"/>
    <cellStyle name="Normal 2 32 17 2 2" xfId="3487"/>
    <cellStyle name="Normal 2 32 17 3" xfId="3488"/>
    <cellStyle name="Normal 2 32 18" xfId="3489"/>
    <cellStyle name="Normal 2 32 18 2" xfId="3490"/>
    <cellStyle name="Normal 2 32 18 2 2" xfId="3491"/>
    <cellStyle name="Normal 2 32 18 3" xfId="3492"/>
    <cellStyle name="Normal 2 32 19" xfId="3493"/>
    <cellStyle name="Normal 2 32 19 2" xfId="3494"/>
    <cellStyle name="Normal 2 32 19 2 2" xfId="3495"/>
    <cellStyle name="Normal 2 32 19 3" xfId="3496"/>
    <cellStyle name="Normal 2 32 2" xfId="3497"/>
    <cellStyle name="Normal 2 32 2 2" xfId="3498"/>
    <cellStyle name="Normal 2 32 2 2 2" xfId="3499"/>
    <cellStyle name="Normal 2 32 2 3" xfId="3500"/>
    <cellStyle name="Normal 2 32 20" xfId="3501"/>
    <cellStyle name="Normal 2 32 20 2" xfId="3502"/>
    <cellStyle name="Normal 2 32 20 2 2" xfId="3503"/>
    <cellStyle name="Normal 2 32 20 3" xfId="3504"/>
    <cellStyle name="Normal 2 32 21" xfId="3505"/>
    <cellStyle name="Normal 2 32 21 2" xfId="3506"/>
    <cellStyle name="Normal 2 32 21 2 2" xfId="3507"/>
    <cellStyle name="Normal 2 32 21 3" xfId="3508"/>
    <cellStyle name="Normal 2 32 22" xfId="3509"/>
    <cellStyle name="Normal 2 32 22 2" xfId="3510"/>
    <cellStyle name="Normal 2 32 22 2 2" xfId="3511"/>
    <cellStyle name="Normal 2 32 22 3" xfId="3512"/>
    <cellStyle name="Normal 2 32 23" xfId="3513"/>
    <cellStyle name="Normal 2 32 23 2" xfId="3514"/>
    <cellStyle name="Normal 2 32 23 2 2" xfId="3515"/>
    <cellStyle name="Normal 2 32 23 3" xfId="3516"/>
    <cellStyle name="Normal 2 32 24" xfId="3517"/>
    <cellStyle name="Normal 2 32 24 2" xfId="3518"/>
    <cellStyle name="Normal 2 32 25" xfId="3519"/>
    <cellStyle name="Normal 2 32 3" xfId="3520"/>
    <cellStyle name="Normal 2 32 3 2" xfId="3521"/>
    <cellStyle name="Normal 2 32 3 2 2" xfId="3522"/>
    <cellStyle name="Normal 2 32 3 3" xfId="3523"/>
    <cellStyle name="Normal 2 32 4" xfId="3524"/>
    <cellStyle name="Normal 2 32 4 2" xfId="3525"/>
    <cellStyle name="Normal 2 32 4 2 2" xfId="3526"/>
    <cellStyle name="Normal 2 32 4 3" xfId="3527"/>
    <cellStyle name="Normal 2 32 5" xfId="3528"/>
    <cellStyle name="Normal 2 32 5 2" xfId="3529"/>
    <cellStyle name="Normal 2 32 5 2 2" xfId="3530"/>
    <cellStyle name="Normal 2 32 5 3" xfId="3531"/>
    <cellStyle name="Normal 2 32 6" xfId="3532"/>
    <cellStyle name="Normal 2 32 6 2" xfId="3533"/>
    <cellStyle name="Normal 2 32 6 2 2" xfId="3534"/>
    <cellStyle name="Normal 2 32 6 3" xfId="3535"/>
    <cellStyle name="Normal 2 32 7" xfId="3536"/>
    <cellStyle name="Normal 2 32 7 2" xfId="3537"/>
    <cellStyle name="Normal 2 32 7 2 2" xfId="3538"/>
    <cellStyle name="Normal 2 32 7 3" xfId="3539"/>
    <cellStyle name="Normal 2 32 8" xfId="3540"/>
    <cellStyle name="Normal 2 32 8 2" xfId="3541"/>
    <cellStyle name="Normal 2 32 8 2 2" xfId="3542"/>
    <cellStyle name="Normal 2 32 8 3" xfId="3543"/>
    <cellStyle name="Normal 2 32 9" xfId="3544"/>
    <cellStyle name="Normal 2 32 9 2" xfId="3545"/>
    <cellStyle name="Normal 2 32 9 2 2" xfId="3546"/>
    <cellStyle name="Normal 2 32 9 3" xfId="3547"/>
    <cellStyle name="Normal 2 33" xfId="3548"/>
    <cellStyle name="Normal 2 33 10" xfId="3549"/>
    <cellStyle name="Normal 2 33 10 2" xfId="3550"/>
    <cellStyle name="Normal 2 33 10 2 2" xfId="3551"/>
    <cellStyle name="Normal 2 33 10 3" xfId="3552"/>
    <cellStyle name="Normal 2 33 11" xfId="3553"/>
    <cellStyle name="Normal 2 33 11 2" xfId="3554"/>
    <cellStyle name="Normal 2 33 11 2 2" xfId="3555"/>
    <cellStyle name="Normal 2 33 11 3" xfId="3556"/>
    <cellStyle name="Normal 2 33 12" xfId="3557"/>
    <cellStyle name="Normal 2 33 12 2" xfId="3558"/>
    <cellStyle name="Normal 2 33 12 2 2" xfId="3559"/>
    <cellStyle name="Normal 2 33 12 3" xfId="3560"/>
    <cellStyle name="Normal 2 33 13" xfId="3561"/>
    <cellStyle name="Normal 2 33 13 2" xfId="3562"/>
    <cellStyle name="Normal 2 33 13 2 2" xfId="3563"/>
    <cellStyle name="Normal 2 33 13 3" xfId="3564"/>
    <cellStyle name="Normal 2 33 14" xfId="3565"/>
    <cellStyle name="Normal 2 33 14 2" xfId="3566"/>
    <cellStyle name="Normal 2 33 14 2 2" xfId="3567"/>
    <cellStyle name="Normal 2 33 14 3" xfId="3568"/>
    <cellStyle name="Normal 2 33 15" xfId="3569"/>
    <cellStyle name="Normal 2 33 15 2" xfId="3570"/>
    <cellStyle name="Normal 2 33 15 2 2" xfId="3571"/>
    <cellStyle name="Normal 2 33 15 3" xfId="3572"/>
    <cellStyle name="Normal 2 33 16" xfId="3573"/>
    <cellStyle name="Normal 2 33 16 2" xfId="3574"/>
    <cellStyle name="Normal 2 33 16 2 2" xfId="3575"/>
    <cellStyle name="Normal 2 33 16 3" xfId="3576"/>
    <cellStyle name="Normal 2 33 17" xfId="3577"/>
    <cellStyle name="Normal 2 33 17 2" xfId="3578"/>
    <cellStyle name="Normal 2 33 17 2 2" xfId="3579"/>
    <cellStyle name="Normal 2 33 17 3" xfId="3580"/>
    <cellStyle name="Normal 2 33 18" xfId="3581"/>
    <cellStyle name="Normal 2 33 18 2" xfId="3582"/>
    <cellStyle name="Normal 2 33 18 2 2" xfId="3583"/>
    <cellStyle name="Normal 2 33 18 3" xfId="3584"/>
    <cellStyle name="Normal 2 33 19" xfId="3585"/>
    <cellStyle name="Normal 2 33 19 2" xfId="3586"/>
    <cellStyle name="Normal 2 33 19 2 2" xfId="3587"/>
    <cellStyle name="Normal 2 33 19 3" xfId="3588"/>
    <cellStyle name="Normal 2 33 2" xfId="3589"/>
    <cellStyle name="Normal 2 33 2 2" xfId="3590"/>
    <cellStyle name="Normal 2 33 2 2 2" xfId="3591"/>
    <cellStyle name="Normal 2 33 2 3" xfId="3592"/>
    <cellStyle name="Normal 2 33 20" xfId="3593"/>
    <cellStyle name="Normal 2 33 20 2" xfId="3594"/>
    <cellStyle name="Normal 2 33 20 2 2" xfId="3595"/>
    <cellStyle name="Normal 2 33 20 3" xfId="3596"/>
    <cellStyle name="Normal 2 33 21" xfId="3597"/>
    <cellStyle name="Normal 2 33 21 2" xfId="3598"/>
    <cellStyle name="Normal 2 33 21 2 2" xfId="3599"/>
    <cellStyle name="Normal 2 33 21 3" xfId="3600"/>
    <cellStyle name="Normal 2 33 22" xfId="3601"/>
    <cellStyle name="Normal 2 33 22 2" xfId="3602"/>
    <cellStyle name="Normal 2 33 22 2 2" xfId="3603"/>
    <cellStyle name="Normal 2 33 22 3" xfId="3604"/>
    <cellStyle name="Normal 2 33 23" xfId="3605"/>
    <cellStyle name="Normal 2 33 23 2" xfId="3606"/>
    <cellStyle name="Normal 2 33 23 2 2" xfId="3607"/>
    <cellStyle name="Normal 2 33 23 3" xfId="3608"/>
    <cellStyle name="Normal 2 33 24" xfId="3609"/>
    <cellStyle name="Normal 2 33 24 2" xfId="3610"/>
    <cellStyle name="Normal 2 33 25" xfId="3611"/>
    <cellStyle name="Normal 2 33 3" xfId="3612"/>
    <cellStyle name="Normal 2 33 3 2" xfId="3613"/>
    <cellStyle name="Normal 2 33 3 2 2" xfId="3614"/>
    <cellStyle name="Normal 2 33 3 3" xfId="3615"/>
    <cellStyle name="Normal 2 33 4" xfId="3616"/>
    <cellStyle name="Normal 2 33 4 2" xfId="3617"/>
    <cellStyle name="Normal 2 33 4 2 2" xfId="3618"/>
    <cellStyle name="Normal 2 33 4 3" xfId="3619"/>
    <cellStyle name="Normal 2 33 5" xfId="3620"/>
    <cellStyle name="Normal 2 33 5 2" xfId="3621"/>
    <cellStyle name="Normal 2 33 5 2 2" xfId="3622"/>
    <cellStyle name="Normal 2 33 5 3" xfId="3623"/>
    <cellStyle name="Normal 2 33 6" xfId="3624"/>
    <cellStyle name="Normal 2 33 6 2" xfId="3625"/>
    <cellStyle name="Normal 2 33 6 2 2" xfId="3626"/>
    <cellStyle name="Normal 2 33 6 3" xfId="3627"/>
    <cellStyle name="Normal 2 33 7" xfId="3628"/>
    <cellStyle name="Normal 2 33 7 2" xfId="3629"/>
    <cellStyle name="Normal 2 33 7 2 2" xfId="3630"/>
    <cellStyle name="Normal 2 33 7 3" xfId="3631"/>
    <cellStyle name="Normal 2 33 8" xfId="3632"/>
    <cellStyle name="Normal 2 33 8 2" xfId="3633"/>
    <cellStyle name="Normal 2 33 8 2 2" xfId="3634"/>
    <cellStyle name="Normal 2 33 8 3" xfId="3635"/>
    <cellStyle name="Normal 2 33 9" xfId="3636"/>
    <cellStyle name="Normal 2 33 9 2" xfId="3637"/>
    <cellStyle name="Normal 2 33 9 2 2" xfId="3638"/>
    <cellStyle name="Normal 2 33 9 3" xfId="3639"/>
    <cellStyle name="Normal 2 34" xfId="3640"/>
    <cellStyle name="Normal 2 34 10" xfId="3641"/>
    <cellStyle name="Normal 2 34 10 2" xfId="3642"/>
    <cellStyle name="Normal 2 34 10 2 2" xfId="3643"/>
    <cellStyle name="Normal 2 34 10 3" xfId="3644"/>
    <cellStyle name="Normal 2 34 11" xfId="3645"/>
    <cellStyle name="Normal 2 34 11 2" xfId="3646"/>
    <cellStyle name="Normal 2 34 11 2 2" xfId="3647"/>
    <cellStyle name="Normal 2 34 11 3" xfId="3648"/>
    <cellStyle name="Normal 2 34 12" xfId="3649"/>
    <cellStyle name="Normal 2 34 12 2" xfId="3650"/>
    <cellStyle name="Normal 2 34 12 2 2" xfId="3651"/>
    <cellStyle name="Normal 2 34 12 3" xfId="3652"/>
    <cellStyle name="Normal 2 34 13" xfId="3653"/>
    <cellStyle name="Normal 2 34 13 2" xfId="3654"/>
    <cellStyle name="Normal 2 34 13 2 2" xfId="3655"/>
    <cellStyle name="Normal 2 34 13 3" xfId="3656"/>
    <cellStyle name="Normal 2 34 14" xfId="3657"/>
    <cellStyle name="Normal 2 34 14 2" xfId="3658"/>
    <cellStyle name="Normal 2 34 14 2 2" xfId="3659"/>
    <cellStyle name="Normal 2 34 14 3" xfId="3660"/>
    <cellStyle name="Normal 2 34 15" xfId="3661"/>
    <cellStyle name="Normal 2 34 15 2" xfId="3662"/>
    <cellStyle name="Normal 2 34 15 2 2" xfId="3663"/>
    <cellStyle name="Normal 2 34 15 3" xfId="3664"/>
    <cellStyle name="Normal 2 34 16" xfId="3665"/>
    <cellStyle name="Normal 2 34 16 2" xfId="3666"/>
    <cellStyle name="Normal 2 34 16 2 2" xfId="3667"/>
    <cellStyle name="Normal 2 34 16 3" xfId="3668"/>
    <cellStyle name="Normal 2 34 17" xfId="3669"/>
    <cellStyle name="Normal 2 34 17 2" xfId="3670"/>
    <cellStyle name="Normal 2 34 17 2 2" xfId="3671"/>
    <cellStyle name="Normal 2 34 17 3" xfId="3672"/>
    <cellStyle name="Normal 2 34 18" xfId="3673"/>
    <cellStyle name="Normal 2 34 18 2" xfId="3674"/>
    <cellStyle name="Normal 2 34 18 2 2" xfId="3675"/>
    <cellStyle name="Normal 2 34 18 3" xfId="3676"/>
    <cellStyle name="Normal 2 34 19" xfId="3677"/>
    <cellStyle name="Normal 2 34 19 2" xfId="3678"/>
    <cellStyle name="Normal 2 34 19 2 2" xfId="3679"/>
    <cellStyle name="Normal 2 34 19 3" xfId="3680"/>
    <cellStyle name="Normal 2 34 2" xfId="3681"/>
    <cellStyle name="Normal 2 34 2 2" xfId="3682"/>
    <cellStyle name="Normal 2 34 2 2 2" xfId="3683"/>
    <cellStyle name="Normal 2 34 2 3" xfId="3684"/>
    <cellStyle name="Normal 2 34 20" xfId="3685"/>
    <cellStyle name="Normal 2 34 20 2" xfId="3686"/>
    <cellStyle name="Normal 2 34 20 2 2" xfId="3687"/>
    <cellStyle name="Normal 2 34 20 3" xfId="3688"/>
    <cellStyle name="Normal 2 34 21" xfId="3689"/>
    <cellStyle name="Normal 2 34 21 2" xfId="3690"/>
    <cellStyle name="Normal 2 34 21 2 2" xfId="3691"/>
    <cellStyle name="Normal 2 34 21 3" xfId="3692"/>
    <cellStyle name="Normal 2 34 22" xfId="3693"/>
    <cellStyle name="Normal 2 34 22 2" xfId="3694"/>
    <cellStyle name="Normal 2 34 22 2 2" xfId="3695"/>
    <cellStyle name="Normal 2 34 22 3" xfId="3696"/>
    <cellStyle name="Normal 2 34 23" xfId="3697"/>
    <cellStyle name="Normal 2 34 23 2" xfId="3698"/>
    <cellStyle name="Normal 2 34 23 2 2" xfId="3699"/>
    <cellStyle name="Normal 2 34 23 3" xfId="3700"/>
    <cellStyle name="Normal 2 34 24" xfId="3701"/>
    <cellStyle name="Normal 2 34 24 2" xfId="3702"/>
    <cellStyle name="Normal 2 34 25" xfId="3703"/>
    <cellStyle name="Normal 2 34 3" xfId="3704"/>
    <cellStyle name="Normal 2 34 3 2" xfId="3705"/>
    <cellStyle name="Normal 2 34 3 2 2" xfId="3706"/>
    <cellStyle name="Normal 2 34 3 3" xfId="3707"/>
    <cellStyle name="Normal 2 34 4" xfId="3708"/>
    <cellStyle name="Normal 2 34 4 2" xfId="3709"/>
    <cellStyle name="Normal 2 34 4 2 2" xfId="3710"/>
    <cellStyle name="Normal 2 34 4 3" xfId="3711"/>
    <cellStyle name="Normal 2 34 5" xfId="3712"/>
    <cellStyle name="Normal 2 34 5 2" xfId="3713"/>
    <cellStyle name="Normal 2 34 5 2 2" xfId="3714"/>
    <cellStyle name="Normal 2 34 5 3" xfId="3715"/>
    <cellStyle name="Normal 2 34 6" xfId="3716"/>
    <cellStyle name="Normal 2 34 6 2" xfId="3717"/>
    <cellStyle name="Normal 2 34 6 2 2" xfId="3718"/>
    <cellStyle name="Normal 2 34 6 3" xfId="3719"/>
    <cellStyle name="Normal 2 34 7" xfId="3720"/>
    <cellStyle name="Normal 2 34 7 2" xfId="3721"/>
    <cellStyle name="Normal 2 34 7 2 2" xfId="3722"/>
    <cellStyle name="Normal 2 34 7 3" xfId="3723"/>
    <cellStyle name="Normal 2 34 8" xfId="3724"/>
    <cellStyle name="Normal 2 34 8 2" xfId="3725"/>
    <cellStyle name="Normal 2 34 8 2 2" xfId="3726"/>
    <cellStyle name="Normal 2 34 8 3" xfId="3727"/>
    <cellStyle name="Normal 2 34 9" xfId="3728"/>
    <cellStyle name="Normal 2 34 9 2" xfId="3729"/>
    <cellStyle name="Normal 2 34 9 2 2" xfId="3730"/>
    <cellStyle name="Normal 2 34 9 3" xfId="3731"/>
    <cellStyle name="Normal 2 35" xfId="3732"/>
    <cellStyle name="Normal 2 35 10" xfId="3733"/>
    <cellStyle name="Normal 2 35 10 2" xfId="3734"/>
    <cellStyle name="Normal 2 35 10 2 2" xfId="3735"/>
    <cellStyle name="Normal 2 35 10 3" xfId="3736"/>
    <cellStyle name="Normal 2 35 11" xfId="3737"/>
    <cellStyle name="Normal 2 35 11 2" xfId="3738"/>
    <cellStyle name="Normal 2 35 11 2 2" xfId="3739"/>
    <cellStyle name="Normal 2 35 11 3" xfId="3740"/>
    <cellStyle name="Normal 2 35 12" xfId="3741"/>
    <cellStyle name="Normal 2 35 12 2" xfId="3742"/>
    <cellStyle name="Normal 2 35 12 2 2" xfId="3743"/>
    <cellStyle name="Normal 2 35 12 3" xfId="3744"/>
    <cellStyle name="Normal 2 35 13" xfId="3745"/>
    <cellStyle name="Normal 2 35 13 2" xfId="3746"/>
    <cellStyle name="Normal 2 35 13 2 2" xfId="3747"/>
    <cellStyle name="Normal 2 35 13 3" xfId="3748"/>
    <cellStyle name="Normal 2 35 14" xfId="3749"/>
    <cellStyle name="Normal 2 35 14 2" xfId="3750"/>
    <cellStyle name="Normal 2 35 14 2 2" xfId="3751"/>
    <cellStyle name="Normal 2 35 14 3" xfId="3752"/>
    <cellStyle name="Normal 2 35 15" xfId="3753"/>
    <cellStyle name="Normal 2 35 15 2" xfId="3754"/>
    <cellStyle name="Normal 2 35 15 2 2" xfId="3755"/>
    <cellStyle name="Normal 2 35 15 3" xfId="3756"/>
    <cellStyle name="Normal 2 35 16" xfId="3757"/>
    <cellStyle name="Normal 2 35 16 2" xfId="3758"/>
    <cellStyle name="Normal 2 35 16 2 2" xfId="3759"/>
    <cellStyle name="Normal 2 35 16 3" xfId="3760"/>
    <cellStyle name="Normal 2 35 17" xfId="3761"/>
    <cellStyle name="Normal 2 35 17 2" xfId="3762"/>
    <cellStyle name="Normal 2 35 17 2 2" xfId="3763"/>
    <cellStyle name="Normal 2 35 17 3" xfId="3764"/>
    <cellStyle name="Normal 2 35 18" xfId="3765"/>
    <cellStyle name="Normal 2 35 18 2" xfId="3766"/>
    <cellStyle name="Normal 2 35 18 2 2" xfId="3767"/>
    <cellStyle name="Normal 2 35 18 3" xfId="3768"/>
    <cellStyle name="Normal 2 35 19" xfId="3769"/>
    <cellStyle name="Normal 2 35 19 2" xfId="3770"/>
    <cellStyle name="Normal 2 35 19 2 2" xfId="3771"/>
    <cellStyle name="Normal 2 35 19 3" xfId="3772"/>
    <cellStyle name="Normal 2 35 2" xfId="3773"/>
    <cellStyle name="Normal 2 35 2 2" xfId="3774"/>
    <cellStyle name="Normal 2 35 2 2 2" xfId="3775"/>
    <cellStyle name="Normal 2 35 2 3" xfId="3776"/>
    <cellStyle name="Normal 2 35 20" xfId="3777"/>
    <cellStyle name="Normal 2 35 20 2" xfId="3778"/>
    <cellStyle name="Normal 2 35 20 2 2" xfId="3779"/>
    <cellStyle name="Normal 2 35 20 3" xfId="3780"/>
    <cellStyle name="Normal 2 35 21" xfId="3781"/>
    <cellStyle name="Normal 2 35 21 2" xfId="3782"/>
    <cellStyle name="Normal 2 35 21 2 2" xfId="3783"/>
    <cellStyle name="Normal 2 35 21 3" xfId="3784"/>
    <cellStyle name="Normal 2 35 22" xfId="3785"/>
    <cellStyle name="Normal 2 35 22 2" xfId="3786"/>
    <cellStyle name="Normal 2 35 22 2 2" xfId="3787"/>
    <cellStyle name="Normal 2 35 22 3" xfId="3788"/>
    <cellStyle name="Normal 2 35 23" xfId="3789"/>
    <cellStyle name="Normal 2 35 23 2" xfId="3790"/>
    <cellStyle name="Normal 2 35 23 2 2" xfId="3791"/>
    <cellStyle name="Normal 2 35 23 3" xfId="3792"/>
    <cellStyle name="Normal 2 35 24" xfId="3793"/>
    <cellStyle name="Normal 2 35 24 2" xfId="3794"/>
    <cellStyle name="Normal 2 35 25" xfId="3795"/>
    <cellStyle name="Normal 2 35 3" xfId="3796"/>
    <cellStyle name="Normal 2 35 3 2" xfId="3797"/>
    <cellStyle name="Normal 2 35 3 2 2" xfId="3798"/>
    <cellStyle name="Normal 2 35 3 3" xfId="3799"/>
    <cellStyle name="Normal 2 35 4" xfId="3800"/>
    <cellStyle name="Normal 2 35 4 2" xfId="3801"/>
    <cellStyle name="Normal 2 35 4 2 2" xfId="3802"/>
    <cellStyle name="Normal 2 35 4 3" xfId="3803"/>
    <cellStyle name="Normal 2 35 5" xfId="3804"/>
    <cellStyle name="Normal 2 35 5 2" xfId="3805"/>
    <cellStyle name="Normal 2 35 5 2 2" xfId="3806"/>
    <cellStyle name="Normal 2 35 5 3" xfId="3807"/>
    <cellStyle name="Normal 2 35 6" xfId="3808"/>
    <cellStyle name="Normal 2 35 6 2" xfId="3809"/>
    <cellStyle name="Normal 2 35 6 2 2" xfId="3810"/>
    <cellStyle name="Normal 2 35 6 3" xfId="3811"/>
    <cellStyle name="Normal 2 35 7" xfId="3812"/>
    <cellStyle name="Normal 2 35 7 2" xfId="3813"/>
    <cellStyle name="Normal 2 35 7 2 2" xfId="3814"/>
    <cellStyle name="Normal 2 35 7 3" xfId="3815"/>
    <cellStyle name="Normal 2 35 8" xfId="3816"/>
    <cellStyle name="Normal 2 35 8 2" xfId="3817"/>
    <cellStyle name="Normal 2 35 8 2 2" xfId="3818"/>
    <cellStyle name="Normal 2 35 8 3" xfId="3819"/>
    <cellStyle name="Normal 2 35 9" xfId="3820"/>
    <cellStyle name="Normal 2 35 9 2" xfId="3821"/>
    <cellStyle name="Normal 2 35 9 2 2" xfId="3822"/>
    <cellStyle name="Normal 2 35 9 3" xfId="3823"/>
    <cellStyle name="Normal 2 36" xfId="3824"/>
    <cellStyle name="Normal 2 36 10" xfId="3825"/>
    <cellStyle name="Normal 2 36 10 2" xfId="3826"/>
    <cellStyle name="Normal 2 36 10 2 2" xfId="3827"/>
    <cellStyle name="Normal 2 36 10 3" xfId="3828"/>
    <cellStyle name="Normal 2 36 11" xfId="3829"/>
    <cellStyle name="Normal 2 36 11 2" xfId="3830"/>
    <cellStyle name="Normal 2 36 11 2 2" xfId="3831"/>
    <cellStyle name="Normal 2 36 11 3" xfId="3832"/>
    <cellStyle name="Normal 2 36 12" xfId="3833"/>
    <cellStyle name="Normal 2 36 12 2" xfId="3834"/>
    <cellStyle name="Normal 2 36 12 2 2" xfId="3835"/>
    <cellStyle name="Normal 2 36 12 3" xfId="3836"/>
    <cellStyle name="Normal 2 36 13" xfId="3837"/>
    <cellStyle name="Normal 2 36 13 2" xfId="3838"/>
    <cellStyle name="Normal 2 36 13 2 2" xfId="3839"/>
    <cellStyle name="Normal 2 36 13 3" xfId="3840"/>
    <cellStyle name="Normal 2 36 14" xfId="3841"/>
    <cellStyle name="Normal 2 36 14 2" xfId="3842"/>
    <cellStyle name="Normal 2 36 14 2 2" xfId="3843"/>
    <cellStyle name="Normal 2 36 14 3" xfId="3844"/>
    <cellStyle name="Normal 2 36 15" xfId="3845"/>
    <cellStyle name="Normal 2 36 15 2" xfId="3846"/>
    <cellStyle name="Normal 2 36 15 2 2" xfId="3847"/>
    <cellStyle name="Normal 2 36 15 3" xfId="3848"/>
    <cellStyle name="Normal 2 36 16" xfId="3849"/>
    <cellStyle name="Normal 2 36 16 2" xfId="3850"/>
    <cellStyle name="Normal 2 36 16 2 2" xfId="3851"/>
    <cellStyle name="Normal 2 36 16 3" xfId="3852"/>
    <cellStyle name="Normal 2 36 17" xfId="3853"/>
    <cellStyle name="Normal 2 36 17 2" xfId="3854"/>
    <cellStyle name="Normal 2 36 17 2 2" xfId="3855"/>
    <cellStyle name="Normal 2 36 17 3" xfId="3856"/>
    <cellStyle name="Normal 2 36 18" xfId="3857"/>
    <cellStyle name="Normal 2 36 18 2" xfId="3858"/>
    <cellStyle name="Normal 2 36 18 2 2" xfId="3859"/>
    <cellStyle name="Normal 2 36 18 3" xfId="3860"/>
    <cellStyle name="Normal 2 36 19" xfId="3861"/>
    <cellStyle name="Normal 2 36 19 2" xfId="3862"/>
    <cellStyle name="Normal 2 36 19 2 2" xfId="3863"/>
    <cellStyle name="Normal 2 36 19 3" xfId="3864"/>
    <cellStyle name="Normal 2 36 2" xfId="3865"/>
    <cellStyle name="Normal 2 36 2 2" xfId="3866"/>
    <cellStyle name="Normal 2 36 2 2 2" xfId="3867"/>
    <cellStyle name="Normal 2 36 2 3" xfId="3868"/>
    <cellStyle name="Normal 2 36 20" xfId="3869"/>
    <cellStyle name="Normal 2 36 20 2" xfId="3870"/>
    <cellStyle name="Normal 2 36 20 2 2" xfId="3871"/>
    <cellStyle name="Normal 2 36 20 3" xfId="3872"/>
    <cellStyle name="Normal 2 36 21" xfId="3873"/>
    <cellStyle name="Normal 2 36 21 2" xfId="3874"/>
    <cellStyle name="Normal 2 36 21 2 2" xfId="3875"/>
    <cellStyle name="Normal 2 36 21 3" xfId="3876"/>
    <cellStyle name="Normal 2 36 22" xfId="3877"/>
    <cellStyle name="Normal 2 36 22 2" xfId="3878"/>
    <cellStyle name="Normal 2 36 22 2 2" xfId="3879"/>
    <cellStyle name="Normal 2 36 22 3" xfId="3880"/>
    <cellStyle name="Normal 2 36 23" xfId="3881"/>
    <cellStyle name="Normal 2 36 23 2" xfId="3882"/>
    <cellStyle name="Normal 2 36 23 2 2" xfId="3883"/>
    <cellStyle name="Normal 2 36 23 3" xfId="3884"/>
    <cellStyle name="Normal 2 36 24" xfId="3885"/>
    <cellStyle name="Normal 2 36 24 2" xfId="3886"/>
    <cellStyle name="Normal 2 36 25" xfId="3887"/>
    <cellStyle name="Normal 2 36 3" xfId="3888"/>
    <cellStyle name="Normal 2 36 3 2" xfId="3889"/>
    <cellStyle name="Normal 2 36 3 2 2" xfId="3890"/>
    <cellStyle name="Normal 2 36 3 3" xfId="3891"/>
    <cellStyle name="Normal 2 36 4" xfId="3892"/>
    <cellStyle name="Normal 2 36 4 2" xfId="3893"/>
    <cellStyle name="Normal 2 36 4 2 2" xfId="3894"/>
    <cellStyle name="Normal 2 36 4 3" xfId="3895"/>
    <cellStyle name="Normal 2 36 5" xfId="3896"/>
    <cellStyle name="Normal 2 36 5 2" xfId="3897"/>
    <cellStyle name="Normal 2 36 5 2 2" xfId="3898"/>
    <cellStyle name="Normal 2 36 5 3" xfId="3899"/>
    <cellStyle name="Normal 2 36 6" xfId="3900"/>
    <cellStyle name="Normal 2 36 6 2" xfId="3901"/>
    <cellStyle name="Normal 2 36 6 2 2" xfId="3902"/>
    <cellStyle name="Normal 2 36 6 3" xfId="3903"/>
    <cellStyle name="Normal 2 36 7" xfId="3904"/>
    <cellStyle name="Normal 2 36 7 2" xfId="3905"/>
    <cellStyle name="Normal 2 36 7 2 2" xfId="3906"/>
    <cellStyle name="Normal 2 36 7 3" xfId="3907"/>
    <cellStyle name="Normal 2 36 8" xfId="3908"/>
    <cellStyle name="Normal 2 36 8 2" xfId="3909"/>
    <cellStyle name="Normal 2 36 8 2 2" xfId="3910"/>
    <cellStyle name="Normal 2 36 8 3" xfId="3911"/>
    <cellStyle name="Normal 2 36 9" xfId="3912"/>
    <cellStyle name="Normal 2 36 9 2" xfId="3913"/>
    <cellStyle name="Normal 2 36 9 2 2" xfId="3914"/>
    <cellStyle name="Normal 2 36 9 3" xfId="3915"/>
    <cellStyle name="Normal 2 37" xfId="3916"/>
    <cellStyle name="Normal 2 37 10" xfId="3917"/>
    <cellStyle name="Normal 2 37 10 2" xfId="3918"/>
    <cellStyle name="Normal 2 37 10 2 2" xfId="3919"/>
    <cellStyle name="Normal 2 37 10 3" xfId="3920"/>
    <cellStyle name="Normal 2 37 11" xfId="3921"/>
    <cellStyle name="Normal 2 37 11 2" xfId="3922"/>
    <cellStyle name="Normal 2 37 11 2 2" xfId="3923"/>
    <cellStyle name="Normal 2 37 11 3" xfId="3924"/>
    <cellStyle name="Normal 2 37 12" xfId="3925"/>
    <cellStyle name="Normal 2 37 12 2" xfId="3926"/>
    <cellStyle name="Normal 2 37 12 2 2" xfId="3927"/>
    <cellStyle name="Normal 2 37 12 3" xfId="3928"/>
    <cellStyle name="Normal 2 37 13" xfId="3929"/>
    <cellStyle name="Normal 2 37 13 2" xfId="3930"/>
    <cellStyle name="Normal 2 37 13 2 2" xfId="3931"/>
    <cellStyle name="Normal 2 37 13 3" xfId="3932"/>
    <cellStyle name="Normal 2 37 14" xfId="3933"/>
    <cellStyle name="Normal 2 37 14 2" xfId="3934"/>
    <cellStyle name="Normal 2 37 14 2 2" xfId="3935"/>
    <cellStyle name="Normal 2 37 14 3" xfId="3936"/>
    <cellStyle name="Normal 2 37 15" xfId="3937"/>
    <cellStyle name="Normal 2 37 15 2" xfId="3938"/>
    <cellStyle name="Normal 2 37 15 2 2" xfId="3939"/>
    <cellStyle name="Normal 2 37 15 3" xfId="3940"/>
    <cellStyle name="Normal 2 37 16" xfId="3941"/>
    <cellStyle name="Normal 2 37 16 2" xfId="3942"/>
    <cellStyle name="Normal 2 37 16 2 2" xfId="3943"/>
    <cellStyle name="Normal 2 37 16 3" xfId="3944"/>
    <cellStyle name="Normal 2 37 17" xfId="3945"/>
    <cellStyle name="Normal 2 37 17 2" xfId="3946"/>
    <cellStyle name="Normal 2 37 17 2 2" xfId="3947"/>
    <cellStyle name="Normal 2 37 17 3" xfId="3948"/>
    <cellStyle name="Normal 2 37 18" xfId="3949"/>
    <cellStyle name="Normal 2 37 18 2" xfId="3950"/>
    <cellStyle name="Normal 2 37 18 2 2" xfId="3951"/>
    <cellStyle name="Normal 2 37 18 3" xfId="3952"/>
    <cellStyle name="Normal 2 37 19" xfId="3953"/>
    <cellStyle name="Normal 2 37 19 2" xfId="3954"/>
    <cellStyle name="Normal 2 37 19 2 2" xfId="3955"/>
    <cellStyle name="Normal 2 37 19 3" xfId="3956"/>
    <cellStyle name="Normal 2 37 2" xfId="3957"/>
    <cellStyle name="Normal 2 37 2 2" xfId="3958"/>
    <cellStyle name="Normal 2 37 2 2 2" xfId="3959"/>
    <cellStyle name="Normal 2 37 2 3" xfId="3960"/>
    <cellStyle name="Normal 2 37 20" xfId="3961"/>
    <cellStyle name="Normal 2 37 20 2" xfId="3962"/>
    <cellStyle name="Normal 2 37 20 2 2" xfId="3963"/>
    <cellStyle name="Normal 2 37 20 3" xfId="3964"/>
    <cellStyle name="Normal 2 37 21" xfId="3965"/>
    <cellStyle name="Normal 2 37 21 2" xfId="3966"/>
    <cellStyle name="Normal 2 37 21 2 2" xfId="3967"/>
    <cellStyle name="Normal 2 37 21 3" xfId="3968"/>
    <cellStyle name="Normal 2 37 22" xfId="3969"/>
    <cellStyle name="Normal 2 37 22 2" xfId="3970"/>
    <cellStyle name="Normal 2 37 22 2 2" xfId="3971"/>
    <cellStyle name="Normal 2 37 22 3" xfId="3972"/>
    <cellStyle name="Normal 2 37 23" xfId="3973"/>
    <cellStyle name="Normal 2 37 23 2" xfId="3974"/>
    <cellStyle name="Normal 2 37 23 2 2" xfId="3975"/>
    <cellStyle name="Normal 2 37 23 3" xfId="3976"/>
    <cellStyle name="Normal 2 37 24" xfId="3977"/>
    <cellStyle name="Normal 2 37 24 2" xfId="3978"/>
    <cellStyle name="Normal 2 37 25" xfId="3979"/>
    <cellStyle name="Normal 2 37 3" xfId="3980"/>
    <cellStyle name="Normal 2 37 3 2" xfId="3981"/>
    <cellStyle name="Normal 2 37 3 2 2" xfId="3982"/>
    <cellStyle name="Normal 2 37 3 3" xfId="3983"/>
    <cellStyle name="Normal 2 37 4" xfId="3984"/>
    <cellStyle name="Normal 2 37 4 2" xfId="3985"/>
    <cellStyle name="Normal 2 37 4 2 2" xfId="3986"/>
    <cellStyle name="Normal 2 37 4 3" xfId="3987"/>
    <cellStyle name="Normal 2 37 5" xfId="3988"/>
    <cellStyle name="Normal 2 37 5 2" xfId="3989"/>
    <cellStyle name="Normal 2 37 5 2 2" xfId="3990"/>
    <cellStyle name="Normal 2 37 5 3" xfId="3991"/>
    <cellStyle name="Normal 2 37 6" xfId="3992"/>
    <cellStyle name="Normal 2 37 6 2" xfId="3993"/>
    <cellStyle name="Normal 2 37 6 2 2" xfId="3994"/>
    <cellStyle name="Normal 2 37 6 3" xfId="3995"/>
    <cellStyle name="Normal 2 37 7" xfId="3996"/>
    <cellStyle name="Normal 2 37 7 2" xfId="3997"/>
    <cellStyle name="Normal 2 37 7 2 2" xfId="3998"/>
    <cellStyle name="Normal 2 37 7 3" xfId="3999"/>
    <cellStyle name="Normal 2 37 8" xfId="4000"/>
    <cellStyle name="Normal 2 37 8 2" xfId="4001"/>
    <cellStyle name="Normal 2 37 8 2 2" xfId="4002"/>
    <cellStyle name="Normal 2 37 8 3" xfId="4003"/>
    <cellStyle name="Normal 2 37 9" xfId="4004"/>
    <cellStyle name="Normal 2 37 9 2" xfId="4005"/>
    <cellStyle name="Normal 2 37 9 2 2" xfId="4006"/>
    <cellStyle name="Normal 2 37 9 3" xfId="4007"/>
    <cellStyle name="Normal 2 38" xfId="4008"/>
    <cellStyle name="Normal 2 38 10" xfId="4009"/>
    <cellStyle name="Normal 2 38 10 2" xfId="4010"/>
    <cellStyle name="Normal 2 38 10 2 2" xfId="4011"/>
    <cellStyle name="Normal 2 38 10 3" xfId="4012"/>
    <cellStyle name="Normal 2 38 11" xfId="4013"/>
    <cellStyle name="Normal 2 38 11 2" xfId="4014"/>
    <cellStyle name="Normal 2 38 11 2 2" xfId="4015"/>
    <cellStyle name="Normal 2 38 11 3" xfId="4016"/>
    <cellStyle name="Normal 2 38 12" xfId="4017"/>
    <cellStyle name="Normal 2 38 12 2" xfId="4018"/>
    <cellStyle name="Normal 2 38 12 2 2" xfId="4019"/>
    <cellStyle name="Normal 2 38 12 3" xfId="4020"/>
    <cellStyle name="Normal 2 38 13" xfId="4021"/>
    <cellStyle name="Normal 2 38 13 2" xfId="4022"/>
    <cellStyle name="Normal 2 38 13 2 2" xfId="4023"/>
    <cellStyle name="Normal 2 38 13 3" xfId="4024"/>
    <cellStyle name="Normal 2 38 14" xfId="4025"/>
    <cellStyle name="Normal 2 38 14 2" xfId="4026"/>
    <cellStyle name="Normal 2 38 14 2 2" xfId="4027"/>
    <cellStyle name="Normal 2 38 14 3" xfId="4028"/>
    <cellStyle name="Normal 2 38 15" xfId="4029"/>
    <cellStyle name="Normal 2 38 15 2" xfId="4030"/>
    <cellStyle name="Normal 2 38 15 2 2" xfId="4031"/>
    <cellStyle name="Normal 2 38 15 3" xfId="4032"/>
    <cellStyle name="Normal 2 38 16" xfId="4033"/>
    <cellStyle name="Normal 2 38 16 2" xfId="4034"/>
    <cellStyle name="Normal 2 38 16 2 2" xfId="4035"/>
    <cellStyle name="Normal 2 38 16 3" xfId="4036"/>
    <cellStyle name="Normal 2 38 17" xfId="4037"/>
    <cellStyle name="Normal 2 38 17 2" xfId="4038"/>
    <cellStyle name="Normal 2 38 17 2 2" xfId="4039"/>
    <cellStyle name="Normal 2 38 17 3" xfId="4040"/>
    <cellStyle name="Normal 2 38 18" xfId="4041"/>
    <cellStyle name="Normal 2 38 18 2" xfId="4042"/>
    <cellStyle name="Normal 2 38 18 2 2" xfId="4043"/>
    <cellStyle name="Normal 2 38 18 3" xfId="4044"/>
    <cellStyle name="Normal 2 38 19" xfId="4045"/>
    <cellStyle name="Normal 2 38 19 2" xfId="4046"/>
    <cellStyle name="Normal 2 38 19 2 2" xfId="4047"/>
    <cellStyle name="Normal 2 38 19 3" xfId="4048"/>
    <cellStyle name="Normal 2 38 2" xfId="4049"/>
    <cellStyle name="Normal 2 38 2 2" xfId="4050"/>
    <cellStyle name="Normal 2 38 2 2 2" xfId="4051"/>
    <cellStyle name="Normal 2 38 2 3" xfId="4052"/>
    <cellStyle name="Normal 2 38 20" xfId="4053"/>
    <cellStyle name="Normal 2 38 20 2" xfId="4054"/>
    <cellStyle name="Normal 2 38 20 2 2" xfId="4055"/>
    <cellStyle name="Normal 2 38 20 3" xfId="4056"/>
    <cellStyle name="Normal 2 38 21" xfId="4057"/>
    <cellStyle name="Normal 2 38 21 2" xfId="4058"/>
    <cellStyle name="Normal 2 38 21 2 2" xfId="4059"/>
    <cellStyle name="Normal 2 38 21 3" xfId="4060"/>
    <cellStyle name="Normal 2 38 22" xfId="4061"/>
    <cellStyle name="Normal 2 38 22 2" xfId="4062"/>
    <cellStyle name="Normal 2 38 22 2 2" xfId="4063"/>
    <cellStyle name="Normal 2 38 22 3" xfId="4064"/>
    <cellStyle name="Normal 2 38 23" xfId="4065"/>
    <cellStyle name="Normal 2 38 23 2" xfId="4066"/>
    <cellStyle name="Normal 2 38 23 2 2" xfId="4067"/>
    <cellStyle name="Normal 2 38 23 3" xfId="4068"/>
    <cellStyle name="Normal 2 38 24" xfId="4069"/>
    <cellStyle name="Normal 2 38 24 2" xfId="4070"/>
    <cellStyle name="Normal 2 38 25" xfId="4071"/>
    <cellStyle name="Normal 2 38 3" xfId="4072"/>
    <cellStyle name="Normal 2 38 3 2" xfId="4073"/>
    <cellStyle name="Normal 2 38 3 2 2" xfId="4074"/>
    <cellStyle name="Normal 2 38 3 3" xfId="4075"/>
    <cellStyle name="Normal 2 38 4" xfId="4076"/>
    <cellStyle name="Normal 2 38 4 2" xfId="4077"/>
    <cellStyle name="Normal 2 38 4 2 2" xfId="4078"/>
    <cellStyle name="Normal 2 38 4 3" xfId="4079"/>
    <cellStyle name="Normal 2 38 5" xfId="4080"/>
    <cellStyle name="Normal 2 38 5 2" xfId="4081"/>
    <cellStyle name="Normal 2 38 5 2 2" xfId="4082"/>
    <cellStyle name="Normal 2 38 5 3" xfId="4083"/>
    <cellStyle name="Normal 2 38 6" xfId="4084"/>
    <cellStyle name="Normal 2 38 6 2" xfId="4085"/>
    <cellStyle name="Normal 2 38 6 2 2" xfId="4086"/>
    <cellStyle name="Normal 2 38 6 3" xfId="4087"/>
    <cellStyle name="Normal 2 38 7" xfId="4088"/>
    <cellStyle name="Normal 2 38 7 2" xfId="4089"/>
    <cellStyle name="Normal 2 38 7 2 2" xfId="4090"/>
    <cellStyle name="Normal 2 38 7 3" xfId="4091"/>
    <cellStyle name="Normal 2 38 8" xfId="4092"/>
    <cellStyle name="Normal 2 38 8 2" xfId="4093"/>
    <cellStyle name="Normal 2 38 8 2 2" xfId="4094"/>
    <cellStyle name="Normal 2 38 8 3" xfId="4095"/>
    <cellStyle name="Normal 2 38 9" xfId="4096"/>
    <cellStyle name="Normal 2 38 9 2" xfId="4097"/>
    <cellStyle name="Normal 2 38 9 2 2" xfId="4098"/>
    <cellStyle name="Normal 2 38 9 3" xfId="4099"/>
    <cellStyle name="Normal 2 39" xfId="4100"/>
    <cellStyle name="Normal 2 39 10" xfId="4101"/>
    <cellStyle name="Normal 2 39 10 2" xfId="4102"/>
    <cellStyle name="Normal 2 39 10 2 2" xfId="4103"/>
    <cellStyle name="Normal 2 39 10 3" xfId="4104"/>
    <cellStyle name="Normal 2 39 11" xfId="4105"/>
    <cellStyle name="Normal 2 39 11 2" xfId="4106"/>
    <cellStyle name="Normal 2 39 11 2 2" xfId="4107"/>
    <cellStyle name="Normal 2 39 11 3" xfId="4108"/>
    <cellStyle name="Normal 2 39 12" xfId="4109"/>
    <cellStyle name="Normal 2 39 12 2" xfId="4110"/>
    <cellStyle name="Normal 2 39 12 2 2" xfId="4111"/>
    <cellStyle name="Normal 2 39 12 3" xfId="4112"/>
    <cellStyle name="Normal 2 39 13" xfId="4113"/>
    <cellStyle name="Normal 2 39 13 2" xfId="4114"/>
    <cellStyle name="Normal 2 39 13 2 2" xfId="4115"/>
    <cellStyle name="Normal 2 39 13 3" xfId="4116"/>
    <cellStyle name="Normal 2 39 14" xfId="4117"/>
    <cellStyle name="Normal 2 39 14 2" xfId="4118"/>
    <cellStyle name="Normal 2 39 14 2 2" xfId="4119"/>
    <cellStyle name="Normal 2 39 14 3" xfId="4120"/>
    <cellStyle name="Normal 2 39 15" xfId="4121"/>
    <cellStyle name="Normal 2 39 15 2" xfId="4122"/>
    <cellStyle name="Normal 2 39 15 2 2" xfId="4123"/>
    <cellStyle name="Normal 2 39 15 3" xfId="4124"/>
    <cellStyle name="Normal 2 39 16" xfId="4125"/>
    <cellStyle name="Normal 2 39 16 2" xfId="4126"/>
    <cellStyle name="Normal 2 39 16 2 2" xfId="4127"/>
    <cellStyle name="Normal 2 39 16 3" xfId="4128"/>
    <cellStyle name="Normal 2 39 17" xfId="4129"/>
    <cellStyle name="Normal 2 39 17 2" xfId="4130"/>
    <cellStyle name="Normal 2 39 17 2 2" xfId="4131"/>
    <cellStyle name="Normal 2 39 17 3" xfId="4132"/>
    <cellStyle name="Normal 2 39 18" xfId="4133"/>
    <cellStyle name="Normal 2 39 18 2" xfId="4134"/>
    <cellStyle name="Normal 2 39 18 2 2" xfId="4135"/>
    <cellStyle name="Normal 2 39 18 3" xfId="4136"/>
    <cellStyle name="Normal 2 39 19" xfId="4137"/>
    <cellStyle name="Normal 2 39 19 2" xfId="4138"/>
    <cellStyle name="Normal 2 39 19 2 2" xfId="4139"/>
    <cellStyle name="Normal 2 39 19 3" xfId="4140"/>
    <cellStyle name="Normal 2 39 2" xfId="4141"/>
    <cellStyle name="Normal 2 39 2 2" xfId="4142"/>
    <cellStyle name="Normal 2 39 2 2 2" xfId="4143"/>
    <cellStyle name="Normal 2 39 2 3" xfId="4144"/>
    <cellStyle name="Normal 2 39 20" xfId="4145"/>
    <cellStyle name="Normal 2 39 20 2" xfId="4146"/>
    <cellStyle name="Normal 2 39 20 2 2" xfId="4147"/>
    <cellStyle name="Normal 2 39 20 3" xfId="4148"/>
    <cellStyle name="Normal 2 39 21" xfId="4149"/>
    <cellStyle name="Normal 2 39 21 2" xfId="4150"/>
    <cellStyle name="Normal 2 39 21 2 2" xfId="4151"/>
    <cellStyle name="Normal 2 39 21 3" xfId="4152"/>
    <cellStyle name="Normal 2 39 22" xfId="4153"/>
    <cellStyle name="Normal 2 39 22 2" xfId="4154"/>
    <cellStyle name="Normal 2 39 22 2 2" xfId="4155"/>
    <cellStyle name="Normal 2 39 22 3" xfId="4156"/>
    <cellStyle name="Normal 2 39 23" xfId="4157"/>
    <cellStyle name="Normal 2 39 23 2" xfId="4158"/>
    <cellStyle name="Normal 2 39 23 2 2" xfId="4159"/>
    <cellStyle name="Normal 2 39 23 3" xfId="4160"/>
    <cellStyle name="Normal 2 39 24" xfId="4161"/>
    <cellStyle name="Normal 2 39 24 2" xfId="4162"/>
    <cellStyle name="Normal 2 39 25" xfId="4163"/>
    <cellStyle name="Normal 2 39 3" xfId="4164"/>
    <cellStyle name="Normal 2 39 3 2" xfId="4165"/>
    <cellStyle name="Normal 2 39 3 2 2" xfId="4166"/>
    <cellStyle name="Normal 2 39 3 3" xfId="4167"/>
    <cellStyle name="Normal 2 39 4" xfId="4168"/>
    <cellStyle name="Normal 2 39 4 2" xfId="4169"/>
    <cellStyle name="Normal 2 39 4 2 2" xfId="4170"/>
    <cellStyle name="Normal 2 39 4 3" xfId="4171"/>
    <cellStyle name="Normal 2 39 5" xfId="4172"/>
    <cellStyle name="Normal 2 39 5 2" xfId="4173"/>
    <cellStyle name="Normal 2 39 5 2 2" xfId="4174"/>
    <cellStyle name="Normal 2 39 5 3" xfId="4175"/>
    <cellStyle name="Normal 2 39 6" xfId="4176"/>
    <cellStyle name="Normal 2 39 6 2" xfId="4177"/>
    <cellStyle name="Normal 2 39 6 2 2" xfId="4178"/>
    <cellStyle name="Normal 2 39 6 3" xfId="4179"/>
    <cellStyle name="Normal 2 39 7" xfId="4180"/>
    <cellStyle name="Normal 2 39 7 2" xfId="4181"/>
    <cellStyle name="Normal 2 39 7 2 2" xfId="4182"/>
    <cellStyle name="Normal 2 39 7 3" xfId="4183"/>
    <cellStyle name="Normal 2 39 8" xfId="4184"/>
    <cellStyle name="Normal 2 39 8 2" xfId="4185"/>
    <cellStyle name="Normal 2 39 8 2 2" xfId="4186"/>
    <cellStyle name="Normal 2 39 8 3" xfId="4187"/>
    <cellStyle name="Normal 2 39 9" xfId="4188"/>
    <cellStyle name="Normal 2 39 9 2" xfId="4189"/>
    <cellStyle name="Normal 2 39 9 2 2" xfId="4190"/>
    <cellStyle name="Normal 2 39 9 3" xfId="4191"/>
    <cellStyle name="Normal 2 4" xfId="197"/>
    <cellStyle name="Normal 2 4 2" xfId="198"/>
    <cellStyle name="Normal 2 4 2 2" xfId="392"/>
    <cellStyle name="Normal 2 4 2 3" xfId="393"/>
    <cellStyle name="Normal 2 4 2 4" xfId="394"/>
    <cellStyle name="Normal 2 4 3" xfId="199"/>
    <cellStyle name="Normal 2 4 3 2" xfId="4192"/>
    <cellStyle name="Normal 2 4 4" xfId="1120"/>
    <cellStyle name="Normal 2 4 5" xfId="4193"/>
    <cellStyle name="Normal 2 4 6" xfId="4194"/>
    <cellStyle name="Normal 2 40" xfId="4195"/>
    <cellStyle name="Normal 2 40 2" xfId="4196"/>
    <cellStyle name="Normal 2 40 2 2" xfId="4197"/>
    <cellStyle name="Normal 2 40 3" xfId="4198"/>
    <cellStyle name="Normal 2 41" xfId="4199"/>
    <cellStyle name="Normal 2 41 2" xfId="4200"/>
    <cellStyle name="Normal 2 41 2 2" xfId="4201"/>
    <cellStyle name="Normal 2 41 3" xfId="4202"/>
    <cellStyle name="Normal 2 42" xfId="4203"/>
    <cellStyle name="Normal 2 42 2" xfId="4204"/>
    <cellStyle name="Normal 2 42 2 2" xfId="4205"/>
    <cellStyle name="Normal 2 42 3" xfId="4206"/>
    <cellStyle name="Normal 2 43" xfId="4207"/>
    <cellStyle name="Normal 2 43 2" xfId="4208"/>
    <cellStyle name="Normal 2 43 2 2" xfId="4209"/>
    <cellStyle name="Normal 2 43 3" xfId="4210"/>
    <cellStyle name="Normal 2 44" xfId="4211"/>
    <cellStyle name="Normal 2 44 2" xfId="4212"/>
    <cellStyle name="Normal 2 44 2 2" xfId="4213"/>
    <cellStyle name="Normal 2 44 3" xfId="4214"/>
    <cellStyle name="Normal 2 45" xfId="4215"/>
    <cellStyle name="Normal 2 45 2" xfId="4216"/>
    <cellStyle name="Normal 2 45 2 2" xfId="4217"/>
    <cellStyle name="Normal 2 45 3" xfId="4218"/>
    <cellStyle name="Normal 2 46" xfId="4219"/>
    <cellStyle name="Normal 2 46 2" xfId="4220"/>
    <cellStyle name="Normal 2 46 2 2" xfId="4221"/>
    <cellStyle name="Normal 2 46 3" xfId="4222"/>
    <cellStyle name="Normal 2 47" xfId="4223"/>
    <cellStyle name="Normal 2 47 2" xfId="4224"/>
    <cellStyle name="Normal 2 47 2 2" xfId="4225"/>
    <cellStyle name="Normal 2 47 3" xfId="4226"/>
    <cellStyle name="Normal 2 48" xfId="4227"/>
    <cellStyle name="Normal 2 48 2" xfId="4228"/>
    <cellStyle name="Normal 2 48 2 2" xfId="4229"/>
    <cellStyle name="Normal 2 48 3" xfId="4230"/>
    <cellStyle name="Normal 2 49" xfId="4231"/>
    <cellStyle name="Normal 2 49 2" xfId="4232"/>
    <cellStyle name="Normal 2 49 2 2" xfId="4233"/>
    <cellStyle name="Normal 2 49 3" xfId="4234"/>
    <cellStyle name="Normal 2 5" xfId="200"/>
    <cellStyle name="Normal 2 5 10" xfId="4235"/>
    <cellStyle name="Normal 2 5 10 2" xfId="4236"/>
    <cellStyle name="Normal 2 5 10 2 2" xfId="4237"/>
    <cellStyle name="Normal 2 5 10 3" xfId="4238"/>
    <cellStyle name="Normal 2 5 11" xfId="4239"/>
    <cellStyle name="Normal 2 5 11 2" xfId="4240"/>
    <cellStyle name="Normal 2 5 11 2 2" xfId="4241"/>
    <cellStyle name="Normal 2 5 11 3" xfId="4242"/>
    <cellStyle name="Normal 2 5 12" xfId="4243"/>
    <cellStyle name="Normal 2 5 12 2" xfId="4244"/>
    <cellStyle name="Normal 2 5 12 2 2" xfId="4245"/>
    <cellStyle name="Normal 2 5 12 3" xfId="4246"/>
    <cellStyle name="Normal 2 5 13" xfId="4247"/>
    <cellStyle name="Normal 2 5 13 2" xfId="4248"/>
    <cellStyle name="Normal 2 5 13 2 2" xfId="4249"/>
    <cellStyle name="Normal 2 5 13 3" xfId="4250"/>
    <cellStyle name="Normal 2 5 14" xfId="4251"/>
    <cellStyle name="Normal 2 5 14 2" xfId="4252"/>
    <cellStyle name="Normal 2 5 14 2 2" xfId="4253"/>
    <cellStyle name="Normal 2 5 14 3" xfId="4254"/>
    <cellStyle name="Normal 2 5 15" xfId="4255"/>
    <cellStyle name="Normal 2 5 15 2" xfId="4256"/>
    <cellStyle name="Normal 2 5 15 2 2" xfId="4257"/>
    <cellStyle name="Normal 2 5 15 3" xfId="4258"/>
    <cellStyle name="Normal 2 5 16" xfId="4259"/>
    <cellStyle name="Normal 2 5 16 2" xfId="4260"/>
    <cellStyle name="Normal 2 5 16 2 2" xfId="4261"/>
    <cellStyle name="Normal 2 5 16 3" xfId="4262"/>
    <cellStyle name="Normal 2 5 17" xfId="4263"/>
    <cellStyle name="Normal 2 5 17 2" xfId="4264"/>
    <cellStyle name="Normal 2 5 17 2 2" xfId="4265"/>
    <cellStyle name="Normal 2 5 17 3" xfId="4266"/>
    <cellStyle name="Normal 2 5 18" xfId="4267"/>
    <cellStyle name="Normal 2 5 18 2" xfId="4268"/>
    <cellStyle name="Normal 2 5 18 2 2" xfId="4269"/>
    <cellStyle name="Normal 2 5 18 3" xfId="4270"/>
    <cellStyle name="Normal 2 5 19" xfId="4271"/>
    <cellStyle name="Normal 2 5 19 2" xfId="4272"/>
    <cellStyle name="Normal 2 5 19 2 2" xfId="4273"/>
    <cellStyle name="Normal 2 5 19 3" xfId="4274"/>
    <cellStyle name="Normal 2 5 2" xfId="201"/>
    <cellStyle name="Normal 2 5 2 10" xfId="4275"/>
    <cellStyle name="Normal 2 5 2 10 2" xfId="4276"/>
    <cellStyle name="Normal 2 5 2 10 2 2" xfId="4277"/>
    <cellStyle name="Normal 2 5 2 10 3" xfId="4278"/>
    <cellStyle name="Normal 2 5 2 11" xfId="4279"/>
    <cellStyle name="Normal 2 5 2 11 2" xfId="4280"/>
    <cellStyle name="Normal 2 5 2 11 2 2" xfId="4281"/>
    <cellStyle name="Normal 2 5 2 11 3" xfId="4282"/>
    <cellStyle name="Normal 2 5 2 12" xfId="4283"/>
    <cellStyle name="Normal 2 5 2 12 2" xfId="4284"/>
    <cellStyle name="Normal 2 5 2 12 2 2" xfId="4285"/>
    <cellStyle name="Normal 2 5 2 12 3" xfId="4286"/>
    <cellStyle name="Normal 2 5 2 13" xfId="4287"/>
    <cellStyle name="Normal 2 5 2 13 2" xfId="4288"/>
    <cellStyle name="Normal 2 5 2 13 2 2" xfId="4289"/>
    <cellStyle name="Normal 2 5 2 13 3" xfId="4290"/>
    <cellStyle name="Normal 2 5 2 14" xfId="4291"/>
    <cellStyle name="Normal 2 5 2 14 2" xfId="4292"/>
    <cellStyle name="Normal 2 5 2 14 2 2" xfId="4293"/>
    <cellStyle name="Normal 2 5 2 14 3" xfId="4294"/>
    <cellStyle name="Normal 2 5 2 15" xfId="4295"/>
    <cellStyle name="Normal 2 5 2 15 2" xfId="4296"/>
    <cellStyle name="Normal 2 5 2 15 2 2" xfId="4297"/>
    <cellStyle name="Normal 2 5 2 15 3" xfId="4298"/>
    <cellStyle name="Normal 2 5 2 16" xfId="4299"/>
    <cellStyle name="Normal 2 5 2 16 2" xfId="4300"/>
    <cellStyle name="Normal 2 5 2 16 2 2" xfId="4301"/>
    <cellStyle name="Normal 2 5 2 16 3" xfId="4302"/>
    <cellStyle name="Normal 2 5 2 17" xfId="4303"/>
    <cellStyle name="Normal 2 5 2 17 2" xfId="4304"/>
    <cellStyle name="Normal 2 5 2 17 2 2" xfId="4305"/>
    <cellStyle name="Normal 2 5 2 17 3" xfId="4306"/>
    <cellStyle name="Normal 2 5 2 18" xfId="4307"/>
    <cellStyle name="Normal 2 5 2 18 2" xfId="4308"/>
    <cellStyle name="Normal 2 5 2 18 2 2" xfId="4309"/>
    <cellStyle name="Normal 2 5 2 18 3" xfId="4310"/>
    <cellStyle name="Normal 2 5 2 19" xfId="4311"/>
    <cellStyle name="Normal 2 5 2 19 2" xfId="4312"/>
    <cellStyle name="Normal 2 5 2 19 2 2" xfId="4313"/>
    <cellStyle name="Normal 2 5 2 19 3" xfId="4314"/>
    <cellStyle name="Normal 2 5 2 2" xfId="4315"/>
    <cellStyle name="Normal 2 5 2 2 10" xfId="4316"/>
    <cellStyle name="Normal 2 5 2 2 10 2" xfId="4317"/>
    <cellStyle name="Normal 2 5 2 2 10 2 2" xfId="4318"/>
    <cellStyle name="Normal 2 5 2 2 10 3" xfId="4319"/>
    <cellStyle name="Normal 2 5 2 2 11" xfId="4320"/>
    <cellStyle name="Normal 2 5 2 2 11 2" xfId="4321"/>
    <cellStyle name="Normal 2 5 2 2 11 2 2" xfId="4322"/>
    <cellStyle name="Normal 2 5 2 2 11 3" xfId="4323"/>
    <cellStyle name="Normal 2 5 2 2 12" xfId="4324"/>
    <cellStyle name="Normal 2 5 2 2 12 2" xfId="4325"/>
    <cellStyle name="Normal 2 5 2 2 12 2 2" xfId="4326"/>
    <cellStyle name="Normal 2 5 2 2 12 3" xfId="4327"/>
    <cellStyle name="Normal 2 5 2 2 13" xfId="4328"/>
    <cellStyle name="Normal 2 5 2 2 13 2" xfId="4329"/>
    <cellStyle name="Normal 2 5 2 2 13 2 2" xfId="4330"/>
    <cellStyle name="Normal 2 5 2 2 13 3" xfId="4331"/>
    <cellStyle name="Normal 2 5 2 2 14" xfId="4332"/>
    <cellStyle name="Normal 2 5 2 2 14 2" xfId="4333"/>
    <cellStyle name="Normal 2 5 2 2 14 2 2" xfId="4334"/>
    <cellStyle name="Normal 2 5 2 2 14 3" xfId="4335"/>
    <cellStyle name="Normal 2 5 2 2 15" xfId="4336"/>
    <cellStyle name="Normal 2 5 2 2 15 2" xfId="4337"/>
    <cellStyle name="Normal 2 5 2 2 15 2 2" xfId="4338"/>
    <cellStyle name="Normal 2 5 2 2 15 3" xfId="4339"/>
    <cellStyle name="Normal 2 5 2 2 16" xfId="4340"/>
    <cellStyle name="Normal 2 5 2 2 16 2" xfId="4341"/>
    <cellStyle name="Normal 2 5 2 2 16 2 2" xfId="4342"/>
    <cellStyle name="Normal 2 5 2 2 16 3" xfId="4343"/>
    <cellStyle name="Normal 2 5 2 2 17" xfId="4344"/>
    <cellStyle name="Normal 2 5 2 2 17 2" xfId="4345"/>
    <cellStyle name="Normal 2 5 2 2 17 2 2" xfId="4346"/>
    <cellStyle name="Normal 2 5 2 2 17 3" xfId="4347"/>
    <cellStyle name="Normal 2 5 2 2 18" xfId="4348"/>
    <cellStyle name="Normal 2 5 2 2 18 2" xfId="4349"/>
    <cellStyle name="Normal 2 5 2 2 18 2 2" xfId="4350"/>
    <cellStyle name="Normal 2 5 2 2 18 3" xfId="4351"/>
    <cellStyle name="Normal 2 5 2 2 19" xfId="4352"/>
    <cellStyle name="Normal 2 5 2 2 19 2" xfId="4353"/>
    <cellStyle name="Normal 2 5 2 2 19 2 2" xfId="4354"/>
    <cellStyle name="Normal 2 5 2 2 19 3" xfId="4355"/>
    <cellStyle name="Normal 2 5 2 2 2" xfId="4356"/>
    <cellStyle name="Normal 2 5 2 2 2 2" xfId="4357"/>
    <cellStyle name="Normal 2 5 2 2 2 2 2" xfId="4358"/>
    <cellStyle name="Normal 2 5 2 2 2 3" xfId="4359"/>
    <cellStyle name="Normal 2 5 2 2 20" xfId="4360"/>
    <cellStyle name="Normal 2 5 2 2 20 2" xfId="4361"/>
    <cellStyle name="Normal 2 5 2 2 20 2 2" xfId="4362"/>
    <cellStyle name="Normal 2 5 2 2 20 3" xfId="4363"/>
    <cellStyle name="Normal 2 5 2 2 21" xfId="4364"/>
    <cellStyle name="Normal 2 5 2 2 21 2" xfId="4365"/>
    <cellStyle name="Normal 2 5 2 2 21 2 2" xfId="4366"/>
    <cellStyle name="Normal 2 5 2 2 21 3" xfId="4367"/>
    <cellStyle name="Normal 2 5 2 2 22" xfId="4368"/>
    <cellStyle name="Normal 2 5 2 2 22 2" xfId="4369"/>
    <cellStyle name="Normal 2 5 2 2 22 2 2" xfId="4370"/>
    <cellStyle name="Normal 2 5 2 2 22 3" xfId="4371"/>
    <cellStyle name="Normal 2 5 2 2 23" xfId="4372"/>
    <cellStyle name="Normal 2 5 2 2 23 2" xfId="4373"/>
    <cellStyle name="Normal 2 5 2 2 23 2 2" xfId="4374"/>
    <cellStyle name="Normal 2 5 2 2 23 3" xfId="4375"/>
    <cellStyle name="Normal 2 5 2 2 24" xfId="4376"/>
    <cellStyle name="Normal 2 5 2 2 24 2" xfId="4377"/>
    <cellStyle name="Normal 2 5 2 2 24 2 2" xfId="4378"/>
    <cellStyle name="Normal 2 5 2 2 24 3" xfId="4379"/>
    <cellStyle name="Normal 2 5 2 2 25" xfId="4380"/>
    <cellStyle name="Normal 2 5 2 2 25 2" xfId="4381"/>
    <cellStyle name="Normal 2 5 2 2 25 2 2" xfId="4382"/>
    <cellStyle name="Normal 2 5 2 2 25 3" xfId="4383"/>
    <cellStyle name="Normal 2 5 2 2 26" xfId="4384"/>
    <cellStyle name="Normal 2 5 2 2 26 2" xfId="4385"/>
    <cellStyle name="Normal 2 5 2 2 26 2 2" xfId="4386"/>
    <cellStyle name="Normal 2 5 2 2 26 3" xfId="4387"/>
    <cellStyle name="Normal 2 5 2 2 27" xfId="4388"/>
    <cellStyle name="Normal 2 5 2 2 27 2" xfId="4389"/>
    <cellStyle name="Normal 2 5 2 2 27 2 2" xfId="4390"/>
    <cellStyle name="Normal 2 5 2 2 27 3" xfId="4391"/>
    <cellStyle name="Normal 2 5 2 2 28" xfId="4392"/>
    <cellStyle name="Normal 2 5 2 2 28 2" xfId="4393"/>
    <cellStyle name="Normal 2 5 2 2 28 2 2" xfId="4394"/>
    <cellStyle name="Normal 2 5 2 2 28 3" xfId="4395"/>
    <cellStyle name="Normal 2 5 2 2 29" xfId="4396"/>
    <cellStyle name="Normal 2 5 2 2 29 2" xfId="4397"/>
    <cellStyle name="Normal 2 5 2 2 29 2 2" xfId="4398"/>
    <cellStyle name="Normal 2 5 2 2 29 3" xfId="4399"/>
    <cellStyle name="Normal 2 5 2 2 3" xfId="4400"/>
    <cellStyle name="Normal 2 5 2 2 3 2" xfId="4401"/>
    <cellStyle name="Normal 2 5 2 2 3 2 2" xfId="4402"/>
    <cellStyle name="Normal 2 5 2 2 3 3" xfId="4403"/>
    <cellStyle name="Normal 2 5 2 2 30" xfId="4404"/>
    <cellStyle name="Normal 2 5 2 2 30 2" xfId="4405"/>
    <cellStyle name="Normal 2 5 2 2 30 2 2" xfId="4406"/>
    <cellStyle name="Normal 2 5 2 2 30 3" xfId="4407"/>
    <cellStyle name="Normal 2 5 2 2 31" xfId="4408"/>
    <cellStyle name="Normal 2 5 2 2 31 2" xfId="4409"/>
    <cellStyle name="Normal 2 5 2 2 31 2 2" xfId="4410"/>
    <cellStyle name="Normal 2 5 2 2 31 3" xfId="4411"/>
    <cellStyle name="Normal 2 5 2 2 32" xfId="4412"/>
    <cellStyle name="Normal 2 5 2 2 32 2" xfId="4413"/>
    <cellStyle name="Normal 2 5 2 2 32 2 2" xfId="4414"/>
    <cellStyle name="Normal 2 5 2 2 32 3" xfId="4415"/>
    <cellStyle name="Normal 2 5 2 2 33" xfId="4416"/>
    <cellStyle name="Normal 2 5 2 2 33 2" xfId="4417"/>
    <cellStyle name="Normal 2 5 2 2 33 2 2" xfId="4418"/>
    <cellStyle name="Normal 2 5 2 2 33 3" xfId="4419"/>
    <cellStyle name="Normal 2 5 2 2 34" xfId="4420"/>
    <cellStyle name="Normal 2 5 2 2 34 2" xfId="4421"/>
    <cellStyle name="Normal 2 5 2 2 34 2 2" xfId="4422"/>
    <cellStyle name="Normal 2 5 2 2 34 3" xfId="4423"/>
    <cellStyle name="Normal 2 5 2 2 35" xfId="4424"/>
    <cellStyle name="Normal 2 5 2 2 35 2" xfId="4425"/>
    <cellStyle name="Normal 2 5 2 2 35 2 2" xfId="4426"/>
    <cellStyle name="Normal 2 5 2 2 35 3" xfId="4427"/>
    <cellStyle name="Normal 2 5 2 2 36" xfId="4428"/>
    <cellStyle name="Normal 2 5 2 2 36 2" xfId="4429"/>
    <cellStyle name="Normal 2 5 2 2 36 2 2" xfId="4430"/>
    <cellStyle name="Normal 2 5 2 2 36 3" xfId="4431"/>
    <cellStyle name="Normal 2 5 2 2 37" xfId="4432"/>
    <cellStyle name="Normal 2 5 2 2 37 2" xfId="4433"/>
    <cellStyle name="Normal 2 5 2 2 37 2 2" xfId="4434"/>
    <cellStyle name="Normal 2 5 2 2 37 3" xfId="4435"/>
    <cellStyle name="Normal 2 5 2 2 38" xfId="4436"/>
    <cellStyle name="Normal 2 5 2 2 38 2" xfId="4437"/>
    <cellStyle name="Normal 2 5 2 2 38 2 2" xfId="4438"/>
    <cellStyle name="Normal 2 5 2 2 38 3" xfId="4439"/>
    <cellStyle name="Normal 2 5 2 2 39" xfId="4440"/>
    <cellStyle name="Normal 2 5 2 2 39 2" xfId="4441"/>
    <cellStyle name="Normal 2 5 2 2 39 2 2" xfId="4442"/>
    <cellStyle name="Normal 2 5 2 2 39 3" xfId="4443"/>
    <cellStyle name="Normal 2 5 2 2 4" xfId="4444"/>
    <cellStyle name="Normal 2 5 2 2 4 2" xfId="4445"/>
    <cellStyle name="Normal 2 5 2 2 4 2 2" xfId="4446"/>
    <cellStyle name="Normal 2 5 2 2 4 3" xfId="4447"/>
    <cellStyle name="Normal 2 5 2 2 40" xfId="4448"/>
    <cellStyle name="Normal 2 5 2 2 40 2" xfId="4449"/>
    <cellStyle name="Normal 2 5 2 2 40 2 2" xfId="4450"/>
    <cellStyle name="Normal 2 5 2 2 40 3" xfId="4451"/>
    <cellStyle name="Normal 2 5 2 2 41" xfId="4452"/>
    <cellStyle name="Normal 2 5 2 2 41 2" xfId="4453"/>
    <cellStyle name="Normal 2 5 2 2 41 2 2" xfId="4454"/>
    <cellStyle name="Normal 2 5 2 2 41 3" xfId="4455"/>
    <cellStyle name="Normal 2 5 2 2 42" xfId="4456"/>
    <cellStyle name="Normal 2 5 2 2 42 2" xfId="4457"/>
    <cellStyle name="Normal 2 5 2 2 42 2 2" xfId="4458"/>
    <cellStyle name="Normal 2 5 2 2 42 3" xfId="4459"/>
    <cellStyle name="Normal 2 5 2 2 43" xfId="4460"/>
    <cellStyle name="Normal 2 5 2 2 43 2" xfId="4461"/>
    <cellStyle name="Normal 2 5 2 2 43 2 2" xfId="4462"/>
    <cellStyle name="Normal 2 5 2 2 43 3" xfId="4463"/>
    <cellStyle name="Normal 2 5 2 2 44" xfId="4464"/>
    <cellStyle name="Normal 2 5 2 2 44 2" xfId="4465"/>
    <cellStyle name="Normal 2 5 2 2 44 2 2" xfId="4466"/>
    <cellStyle name="Normal 2 5 2 2 44 3" xfId="4467"/>
    <cellStyle name="Normal 2 5 2 2 45" xfId="4468"/>
    <cellStyle name="Normal 2 5 2 2 45 2" xfId="4469"/>
    <cellStyle name="Normal 2 5 2 2 45 2 2" xfId="4470"/>
    <cellStyle name="Normal 2 5 2 2 45 3" xfId="4471"/>
    <cellStyle name="Normal 2 5 2 2 46" xfId="4472"/>
    <cellStyle name="Normal 2 5 2 2 46 2" xfId="4473"/>
    <cellStyle name="Normal 2 5 2 2 46 2 2" xfId="4474"/>
    <cellStyle name="Normal 2 5 2 2 46 3" xfId="4475"/>
    <cellStyle name="Normal 2 5 2 2 47" xfId="4476"/>
    <cellStyle name="Normal 2 5 2 2 47 2" xfId="4477"/>
    <cellStyle name="Normal 2 5 2 2 47 2 2" xfId="4478"/>
    <cellStyle name="Normal 2 5 2 2 47 3" xfId="4479"/>
    <cellStyle name="Normal 2 5 2 2 48" xfId="4480"/>
    <cellStyle name="Normal 2 5 2 2 48 2" xfId="4481"/>
    <cellStyle name="Normal 2 5 2 2 48 2 2" xfId="4482"/>
    <cellStyle name="Normal 2 5 2 2 48 3" xfId="4483"/>
    <cellStyle name="Normal 2 5 2 2 49" xfId="4484"/>
    <cellStyle name="Normal 2 5 2 2 49 2" xfId="4485"/>
    <cellStyle name="Normal 2 5 2 2 49 2 2" xfId="4486"/>
    <cellStyle name="Normal 2 5 2 2 49 3" xfId="4487"/>
    <cellStyle name="Normal 2 5 2 2 5" xfId="4488"/>
    <cellStyle name="Normal 2 5 2 2 5 2" xfId="4489"/>
    <cellStyle name="Normal 2 5 2 2 5 2 2" xfId="4490"/>
    <cellStyle name="Normal 2 5 2 2 5 3" xfId="4491"/>
    <cellStyle name="Normal 2 5 2 2 50" xfId="4492"/>
    <cellStyle name="Normal 2 5 2 2 50 2" xfId="4493"/>
    <cellStyle name="Normal 2 5 2 2 50 2 2" xfId="4494"/>
    <cellStyle name="Normal 2 5 2 2 50 3" xfId="4495"/>
    <cellStyle name="Normal 2 5 2 2 51" xfId="4496"/>
    <cellStyle name="Normal 2 5 2 2 51 2" xfId="4497"/>
    <cellStyle name="Normal 2 5 2 2 51 2 2" xfId="4498"/>
    <cellStyle name="Normal 2 5 2 2 51 3" xfId="4499"/>
    <cellStyle name="Normal 2 5 2 2 52" xfId="4500"/>
    <cellStyle name="Normal 2 5 2 2 52 2" xfId="4501"/>
    <cellStyle name="Normal 2 5 2 2 52 2 2" xfId="4502"/>
    <cellStyle name="Normal 2 5 2 2 52 3" xfId="4503"/>
    <cellStyle name="Normal 2 5 2 2 53" xfId="4504"/>
    <cellStyle name="Normal 2 5 2 2 53 2" xfId="4505"/>
    <cellStyle name="Normal 2 5 2 2 53 2 2" xfId="4506"/>
    <cellStyle name="Normal 2 5 2 2 53 3" xfId="4507"/>
    <cellStyle name="Normal 2 5 2 2 54" xfId="4508"/>
    <cellStyle name="Normal 2 5 2 2 54 2" xfId="4509"/>
    <cellStyle name="Normal 2 5 2 2 54 2 2" xfId="4510"/>
    <cellStyle name="Normal 2 5 2 2 54 3" xfId="4511"/>
    <cellStyle name="Normal 2 5 2 2 55" xfId="4512"/>
    <cellStyle name="Normal 2 5 2 2 55 2" xfId="4513"/>
    <cellStyle name="Normal 2 5 2 2 55 2 2" xfId="4514"/>
    <cellStyle name="Normal 2 5 2 2 55 3" xfId="4515"/>
    <cellStyle name="Normal 2 5 2 2 56" xfId="4516"/>
    <cellStyle name="Normal 2 5 2 2 56 2" xfId="4517"/>
    <cellStyle name="Normal 2 5 2 2 57" xfId="4518"/>
    <cellStyle name="Normal 2 5 2 2 6" xfId="4519"/>
    <cellStyle name="Normal 2 5 2 2 6 2" xfId="4520"/>
    <cellStyle name="Normal 2 5 2 2 6 2 2" xfId="4521"/>
    <cellStyle name="Normal 2 5 2 2 6 3" xfId="4522"/>
    <cellStyle name="Normal 2 5 2 2 7" xfId="4523"/>
    <cellStyle name="Normal 2 5 2 2 7 2" xfId="4524"/>
    <cellStyle name="Normal 2 5 2 2 7 2 2" xfId="4525"/>
    <cellStyle name="Normal 2 5 2 2 7 3" xfId="4526"/>
    <cellStyle name="Normal 2 5 2 2 8" xfId="4527"/>
    <cellStyle name="Normal 2 5 2 2 8 2" xfId="4528"/>
    <cellStyle name="Normal 2 5 2 2 8 2 2" xfId="4529"/>
    <cellStyle name="Normal 2 5 2 2 8 3" xfId="4530"/>
    <cellStyle name="Normal 2 5 2 2 9" xfId="4531"/>
    <cellStyle name="Normal 2 5 2 2 9 2" xfId="4532"/>
    <cellStyle name="Normal 2 5 2 2 9 2 2" xfId="4533"/>
    <cellStyle name="Normal 2 5 2 2 9 3" xfId="4534"/>
    <cellStyle name="Normal 2 5 2 20" xfId="4535"/>
    <cellStyle name="Normal 2 5 2 20 2" xfId="4536"/>
    <cellStyle name="Normal 2 5 2 20 2 2" xfId="4537"/>
    <cellStyle name="Normal 2 5 2 20 3" xfId="4538"/>
    <cellStyle name="Normal 2 5 2 21" xfId="4539"/>
    <cellStyle name="Normal 2 5 2 21 2" xfId="4540"/>
    <cellStyle name="Normal 2 5 2 21 2 2" xfId="4541"/>
    <cellStyle name="Normal 2 5 2 21 3" xfId="4542"/>
    <cellStyle name="Normal 2 5 2 22" xfId="4543"/>
    <cellStyle name="Normal 2 5 2 22 2" xfId="4544"/>
    <cellStyle name="Normal 2 5 2 22 2 2" xfId="4545"/>
    <cellStyle name="Normal 2 5 2 22 3" xfId="4546"/>
    <cellStyle name="Normal 2 5 2 23" xfId="4547"/>
    <cellStyle name="Normal 2 5 2 23 2" xfId="4548"/>
    <cellStyle name="Normal 2 5 2 23 2 2" xfId="4549"/>
    <cellStyle name="Normal 2 5 2 23 3" xfId="4550"/>
    <cellStyle name="Normal 2 5 2 24" xfId="4551"/>
    <cellStyle name="Normal 2 5 2 24 2" xfId="4552"/>
    <cellStyle name="Normal 2 5 2 24 2 2" xfId="4553"/>
    <cellStyle name="Normal 2 5 2 24 3" xfId="4554"/>
    <cellStyle name="Normal 2 5 2 25" xfId="4555"/>
    <cellStyle name="Normal 2 5 2 25 2" xfId="4556"/>
    <cellStyle name="Normal 2 5 2 25 2 2" xfId="4557"/>
    <cellStyle name="Normal 2 5 2 25 3" xfId="4558"/>
    <cellStyle name="Normal 2 5 2 26" xfId="4559"/>
    <cellStyle name="Normal 2 5 2 26 2" xfId="4560"/>
    <cellStyle name="Normal 2 5 2 26 2 2" xfId="4561"/>
    <cellStyle name="Normal 2 5 2 26 3" xfId="4562"/>
    <cellStyle name="Normal 2 5 2 27" xfId="4563"/>
    <cellStyle name="Normal 2 5 2 27 2" xfId="4564"/>
    <cellStyle name="Normal 2 5 2 27 2 2" xfId="4565"/>
    <cellStyle name="Normal 2 5 2 27 3" xfId="4566"/>
    <cellStyle name="Normal 2 5 2 28" xfId="4567"/>
    <cellStyle name="Normal 2 5 2 28 2" xfId="4568"/>
    <cellStyle name="Normal 2 5 2 28 2 2" xfId="4569"/>
    <cellStyle name="Normal 2 5 2 28 3" xfId="4570"/>
    <cellStyle name="Normal 2 5 2 29" xfId="4571"/>
    <cellStyle name="Normal 2 5 2 29 2" xfId="4572"/>
    <cellStyle name="Normal 2 5 2 29 2 2" xfId="4573"/>
    <cellStyle name="Normal 2 5 2 29 3" xfId="4574"/>
    <cellStyle name="Normal 2 5 2 3" xfId="4575"/>
    <cellStyle name="Normal 2 5 2 3 2" xfId="4576"/>
    <cellStyle name="Normal 2 5 2 3 2 2" xfId="4577"/>
    <cellStyle name="Normal 2 5 2 3 3" xfId="4578"/>
    <cellStyle name="Normal 2 5 2 30" xfId="4579"/>
    <cellStyle name="Normal 2 5 2 30 2" xfId="4580"/>
    <cellStyle name="Normal 2 5 2 30 2 2" xfId="4581"/>
    <cellStyle name="Normal 2 5 2 30 3" xfId="4582"/>
    <cellStyle name="Normal 2 5 2 31" xfId="4583"/>
    <cellStyle name="Normal 2 5 2 31 2" xfId="4584"/>
    <cellStyle name="Normal 2 5 2 31 2 2" xfId="4585"/>
    <cellStyle name="Normal 2 5 2 31 3" xfId="4586"/>
    <cellStyle name="Normal 2 5 2 32" xfId="4587"/>
    <cellStyle name="Normal 2 5 2 32 2" xfId="4588"/>
    <cellStyle name="Normal 2 5 2 32 2 2" xfId="4589"/>
    <cellStyle name="Normal 2 5 2 32 3" xfId="4590"/>
    <cellStyle name="Normal 2 5 2 33" xfId="4591"/>
    <cellStyle name="Normal 2 5 2 33 2" xfId="4592"/>
    <cellStyle name="Normal 2 5 2 33 2 2" xfId="4593"/>
    <cellStyle name="Normal 2 5 2 33 3" xfId="4594"/>
    <cellStyle name="Normal 2 5 2 34" xfId="4595"/>
    <cellStyle name="Normal 2 5 2 34 2" xfId="4596"/>
    <cellStyle name="Normal 2 5 2 35" xfId="4597"/>
    <cellStyle name="Normal 2 5 2 4" xfId="4598"/>
    <cellStyle name="Normal 2 5 2 4 2" xfId="4599"/>
    <cellStyle name="Normal 2 5 2 4 2 2" xfId="4600"/>
    <cellStyle name="Normal 2 5 2 4 3" xfId="4601"/>
    <cellStyle name="Normal 2 5 2 5" xfId="4602"/>
    <cellStyle name="Normal 2 5 2 5 2" xfId="4603"/>
    <cellStyle name="Normal 2 5 2 5 2 2" xfId="4604"/>
    <cellStyle name="Normal 2 5 2 5 3" xfId="4605"/>
    <cellStyle name="Normal 2 5 2 6" xfId="4606"/>
    <cellStyle name="Normal 2 5 2 6 2" xfId="4607"/>
    <cellStyle name="Normal 2 5 2 6 2 2" xfId="4608"/>
    <cellStyle name="Normal 2 5 2 6 3" xfId="4609"/>
    <cellStyle name="Normal 2 5 2 7" xfId="4610"/>
    <cellStyle name="Normal 2 5 2 7 2" xfId="4611"/>
    <cellStyle name="Normal 2 5 2 7 2 2" xfId="4612"/>
    <cellStyle name="Normal 2 5 2 7 3" xfId="4613"/>
    <cellStyle name="Normal 2 5 2 8" xfId="4614"/>
    <cellStyle name="Normal 2 5 2 8 2" xfId="4615"/>
    <cellStyle name="Normal 2 5 2 8 2 2" xfId="4616"/>
    <cellStyle name="Normal 2 5 2 8 3" xfId="4617"/>
    <cellStyle name="Normal 2 5 2 9" xfId="4618"/>
    <cellStyle name="Normal 2 5 2 9 2" xfId="4619"/>
    <cellStyle name="Normal 2 5 2 9 2 2" xfId="4620"/>
    <cellStyle name="Normal 2 5 2 9 3" xfId="4621"/>
    <cellStyle name="Normal 2 5 20" xfId="4622"/>
    <cellStyle name="Normal 2 5 20 2" xfId="4623"/>
    <cellStyle name="Normal 2 5 20 2 2" xfId="4624"/>
    <cellStyle name="Normal 2 5 20 3" xfId="4625"/>
    <cellStyle name="Normal 2 5 21" xfId="4626"/>
    <cellStyle name="Normal 2 5 21 2" xfId="4627"/>
    <cellStyle name="Normal 2 5 21 2 2" xfId="4628"/>
    <cellStyle name="Normal 2 5 21 3" xfId="4629"/>
    <cellStyle name="Normal 2 5 22" xfId="4630"/>
    <cellStyle name="Normal 2 5 22 2" xfId="4631"/>
    <cellStyle name="Normal 2 5 22 2 2" xfId="4632"/>
    <cellStyle name="Normal 2 5 22 3" xfId="4633"/>
    <cellStyle name="Normal 2 5 23" xfId="4634"/>
    <cellStyle name="Normal 2 5 23 2" xfId="4635"/>
    <cellStyle name="Normal 2 5 23 2 2" xfId="4636"/>
    <cellStyle name="Normal 2 5 23 3" xfId="4637"/>
    <cellStyle name="Normal 2 5 24" xfId="4638"/>
    <cellStyle name="Normal 2 5 24 2" xfId="4639"/>
    <cellStyle name="Normal 2 5 24 2 2" xfId="4640"/>
    <cellStyle name="Normal 2 5 24 3" xfId="4641"/>
    <cellStyle name="Normal 2 5 25" xfId="4642"/>
    <cellStyle name="Normal 2 5 25 2" xfId="4643"/>
    <cellStyle name="Normal 2 5 25 2 2" xfId="4644"/>
    <cellStyle name="Normal 2 5 25 3" xfId="4645"/>
    <cellStyle name="Normal 2 5 26" xfId="4646"/>
    <cellStyle name="Normal 2 5 26 2" xfId="4647"/>
    <cellStyle name="Normal 2 5 26 2 2" xfId="4648"/>
    <cellStyle name="Normal 2 5 26 3" xfId="4649"/>
    <cellStyle name="Normal 2 5 27" xfId="4650"/>
    <cellStyle name="Normal 2 5 27 2" xfId="4651"/>
    <cellStyle name="Normal 2 5 27 2 2" xfId="4652"/>
    <cellStyle name="Normal 2 5 27 3" xfId="4653"/>
    <cellStyle name="Normal 2 5 28" xfId="4654"/>
    <cellStyle name="Normal 2 5 28 2" xfId="4655"/>
    <cellStyle name="Normal 2 5 28 2 2" xfId="4656"/>
    <cellStyle name="Normal 2 5 28 3" xfId="4657"/>
    <cellStyle name="Normal 2 5 29" xfId="4658"/>
    <cellStyle name="Normal 2 5 29 2" xfId="4659"/>
    <cellStyle name="Normal 2 5 29 2 2" xfId="4660"/>
    <cellStyle name="Normal 2 5 29 3" xfId="4661"/>
    <cellStyle name="Normal 2 5 3" xfId="4662"/>
    <cellStyle name="Normal 2 5 3 2" xfId="4663"/>
    <cellStyle name="Normal 2 5 3 2 2" xfId="4664"/>
    <cellStyle name="Normal 2 5 3 3" xfId="4665"/>
    <cellStyle name="Normal 2 5 30" xfId="4666"/>
    <cellStyle name="Normal 2 5 30 2" xfId="4667"/>
    <cellStyle name="Normal 2 5 30 2 2" xfId="4668"/>
    <cellStyle name="Normal 2 5 30 3" xfId="4669"/>
    <cellStyle name="Normal 2 5 31" xfId="4670"/>
    <cellStyle name="Normal 2 5 31 2" xfId="4671"/>
    <cellStyle name="Normal 2 5 31 2 2" xfId="4672"/>
    <cellStyle name="Normal 2 5 31 3" xfId="4673"/>
    <cellStyle name="Normal 2 5 32" xfId="4674"/>
    <cellStyle name="Normal 2 5 32 2" xfId="4675"/>
    <cellStyle name="Normal 2 5 32 2 2" xfId="4676"/>
    <cellStyle name="Normal 2 5 32 3" xfId="4677"/>
    <cellStyle name="Normal 2 5 33" xfId="4678"/>
    <cellStyle name="Normal 2 5 33 2" xfId="4679"/>
    <cellStyle name="Normal 2 5 33 2 2" xfId="4680"/>
    <cellStyle name="Normal 2 5 33 3" xfId="4681"/>
    <cellStyle name="Normal 2 5 34" xfId="4682"/>
    <cellStyle name="Normal 2 5 34 2" xfId="4683"/>
    <cellStyle name="Normal 2 5 34 2 2" xfId="4684"/>
    <cellStyle name="Normal 2 5 34 3" xfId="4685"/>
    <cellStyle name="Normal 2 5 35" xfId="4686"/>
    <cellStyle name="Normal 2 5 35 2" xfId="4687"/>
    <cellStyle name="Normal 2 5 35 2 2" xfId="4688"/>
    <cellStyle name="Normal 2 5 35 3" xfId="4689"/>
    <cellStyle name="Normal 2 5 36" xfId="4690"/>
    <cellStyle name="Normal 2 5 36 2" xfId="4691"/>
    <cellStyle name="Normal 2 5 36 2 2" xfId="4692"/>
    <cellStyle name="Normal 2 5 36 3" xfId="4693"/>
    <cellStyle name="Normal 2 5 37" xfId="4694"/>
    <cellStyle name="Normal 2 5 37 2" xfId="4695"/>
    <cellStyle name="Normal 2 5 37 2 2" xfId="4696"/>
    <cellStyle name="Normal 2 5 37 3" xfId="4697"/>
    <cellStyle name="Normal 2 5 38" xfId="4698"/>
    <cellStyle name="Normal 2 5 38 2" xfId="4699"/>
    <cellStyle name="Normal 2 5 38 2 2" xfId="4700"/>
    <cellStyle name="Normal 2 5 38 3" xfId="4701"/>
    <cellStyle name="Normal 2 5 39" xfId="4702"/>
    <cellStyle name="Normal 2 5 39 2" xfId="4703"/>
    <cellStyle name="Normal 2 5 39 2 2" xfId="4704"/>
    <cellStyle name="Normal 2 5 39 3" xfId="4705"/>
    <cellStyle name="Normal 2 5 4" xfId="4706"/>
    <cellStyle name="Normal 2 5 4 2" xfId="4707"/>
    <cellStyle name="Normal 2 5 4 2 2" xfId="4708"/>
    <cellStyle name="Normal 2 5 4 3" xfId="4709"/>
    <cellStyle name="Normal 2 5 40" xfId="4710"/>
    <cellStyle name="Normal 2 5 40 2" xfId="4711"/>
    <cellStyle name="Normal 2 5 40 2 2" xfId="4712"/>
    <cellStyle name="Normal 2 5 40 3" xfId="4713"/>
    <cellStyle name="Normal 2 5 41" xfId="4714"/>
    <cellStyle name="Normal 2 5 41 2" xfId="4715"/>
    <cellStyle name="Normal 2 5 41 2 2" xfId="4716"/>
    <cellStyle name="Normal 2 5 41 3" xfId="4717"/>
    <cellStyle name="Normal 2 5 42" xfId="4718"/>
    <cellStyle name="Normal 2 5 42 2" xfId="4719"/>
    <cellStyle name="Normal 2 5 42 2 2" xfId="4720"/>
    <cellStyle name="Normal 2 5 42 3" xfId="4721"/>
    <cellStyle name="Normal 2 5 43" xfId="4722"/>
    <cellStyle name="Normal 2 5 43 2" xfId="4723"/>
    <cellStyle name="Normal 2 5 43 2 2" xfId="4724"/>
    <cellStyle name="Normal 2 5 43 3" xfId="4725"/>
    <cellStyle name="Normal 2 5 44" xfId="4726"/>
    <cellStyle name="Normal 2 5 44 2" xfId="4727"/>
    <cellStyle name="Normal 2 5 44 2 2" xfId="4728"/>
    <cellStyle name="Normal 2 5 44 3" xfId="4729"/>
    <cellStyle name="Normal 2 5 45" xfId="4730"/>
    <cellStyle name="Normal 2 5 45 2" xfId="4731"/>
    <cellStyle name="Normal 2 5 45 2 2" xfId="4732"/>
    <cellStyle name="Normal 2 5 45 3" xfId="4733"/>
    <cellStyle name="Normal 2 5 46" xfId="4734"/>
    <cellStyle name="Normal 2 5 46 2" xfId="4735"/>
    <cellStyle name="Normal 2 5 46 2 2" xfId="4736"/>
    <cellStyle name="Normal 2 5 46 3" xfId="4737"/>
    <cellStyle name="Normal 2 5 47" xfId="4738"/>
    <cellStyle name="Normal 2 5 47 2" xfId="4739"/>
    <cellStyle name="Normal 2 5 47 2 2" xfId="4740"/>
    <cellStyle name="Normal 2 5 47 3" xfId="4741"/>
    <cellStyle name="Normal 2 5 48" xfId="4742"/>
    <cellStyle name="Normal 2 5 48 2" xfId="4743"/>
    <cellStyle name="Normal 2 5 48 2 2" xfId="4744"/>
    <cellStyle name="Normal 2 5 48 3" xfId="4745"/>
    <cellStyle name="Normal 2 5 49" xfId="4746"/>
    <cellStyle name="Normal 2 5 49 2" xfId="4747"/>
    <cellStyle name="Normal 2 5 49 2 2" xfId="4748"/>
    <cellStyle name="Normal 2 5 49 3" xfId="4749"/>
    <cellStyle name="Normal 2 5 5" xfId="4750"/>
    <cellStyle name="Normal 2 5 5 2" xfId="4751"/>
    <cellStyle name="Normal 2 5 5 2 2" xfId="4752"/>
    <cellStyle name="Normal 2 5 5 3" xfId="4753"/>
    <cellStyle name="Normal 2 5 50" xfId="4754"/>
    <cellStyle name="Normal 2 5 50 2" xfId="4755"/>
    <cellStyle name="Normal 2 5 50 2 2" xfId="4756"/>
    <cellStyle name="Normal 2 5 50 3" xfId="4757"/>
    <cellStyle name="Normal 2 5 51" xfId="4758"/>
    <cellStyle name="Normal 2 5 51 2" xfId="4759"/>
    <cellStyle name="Normal 2 5 51 2 2" xfId="4760"/>
    <cellStyle name="Normal 2 5 51 3" xfId="4761"/>
    <cellStyle name="Normal 2 5 52" xfId="4762"/>
    <cellStyle name="Normal 2 5 52 2" xfId="4763"/>
    <cellStyle name="Normal 2 5 52 2 2" xfId="4764"/>
    <cellStyle name="Normal 2 5 52 3" xfId="4765"/>
    <cellStyle name="Normal 2 5 53" xfId="4766"/>
    <cellStyle name="Normal 2 5 53 2" xfId="4767"/>
    <cellStyle name="Normal 2 5 53 2 2" xfId="4768"/>
    <cellStyle name="Normal 2 5 53 3" xfId="4769"/>
    <cellStyle name="Normal 2 5 54" xfId="4770"/>
    <cellStyle name="Normal 2 5 54 2" xfId="4771"/>
    <cellStyle name="Normal 2 5 54 2 2" xfId="4772"/>
    <cellStyle name="Normal 2 5 54 3" xfId="4773"/>
    <cellStyle name="Normal 2 5 55" xfId="4774"/>
    <cellStyle name="Normal 2 5 55 2" xfId="4775"/>
    <cellStyle name="Normal 2 5 55 2 2" xfId="4776"/>
    <cellStyle name="Normal 2 5 55 3" xfId="4777"/>
    <cellStyle name="Normal 2 5 56" xfId="4778"/>
    <cellStyle name="Normal 2 5 56 2" xfId="4779"/>
    <cellStyle name="Normal 2 5 56 2 2" xfId="4780"/>
    <cellStyle name="Normal 2 5 56 3" xfId="4781"/>
    <cellStyle name="Normal 2 5 57" xfId="4782"/>
    <cellStyle name="Normal 2 5 57 2" xfId="4783"/>
    <cellStyle name="Normal 2 5 57 2 2" xfId="4784"/>
    <cellStyle name="Normal 2 5 57 3" xfId="4785"/>
    <cellStyle name="Normal 2 5 58" xfId="4786"/>
    <cellStyle name="Normal 2 5 58 2" xfId="4787"/>
    <cellStyle name="Normal 2 5 58 2 2" xfId="4788"/>
    <cellStyle name="Normal 2 5 58 3" xfId="4789"/>
    <cellStyle name="Normal 2 5 59" xfId="4790"/>
    <cellStyle name="Normal 2 5 59 2" xfId="4791"/>
    <cellStyle name="Normal 2 5 59 2 2" xfId="4792"/>
    <cellStyle name="Normal 2 5 59 3" xfId="4793"/>
    <cellStyle name="Normal 2 5 6" xfId="4794"/>
    <cellStyle name="Normal 2 5 6 2" xfId="4795"/>
    <cellStyle name="Normal 2 5 6 2 2" xfId="4796"/>
    <cellStyle name="Normal 2 5 6 3" xfId="4797"/>
    <cellStyle name="Normal 2 5 60" xfId="4798"/>
    <cellStyle name="Normal 2 5 60 2" xfId="4799"/>
    <cellStyle name="Normal 2 5 60 2 2" xfId="4800"/>
    <cellStyle name="Normal 2 5 60 3" xfId="4801"/>
    <cellStyle name="Normal 2 5 61" xfId="4802"/>
    <cellStyle name="Normal 2 5 61 2" xfId="4803"/>
    <cellStyle name="Normal 2 5 61 2 2" xfId="4804"/>
    <cellStyle name="Normal 2 5 61 3" xfId="4805"/>
    <cellStyle name="Normal 2 5 62" xfId="4806"/>
    <cellStyle name="Normal 2 5 62 2" xfId="4807"/>
    <cellStyle name="Normal 2 5 62 2 2" xfId="4808"/>
    <cellStyle name="Normal 2 5 62 3" xfId="4809"/>
    <cellStyle name="Normal 2 5 63" xfId="4810"/>
    <cellStyle name="Normal 2 5 63 2" xfId="4811"/>
    <cellStyle name="Normal 2 5 63 2 2" xfId="4812"/>
    <cellStyle name="Normal 2 5 63 3" xfId="4813"/>
    <cellStyle name="Normal 2 5 64" xfId="4814"/>
    <cellStyle name="Normal 2 5 64 2" xfId="4815"/>
    <cellStyle name="Normal 2 5 64 2 2" xfId="4816"/>
    <cellStyle name="Normal 2 5 64 3" xfId="4817"/>
    <cellStyle name="Normal 2 5 65" xfId="4818"/>
    <cellStyle name="Normal 2 5 65 2" xfId="4819"/>
    <cellStyle name="Normal 2 5 65 2 2" xfId="4820"/>
    <cellStyle name="Normal 2 5 65 3" xfId="4821"/>
    <cellStyle name="Normal 2 5 66" xfId="4822"/>
    <cellStyle name="Normal 2 5 66 2" xfId="4823"/>
    <cellStyle name="Normal 2 5 66 2 2" xfId="4824"/>
    <cellStyle name="Normal 2 5 66 3" xfId="4825"/>
    <cellStyle name="Normal 2 5 67" xfId="4826"/>
    <cellStyle name="Normal 2 5 67 2" xfId="4827"/>
    <cellStyle name="Normal 2 5 67 2 2" xfId="4828"/>
    <cellStyle name="Normal 2 5 67 3" xfId="4829"/>
    <cellStyle name="Normal 2 5 68" xfId="4830"/>
    <cellStyle name="Normal 2 5 68 2" xfId="4831"/>
    <cellStyle name="Normal 2 5 68 2 2" xfId="4832"/>
    <cellStyle name="Normal 2 5 68 3" xfId="4833"/>
    <cellStyle name="Normal 2 5 69" xfId="4834"/>
    <cellStyle name="Normal 2 5 69 2" xfId="4835"/>
    <cellStyle name="Normal 2 5 69 2 2" xfId="4836"/>
    <cellStyle name="Normal 2 5 69 3" xfId="4837"/>
    <cellStyle name="Normal 2 5 7" xfId="4838"/>
    <cellStyle name="Normal 2 5 7 2" xfId="4839"/>
    <cellStyle name="Normal 2 5 7 2 2" xfId="4840"/>
    <cellStyle name="Normal 2 5 7 3" xfId="4841"/>
    <cellStyle name="Normal 2 5 70" xfId="4842"/>
    <cellStyle name="Normal 2 5 70 2" xfId="4843"/>
    <cellStyle name="Normal 2 5 70 2 2" xfId="4844"/>
    <cellStyle name="Normal 2 5 70 3" xfId="4845"/>
    <cellStyle name="Normal 2 5 71" xfId="4846"/>
    <cellStyle name="Normal 2 5 71 2" xfId="4847"/>
    <cellStyle name="Normal 2 5 71 2 2" xfId="4848"/>
    <cellStyle name="Normal 2 5 71 3" xfId="4849"/>
    <cellStyle name="Normal 2 5 72" xfId="4850"/>
    <cellStyle name="Normal 2 5 72 2" xfId="4851"/>
    <cellStyle name="Normal 2 5 72 2 2" xfId="4852"/>
    <cellStyle name="Normal 2 5 72 3" xfId="4853"/>
    <cellStyle name="Normal 2 5 73" xfId="4854"/>
    <cellStyle name="Normal 2 5 73 2" xfId="4855"/>
    <cellStyle name="Normal 2 5 73 2 2" xfId="4856"/>
    <cellStyle name="Normal 2 5 73 3" xfId="4857"/>
    <cellStyle name="Normal 2 5 74" xfId="4858"/>
    <cellStyle name="Normal 2 5 74 2" xfId="4859"/>
    <cellStyle name="Normal 2 5 74 2 2" xfId="4860"/>
    <cellStyle name="Normal 2 5 74 3" xfId="4861"/>
    <cellStyle name="Normal 2 5 75" xfId="4862"/>
    <cellStyle name="Normal 2 5 75 2" xfId="4863"/>
    <cellStyle name="Normal 2 5 75 2 2" xfId="4864"/>
    <cellStyle name="Normal 2 5 75 3" xfId="4865"/>
    <cellStyle name="Normal 2 5 76" xfId="4866"/>
    <cellStyle name="Normal 2 5 76 2" xfId="4867"/>
    <cellStyle name="Normal 2 5 76 2 2" xfId="4868"/>
    <cellStyle name="Normal 2 5 76 3" xfId="4869"/>
    <cellStyle name="Normal 2 5 77" xfId="4870"/>
    <cellStyle name="Normal 2 5 77 2" xfId="4871"/>
    <cellStyle name="Normal 2 5 77 2 2" xfId="4872"/>
    <cellStyle name="Normal 2 5 77 3" xfId="4873"/>
    <cellStyle name="Normal 2 5 78" xfId="4874"/>
    <cellStyle name="Normal 2 5 78 2" xfId="4875"/>
    <cellStyle name="Normal 2 5 78 2 2" xfId="4876"/>
    <cellStyle name="Normal 2 5 78 3" xfId="4877"/>
    <cellStyle name="Normal 2 5 79" xfId="4878"/>
    <cellStyle name="Normal 2 5 79 2" xfId="4879"/>
    <cellStyle name="Normal 2 5 79 2 2" xfId="4880"/>
    <cellStyle name="Normal 2 5 79 3" xfId="4881"/>
    <cellStyle name="Normal 2 5 8" xfId="4882"/>
    <cellStyle name="Normal 2 5 8 2" xfId="4883"/>
    <cellStyle name="Normal 2 5 8 2 2" xfId="4884"/>
    <cellStyle name="Normal 2 5 8 3" xfId="4885"/>
    <cellStyle name="Normal 2 5 80" xfId="4886"/>
    <cellStyle name="Normal 2 5 80 2" xfId="4887"/>
    <cellStyle name="Normal 2 5 80 2 2" xfId="4888"/>
    <cellStyle name="Normal 2 5 80 3" xfId="4889"/>
    <cellStyle name="Normal 2 5 81" xfId="4890"/>
    <cellStyle name="Normal 2 5 81 2" xfId="4891"/>
    <cellStyle name="Normal 2 5 81 2 2" xfId="4892"/>
    <cellStyle name="Normal 2 5 81 3" xfId="4893"/>
    <cellStyle name="Normal 2 5 82" xfId="4894"/>
    <cellStyle name="Normal 2 5 82 2" xfId="4895"/>
    <cellStyle name="Normal 2 5 82 2 2" xfId="4896"/>
    <cellStyle name="Normal 2 5 82 3" xfId="4897"/>
    <cellStyle name="Normal 2 5 83" xfId="4898"/>
    <cellStyle name="Normal 2 5 83 2" xfId="4899"/>
    <cellStyle name="Normal 2 5 83 2 2" xfId="4900"/>
    <cellStyle name="Normal 2 5 83 3" xfId="4901"/>
    <cellStyle name="Normal 2 5 84" xfId="4902"/>
    <cellStyle name="Normal 2 5 84 2" xfId="4903"/>
    <cellStyle name="Normal 2 5 84 2 2" xfId="4904"/>
    <cellStyle name="Normal 2 5 84 3" xfId="4905"/>
    <cellStyle name="Normal 2 5 85" xfId="4906"/>
    <cellStyle name="Normal 2 5 85 2" xfId="4907"/>
    <cellStyle name="Normal 2 5 85 2 2" xfId="4908"/>
    <cellStyle name="Normal 2 5 85 3" xfId="4909"/>
    <cellStyle name="Normal 2 5 86" xfId="4910"/>
    <cellStyle name="Normal 2 5 86 2" xfId="4911"/>
    <cellStyle name="Normal 2 5 86 2 2" xfId="4912"/>
    <cellStyle name="Normal 2 5 86 3" xfId="4913"/>
    <cellStyle name="Normal 2 5 87" xfId="4914"/>
    <cellStyle name="Normal 2 5 87 2" xfId="4915"/>
    <cellStyle name="Normal 2 5 87 2 2" xfId="4916"/>
    <cellStyle name="Normal 2 5 87 3" xfId="4917"/>
    <cellStyle name="Normal 2 5 88" xfId="4918"/>
    <cellStyle name="Normal 2 5 89" xfId="4919"/>
    <cellStyle name="Normal 2 5 89 2" xfId="4920"/>
    <cellStyle name="Normal 2 5 9" xfId="4921"/>
    <cellStyle name="Normal 2 5 9 2" xfId="4922"/>
    <cellStyle name="Normal 2 5 9 2 2" xfId="4923"/>
    <cellStyle name="Normal 2 5 9 3" xfId="4924"/>
    <cellStyle name="Normal 2 5 90" xfId="4925"/>
    <cellStyle name="Normal 2 5_DEER 032008 Cost Summary Delivery - Rev 4 (2)" xfId="4926"/>
    <cellStyle name="Normal 2 50" xfId="4927"/>
    <cellStyle name="Normal 2 50 2" xfId="4928"/>
    <cellStyle name="Normal 2 50 2 2" xfId="4929"/>
    <cellStyle name="Normal 2 50 3" xfId="4930"/>
    <cellStyle name="Normal 2 51" xfId="4931"/>
    <cellStyle name="Normal 2 51 2" xfId="4932"/>
    <cellStyle name="Normal 2 51 2 2" xfId="4933"/>
    <cellStyle name="Normal 2 51 3" xfId="4934"/>
    <cellStyle name="Normal 2 52" xfId="4935"/>
    <cellStyle name="Normal 2 52 2" xfId="4936"/>
    <cellStyle name="Normal 2 52 2 2" xfId="4937"/>
    <cellStyle name="Normal 2 52 3" xfId="4938"/>
    <cellStyle name="Normal 2 53" xfId="4939"/>
    <cellStyle name="Normal 2 53 2" xfId="4940"/>
    <cellStyle name="Normal 2 53 2 2" xfId="4941"/>
    <cellStyle name="Normal 2 53 3" xfId="4942"/>
    <cellStyle name="Normal 2 54" xfId="4943"/>
    <cellStyle name="Normal 2 54 2" xfId="4944"/>
    <cellStyle name="Normal 2 54 2 2" xfId="4945"/>
    <cellStyle name="Normal 2 54 3" xfId="4946"/>
    <cellStyle name="Normal 2 55" xfId="4947"/>
    <cellStyle name="Normal 2 55 2" xfId="4948"/>
    <cellStyle name="Normal 2 55 2 2" xfId="4949"/>
    <cellStyle name="Normal 2 55 3" xfId="4950"/>
    <cellStyle name="Normal 2 56" xfId="4951"/>
    <cellStyle name="Normal 2 56 2" xfId="4952"/>
    <cellStyle name="Normal 2 56 2 2" xfId="4953"/>
    <cellStyle name="Normal 2 56 3" xfId="4954"/>
    <cellStyle name="Normal 2 57" xfId="4955"/>
    <cellStyle name="Normal 2 57 2" xfId="4956"/>
    <cellStyle name="Normal 2 57 2 2" xfId="4957"/>
    <cellStyle name="Normal 2 57 3" xfId="4958"/>
    <cellStyle name="Normal 2 58" xfId="4959"/>
    <cellStyle name="Normal 2 58 2" xfId="4960"/>
    <cellStyle name="Normal 2 58 2 2" xfId="4961"/>
    <cellStyle name="Normal 2 58 3" xfId="4962"/>
    <cellStyle name="Normal 2 59" xfId="4963"/>
    <cellStyle name="Normal 2 59 2" xfId="4964"/>
    <cellStyle name="Normal 2 59 2 2" xfId="4965"/>
    <cellStyle name="Normal 2 59 3" xfId="4966"/>
    <cellStyle name="Normal 2 6" xfId="3"/>
    <cellStyle name="Normal 2 6 2" xfId="202"/>
    <cellStyle name="Normal 2 6 2 2" xfId="395"/>
    <cellStyle name="Normal 2 6 2 2 2" xfId="1121"/>
    <cellStyle name="Normal 2 6 2 2 3" xfId="1122"/>
    <cellStyle name="Normal 2 6 2 3" xfId="396"/>
    <cellStyle name="Normal 2 6 2 3 2" xfId="1123"/>
    <cellStyle name="Normal 2 6 2 4" xfId="1124"/>
    <cellStyle name="Normal 2 6 2 5" xfId="1125"/>
    <cellStyle name="Normal 2 6 3" xfId="397"/>
    <cellStyle name="Normal 2 6 3 2" xfId="398"/>
    <cellStyle name="Normal 2 6 3 2 2" xfId="1126"/>
    <cellStyle name="Normal 2 6 3 3" xfId="1127"/>
    <cellStyle name="Normal 2 6 3 3 2" xfId="1128"/>
    <cellStyle name="Normal 2 6 3 4" xfId="1129"/>
    <cellStyle name="Normal 2 6 4" xfId="399"/>
    <cellStyle name="Normal 2 6 4 2" xfId="400"/>
    <cellStyle name="Normal 2 6 5" xfId="401"/>
    <cellStyle name="Normal 2 6 6" xfId="402"/>
    <cellStyle name="Normal 2 60" xfId="4967"/>
    <cellStyle name="Normal 2 60 2" xfId="4968"/>
    <cellStyle name="Normal 2 60 2 2" xfId="4969"/>
    <cellStyle name="Normal 2 60 3" xfId="4970"/>
    <cellStyle name="Normal 2 61" xfId="4971"/>
    <cellStyle name="Normal 2 61 2" xfId="4972"/>
    <cellStyle name="Normal 2 61 2 2" xfId="4973"/>
    <cellStyle name="Normal 2 61 3" xfId="4974"/>
    <cellStyle name="Normal 2 62" xfId="4975"/>
    <cellStyle name="Normal 2 62 2" xfId="4976"/>
    <cellStyle name="Normal 2 62 2 2" xfId="4977"/>
    <cellStyle name="Normal 2 62 3" xfId="4978"/>
    <cellStyle name="Normal 2 63" xfId="4979"/>
    <cellStyle name="Normal 2 63 2" xfId="4980"/>
    <cellStyle name="Normal 2 63 2 2" xfId="4981"/>
    <cellStyle name="Normal 2 63 3" xfId="4982"/>
    <cellStyle name="Normal 2 64" xfId="4983"/>
    <cellStyle name="Normal 2 64 2" xfId="4984"/>
    <cellStyle name="Normal 2 64 2 2" xfId="4985"/>
    <cellStyle name="Normal 2 64 3" xfId="4986"/>
    <cellStyle name="Normal 2 65" xfId="4987"/>
    <cellStyle name="Normal 2 65 2" xfId="4988"/>
    <cellStyle name="Normal 2 65 2 2" xfId="4989"/>
    <cellStyle name="Normal 2 65 3" xfId="4990"/>
    <cellStyle name="Normal 2 66" xfId="4991"/>
    <cellStyle name="Normal 2 66 2" xfId="4992"/>
    <cellStyle name="Normal 2 66 2 2" xfId="4993"/>
    <cellStyle name="Normal 2 66 3" xfId="4994"/>
    <cellStyle name="Normal 2 67" xfId="4995"/>
    <cellStyle name="Normal 2 67 2" xfId="4996"/>
    <cellStyle name="Normal 2 67 2 2" xfId="4997"/>
    <cellStyle name="Normal 2 67 3" xfId="4998"/>
    <cellStyle name="Normal 2 68" xfId="4999"/>
    <cellStyle name="Normal 2 68 2" xfId="5000"/>
    <cellStyle name="Normal 2 68 2 2" xfId="5001"/>
    <cellStyle name="Normal 2 68 3" xfId="5002"/>
    <cellStyle name="Normal 2 69" xfId="5003"/>
    <cellStyle name="Normal 2 69 2" xfId="5004"/>
    <cellStyle name="Normal 2 69 2 2" xfId="5005"/>
    <cellStyle name="Normal 2 69 3" xfId="5006"/>
    <cellStyle name="Normal 2 7" xfId="203"/>
    <cellStyle name="Normal 2 7 2" xfId="204"/>
    <cellStyle name="Normal 2 7 2 2" xfId="403"/>
    <cellStyle name="Normal 2 7 2 2 2" xfId="1130"/>
    <cellStyle name="Normal 2 7 2 3" xfId="1131"/>
    <cellStyle name="Normal 2 7 2 3 2" xfId="1132"/>
    <cellStyle name="Normal 2 7 2 4" xfId="1133"/>
    <cellStyle name="Normal 2 7 3" xfId="404"/>
    <cellStyle name="Normal 2 7 4" xfId="5007"/>
    <cellStyle name="Normal 2 7 5" xfId="5008"/>
    <cellStyle name="Normal 2 70" xfId="5009"/>
    <cellStyle name="Normal 2 70 2" xfId="5010"/>
    <cellStyle name="Normal 2 70 2 2" xfId="5011"/>
    <cellStyle name="Normal 2 70 3" xfId="5012"/>
    <cellStyle name="Normal 2 71" xfId="5013"/>
    <cellStyle name="Normal 2 71 2" xfId="5014"/>
    <cellStyle name="Normal 2 71 2 2" xfId="5015"/>
    <cellStyle name="Normal 2 71 3" xfId="5016"/>
    <cellStyle name="Normal 2 72" xfId="5017"/>
    <cellStyle name="Normal 2 72 2" xfId="5018"/>
    <cellStyle name="Normal 2 72 2 2" xfId="5019"/>
    <cellStyle name="Normal 2 72 3" xfId="5020"/>
    <cellStyle name="Normal 2 73" xfId="5021"/>
    <cellStyle name="Normal 2 73 2" xfId="5022"/>
    <cellStyle name="Normal 2 73 2 2" xfId="5023"/>
    <cellStyle name="Normal 2 73 3" xfId="5024"/>
    <cellStyle name="Normal 2 74" xfId="5025"/>
    <cellStyle name="Normal 2 74 2" xfId="5026"/>
    <cellStyle name="Normal 2 74 2 2" xfId="5027"/>
    <cellStyle name="Normal 2 74 3" xfId="5028"/>
    <cellStyle name="Normal 2 75" xfId="5029"/>
    <cellStyle name="Normal 2 75 2" xfId="5030"/>
    <cellStyle name="Normal 2 75 2 2" xfId="5031"/>
    <cellStyle name="Normal 2 75 3" xfId="5032"/>
    <cellStyle name="Normal 2 76" xfId="5033"/>
    <cellStyle name="Normal 2 76 2" xfId="5034"/>
    <cellStyle name="Normal 2 76 2 2" xfId="5035"/>
    <cellStyle name="Normal 2 76 3" xfId="5036"/>
    <cellStyle name="Normal 2 77" xfId="5037"/>
    <cellStyle name="Normal 2 77 2" xfId="5038"/>
    <cellStyle name="Normal 2 77 2 2" xfId="5039"/>
    <cellStyle name="Normal 2 77 3" xfId="5040"/>
    <cellStyle name="Normal 2 78" xfId="5041"/>
    <cellStyle name="Normal 2 78 2" xfId="5042"/>
    <cellStyle name="Normal 2 78 2 2" xfId="5043"/>
    <cellStyle name="Normal 2 78 3" xfId="5044"/>
    <cellStyle name="Normal 2 79" xfId="5045"/>
    <cellStyle name="Normal 2 79 2" xfId="5046"/>
    <cellStyle name="Normal 2 79 2 2" xfId="5047"/>
    <cellStyle name="Normal 2 79 3" xfId="5048"/>
    <cellStyle name="Normal 2 8" xfId="205"/>
    <cellStyle name="Normal 2 8 10" xfId="5049"/>
    <cellStyle name="Normal 2 8 10 2" xfId="5050"/>
    <cellStyle name="Normal 2 8 10 2 2" xfId="5051"/>
    <cellStyle name="Normal 2 8 10 3" xfId="5052"/>
    <cellStyle name="Normal 2 8 11" xfId="5053"/>
    <cellStyle name="Normal 2 8 11 2" xfId="5054"/>
    <cellStyle name="Normal 2 8 11 2 2" xfId="5055"/>
    <cellStyle name="Normal 2 8 11 3" xfId="5056"/>
    <cellStyle name="Normal 2 8 12" xfId="5057"/>
    <cellStyle name="Normal 2 8 12 2" xfId="5058"/>
    <cellStyle name="Normal 2 8 12 2 2" xfId="5059"/>
    <cellStyle name="Normal 2 8 12 3" xfId="5060"/>
    <cellStyle name="Normal 2 8 13" xfId="5061"/>
    <cellStyle name="Normal 2 8 13 2" xfId="5062"/>
    <cellStyle name="Normal 2 8 13 2 2" xfId="5063"/>
    <cellStyle name="Normal 2 8 13 3" xfId="5064"/>
    <cellStyle name="Normal 2 8 14" xfId="5065"/>
    <cellStyle name="Normal 2 8 14 2" xfId="5066"/>
    <cellStyle name="Normal 2 8 14 2 2" xfId="5067"/>
    <cellStyle name="Normal 2 8 14 3" xfId="5068"/>
    <cellStyle name="Normal 2 8 15" xfId="5069"/>
    <cellStyle name="Normal 2 8 15 2" xfId="5070"/>
    <cellStyle name="Normal 2 8 15 2 2" xfId="5071"/>
    <cellStyle name="Normal 2 8 15 3" xfId="5072"/>
    <cellStyle name="Normal 2 8 16" xfId="5073"/>
    <cellStyle name="Normal 2 8 16 2" xfId="5074"/>
    <cellStyle name="Normal 2 8 16 2 2" xfId="5075"/>
    <cellStyle name="Normal 2 8 16 3" xfId="5076"/>
    <cellStyle name="Normal 2 8 17" xfId="5077"/>
    <cellStyle name="Normal 2 8 17 2" xfId="5078"/>
    <cellStyle name="Normal 2 8 17 2 2" xfId="5079"/>
    <cellStyle name="Normal 2 8 17 3" xfId="5080"/>
    <cellStyle name="Normal 2 8 18" xfId="5081"/>
    <cellStyle name="Normal 2 8 18 2" xfId="5082"/>
    <cellStyle name="Normal 2 8 18 2 2" xfId="5083"/>
    <cellStyle name="Normal 2 8 18 3" xfId="5084"/>
    <cellStyle name="Normal 2 8 19" xfId="5085"/>
    <cellStyle name="Normal 2 8 19 2" xfId="5086"/>
    <cellStyle name="Normal 2 8 19 2 2" xfId="5087"/>
    <cellStyle name="Normal 2 8 19 3" xfId="5088"/>
    <cellStyle name="Normal 2 8 2" xfId="206"/>
    <cellStyle name="Normal 2 8 2 2" xfId="1134"/>
    <cellStyle name="Normal 2 8 2 2 2" xfId="1135"/>
    <cellStyle name="Normal 2 8 2 3" xfId="1136"/>
    <cellStyle name="Normal 2 8 2 3 2" xfId="1137"/>
    <cellStyle name="Normal 2 8 2 4" xfId="1138"/>
    <cellStyle name="Normal 2 8 20" xfId="5089"/>
    <cellStyle name="Normal 2 8 20 2" xfId="5090"/>
    <cellStyle name="Normal 2 8 20 2 2" xfId="5091"/>
    <cellStyle name="Normal 2 8 20 3" xfId="5092"/>
    <cellStyle name="Normal 2 8 21" xfId="5093"/>
    <cellStyle name="Normal 2 8 21 2" xfId="5094"/>
    <cellStyle name="Normal 2 8 21 2 2" xfId="5095"/>
    <cellStyle name="Normal 2 8 21 3" xfId="5096"/>
    <cellStyle name="Normal 2 8 22" xfId="5097"/>
    <cellStyle name="Normal 2 8 22 2" xfId="5098"/>
    <cellStyle name="Normal 2 8 22 2 2" xfId="5099"/>
    <cellStyle name="Normal 2 8 22 3" xfId="5100"/>
    <cellStyle name="Normal 2 8 23" xfId="5101"/>
    <cellStyle name="Normal 2 8 23 2" xfId="5102"/>
    <cellStyle name="Normal 2 8 23 2 2" xfId="5103"/>
    <cellStyle name="Normal 2 8 23 3" xfId="5104"/>
    <cellStyle name="Normal 2 8 24" xfId="5105"/>
    <cellStyle name="Normal 2 8 24 2" xfId="5106"/>
    <cellStyle name="Normal 2 8 25" xfId="5107"/>
    <cellStyle name="Normal 2 8 3" xfId="1139"/>
    <cellStyle name="Normal 2 8 3 2" xfId="1140"/>
    <cellStyle name="Normal 2 8 3 2 2" xfId="5108"/>
    <cellStyle name="Normal 2 8 3 3" xfId="5109"/>
    <cellStyle name="Normal 2 8 4" xfId="1141"/>
    <cellStyle name="Normal 2 8 4 2" xfId="1142"/>
    <cellStyle name="Normal 2 8 4 2 2" xfId="5110"/>
    <cellStyle name="Normal 2 8 4 3" xfId="5111"/>
    <cellStyle name="Normal 2 8 5" xfId="1143"/>
    <cellStyle name="Normal 2 8 5 2" xfId="5112"/>
    <cellStyle name="Normal 2 8 5 2 2" xfId="5113"/>
    <cellStyle name="Normal 2 8 5 3" xfId="5114"/>
    <cellStyle name="Normal 2 8 6" xfId="1144"/>
    <cellStyle name="Normal 2 8 6 2" xfId="5115"/>
    <cellStyle name="Normal 2 8 6 2 2" xfId="5116"/>
    <cellStyle name="Normal 2 8 6 3" xfId="5117"/>
    <cellStyle name="Normal 2 8 7" xfId="5118"/>
    <cellStyle name="Normal 2 8 7 2" xfId="5119"/>
    <cellStyle name="Normal 2 8 7 2 2" xfId="5120"/>
    <cellStyle name="Normal 2 8 7 3" xfId="5121"/>
    <cellStyle name="Normal 2 8 8" xfId="5122"/>
    <cellStyle name="Normal 2 8 8 2" xfId="5123"/>
    <cellStyle name="Normal 2 8 8 2 2" xfId="5124"/>
    <cellStyle name="Normal 2 8 8 3" xfId="5125"/>
    <cellStyle name="Normal 2 8 9" xfId="5126"/>
    <cellStyle name="Normal 2 8 9 2" xfId="5127"/>
    <cellStyle name="Normal 2 8 9 2 2" xfId="5128"/>
    <cellStyle name="Normal 2 8 9 3" xfId="5129"/>
    <cellStyle name="Normal 2 80" xfId="5130"/>
    <cellStyle name="Normal 2 80 2" xfId="5131"/>
    <cellStyle name="Normal 2 80 2 2" xfId="5132"/>
    <cellStyle name="Normal 2 80 3" xfId="5133"/>
    <cellStyle name="Normal 2 81" xfId="5134"/>
    <cellStyle name="Normal 2 81 2" xfId="5135"/>
    <cellStyle name="Normal 2 81 2 2" xfId="5136"/>
    <cellStyle name="Normal 2 81 3" xfId="5137"/>
    <cellStyle name="Normal 2 82" xfId="5138"/>
    <cellStyle name="Normal 2 82 2" xfId="5139"/>
    <cellStyle name="Normal 2 82 2 2" xfId="5140"/>
    <cellStyle name="Normal 2 82 3" xfId="5141"/>
    <cellStyle name="Normal 2 83" xfId="5142"/>
    <cellStyle name="Normal 2 83 2" xfId="5143"/>
    <cellStyle name="Normal 2 83 2 2" xfId="5144"/>
    <cellStyle name="Normal 2 83 3" xfId="5145"/>
    <cellStyle name="Normal 2 84" xfId="5146"/>
    <cellStyle name="Normal 2 84 2" xfId="5147"/>
    <cellStyle name="Normal 2 84 2 2" xfId="5148"/>
    <cellStyle name="Normal 2 84 3" xfId="5149"/>
    <cellStyle name="Normal 2 85" xfId="5150"/>
    <cellStyle name="Normal 2 85 2" xfId="5151"/>
    <cellStyle name="Normal 2 85 2 2" xfId="5152"/>
    <cellStyle name="Normal 2 85 3" xfId="5153"/>
    <cellStyle name="Normal 2 86" xfId="5154"/>
    <cellStyle name="Normal 2 86 2" xfId="5155"/>
    <cellStyle name="Normal 2 86 2 2" xfId="5156"/>
    <cellStyle name="Normal 2 86 3" xfId="5157"/>
    <cellStyle name="Normal 2 87" xfId="5158"/>
    <cellStyle name="Normal 2 87 2" xfId="5159"/>
    <cellStyle name="Normal 2 87 2 2" xfId="5160"/>
    <cellStyle name="Normal 2 87 3" xfId="5161"/>
    <cellStyle name="Normal 2 88" xfId="5162"/>
    <cellStyle name="Normal 2 88 2" xfId="5163"/>
    <cellStyle name="Normal 2 88 2 2" xfId="5164"/>
    <cellStyle name="Normal 2 88 3" xfId="5165"/>
    <cellStyle name="Normal 2 89" xfId="5166"/>
    <cellStyle name="Normal 2 89 2" xfId="5167"/>
    <cellStyle name="Normal 2 89 2 2" xfId="5168"/>
    <cellStyle name="Normal 2 89 3" xfId="5169"/>
    <cellStyle name="Normal 2 9" xfId="207"/>
    <cellStyle name="Normal 2 9 10" xfId="5170"/>
    <cellStyle name="Normal 2 9 10 2" xfId="5171"/>
    <cellStyle name="Normal 2 9 10 2 2" xfId="5172"/>
    <cellStyle name="Normal 2 9 10 3" xfId="5173"/>
    <cellStyle name="Normal 2 9 11" xfId="5174"/>
    <cellStyle name="Normal 2 9 11 2" xfId="5175"/>
    <cellStyle name="Normal 2 9 11 2 2" xfId="5176"/>
    <cellStyle name="Normal 2 9 11 3" xfId="5177"/>
    <cellStyle name="Normal 2 9 12" xfId="5178"/>
    <cellStyle name="Normal 2 9 12 2" xfId="5179"/>
    <cellStyle name="Normal 2 9 12 2 2" xfId="5180"/>
    <cellStyle name="Normal 2 9 12 3" xfId="5181"/>
    <cellStyle name="Normal 2 9 13" xfId="5182"/>
    <cellStyle name="Normal 2 9 13 2" xfId="5183"/>
    <cellStyle name="Normal 2 9 13 2 2" xfId="5184"/>
    <cellStyle name="Normal 2 9 13 3" xfId="5185"/>
    <cellStyle name="Normal 2 9 14" xfId="5186"/>
    <cellStyle name="Normal 2 9 14 2" xfId="5187"/>
    <cellStyle name="Normal 2 9 14 2 2" xfId="5188"/>
    <cellStyle name="Normal 2 9 14 3" xfId="5189"/>
    <cellStyle name="Normal 2 9 15" xfId="5190"/>
    <cellStyle name="Normal 2 9 15 2" xfId="5191"/>
    <cellStyle name="Normal 2 9 15 2 2" xfId="5192"/>
    <cellStyle name="Normal 2 9 15 3" xfId="5193"/>
    <cellStyle name="Normal 2 9 16" xfId="5194"/>
    <cellStyle name="Normal 2 9 16 2" xfId="5195"/>
    <cellStyle name="Normal 2 9 16 2 2" xfId="5196"/>
    <cellStyle name="Normal 2 9 16 3" xfId="5197"/>
    <cellStyle name="Normal 2 9 17" xfId="5198"/>
    <cellStyle name="Normal 2 9 17 2" xfId="5199"/>
    <cellStyle name="Normal 2 9 17 2 2" xfId="5200"/>
    <cellStyle name="Normal 2 9 17 3" xfId="5201"/>
    <cellStyle name="Normal 2 9 18" xfId="5202"/>
    <cellStyle name="Normal 2 9 18 2" xfId="5203"/>
    <cellStyle name="Normal 2 9 18 2 2" xfId="5204"/>
    <cellStyle name="Normal 2 9 18 3" xfId="5205"/>
    <cellStyle name="Normal 2 9 19" xfId="5206"/>
    <cellStyle name="Normal 2 9 19 2" xfId="5207"/>
    <cellStyle name="Normal 2 9 19 2 2" xfId="5208"/>
    <cellStyle name="Normal 2 9 19 3" xfId="5209"/>
    <cellStyle name="Normal 2 9 2" xfId="208"/>
    <cellStyle name="Normal 2 9 2 2" xfId="1145"/>
    <cellStyle name="Normal 2 9 2 2 2" xfId="1146"/>
    <cellStyle name="Normal 2 9 2 3" xfId="1147"/>
    <cellStyle name="Normal 2 9 2 3 2" xfId="1148"/>
    <cellStyle name="Normal 2 9 2 4" xfId="1149"/>
    <cellStyle name="Normal 2 9 20" xfId="5210"/>
    <cellStyle name="Normal 2 9 20 2" xfId="5211"/>
    <cellStyle name="Normal 2 9 20 2 2" xfId="5212"/>
    <cellStyle name="Normal 2 9 20 3" xfId="5213"/>
    <cellStyle name="Normal 2 9 21" xfId="5214"/>
    <cellStyle name="Normal 2 9 21 2" xfId="5215"/>
    <cellStyle name="Normal 2 9 21 2 2" xfId="5216"/>
    <cellStyle name="Normal 2 9 21 3" xfId="5217"/>
    <cellStyle name="Normal 2 9 22" xfId="5218"/>
    <cellStyle name="Normal 2 9 22 2" xfId="5219"/>
    <cellStyle name="Normal 2 9 22 2 2" xfId="5220"/>
    <cellStyle name="Normal 2 9 22 3" xfId="5221"/>
    <cellStyle name="Normal 2 9 23" xfId="5222"/>
    <cellStyle name="Normal 2 9 23 2" xfId="5223"/>
    <cellStyle name="Normal 2 9 23 2 2" xfId="5224"/>
    <cellStyle name="Normal 2 9 23 3" xfId="5225"/>
    <cellStyle name="Normal 2 9 24" xfId="5226"/>
    <cellStyle name="Normal 2 9 24 2" xfId="5227"/>
    <cellStyle name="Normal 2 9 25" xfId="5228"/>
    <cellStyle name="Normal 2 9 3" xfId="1150"/>
    <cellStyle name="Normal 2 9 3 2" xfId="1151"/>
    <cellStyle name="Normal 2 9 3 2 2" xfId="5229"/>
    <cellStyle name="Normal 2 9 3 3" xfId="5230"/>
    <cellStyle name="Normal 2 9 4" xfId="1152"/>
    <cellStyle name="Normal 2 9 4 2" xfId="1153"/>
    <cellStyle name="Normal 2 9 4 2 2" xfId="5231"/>
    <cellStyle name="Normal 2 9 4 3" xfId="5232"/>
    <cellStyle name="Normal 2 9 5" xfId="1154"/>
    <cellStyle name="Normal 2 9 5 2" xfId="5233"/>
    <cellStyle name="Normal 2 9 5 2 2" xfId="5234"/>
    <cellStyle name="Normal 2 9 5 3" xfId="5235"/>
    <cellStyle name="Normal 2 9 6" xfId="5236"/>
    <cellStyle name="Normal 2 9 6 2" xfId="5237"/>
    <cellStyle name="Normal 2 9 6 2 2" xfId="5238"/>
    <cellStyle name="Normal 2 9 6 3" xfId="5239"/>
    <cellStyle name="Normal 2 9 7" xfId="5240"/>
    <cellStyle name="Normal 2 9 7 2" xfId="5241"/>
    <cellStyle name="Normal 2 9 7 2 2" xfId="5242"/>
    <cellStyle name="Normal 2 9 7 3" xfId="5243"/>
    <cellStyle name="Normal 2 9 8" xfId="5244"/>
    <cellStyle name="Normal 2 9 8 2" xfId="5245"/>
    <cellStyle name="Normal 2 9 8 2 2" xfId="5246"/>
    <cellStyle name="Normal 2 9 8 3" xfId="5247"/>
    <cellStyle name="Normal 2 9 9" xfId="5248"/>
    <cellStyle name="Normal 2 9 9 2" xfId="5249"/>
    <cellStyle name="Normal 2 9 9 2 2" xfId="5250"/>
    <cellStyle name="Normal 2 9 9 3" xfId="5251"/>
    <cellStyle name="Normal 2 90" xfId="5252"/>
    <cellStyle name="Normal 2 90 2" xfId="5253"/>
    <cellStyle name="Normal 2 90 2 2" xfId="5254"/>
    <cellStyle name="Normal 2 90 3" xfId="5255"/>
    <cellStyle name="Normal 2 91" xfId="5256"/>
    <cellStyle name="Normal 2 91 2" xfId="5257"/>
    <cellStyle name="Normal 2 91 2 2" xfId="5258"/>
    <cellStyle name="Normal 2 91 3" xfId="5259"/>
    <cellStyle name="Normal 2 92" xfId="5260"/>
    <cellStyle name="Normal 2 92 2" xfId="5261"/>
    <cellStyle name="Normal 2 92 2 2" xfId="5262"/>
    <cellStyle name="Normal 2 92 3" xfId="5263"/>
    <cellStyle name="Normal 2 93" xfId="5264"/>
    <cellStyle name="Normal 2 93 2" xfId="5265"/>
    <cellStyle name="Normal 2 93 2 2" xfId="5266"/>
    <cellStyle name="Normal 2 93 3" xfId="5267"/>
    <cellStyle name="Normal 2 94" xfId="5268"/>
    <cellStyle name="Normal 2 94 2" xfId="5269"/>
    <cellStyle name="Normal 2 94 3" xfId="5270"/>
    <cellStyle name="Normal 2 95" xfId="5271"/>
    <cellStyle name="Normal 2 95 2" xfId="5272"/>
    <cellStyle name="Normal 2 95 3" xfId="5273"/>
    <cellStyle name="Normal 2 96" xfId="5274"/>
    <cellStyle name="Normal 2 96 2" xfId="5275"/>
    <cellStyle name="Normal 2 96 3" xfId="5276"/>
    <cellStyle name="Normal 2 97" xfId="5277"/>
    <cellStyle name="Normal 2 97 2" xfId="5278"/>
    <cellStyle name="Normal 2 97 3" xfId="5279"/>
    <cellStyle name="Normal 2 98" xfId="5280"/>
    <cellStyle name="Normal 2 98 2" xfId="5281"/>
    <cellStyle name="Normal 2 98 3" xfId="5282"/>
    <cellStyle name="Normal 2 99" xfId="5283"/>
    <cellStyle name="Normal 2 99 2" xfId="5284"/>
    <cellStyle name="Normal 2 99 3" xfId="5285"/>
    <cellStyle name="Normal 2_DEER 032008 Cost Summary Delivery - Rev 4 (2)" xfId="5286"/>
    <cellStyle name="Normal 20" xfId="461"/>
    <cellStyle name="Normal 21" xfId="462"/>
    <cellStyle name="Normal 22" xfId="463"/>
    <cellStyle name="Normal 23" xfId="464"/>
    <cellStyle name="Normal 24" xfId="465"/>
    <cellStyle name="Normal 24 2" xfId="5287"/>
    <cellStyle name="Normal 25" xfId="466"/>
    <cellStyle name="Normal 26" xfId="467"/>
    <cellStyle name="Normal 27" xfId="468"/>
    <cellStyle name="Normal 28" xfId="469"/>
    <cellStyle name="Normal 29" xfId="470"/>
    <cellStyle name="Normal 3" xfId="209"/>
    <cellStyle name="Normal 3 10" xfId="5288"/>
    <cellStyle name="Normal 3 10 10" xfId="5289"/>
    <cellStyle name="Normal 3 10 10 2" xfId="5290"/>
    <cellStyle name="Normal 3 10 10 2 2" xfId="5291"/>
    <cellStyle name="Normal 3 10 10 3" xfId="5292"/>
    <cellStyle name="Normal 3 10 11" xfId="5293"/>
    <cellStyle name="Normal 3 10 11 2" xfId="5294"/>
    <cellStyle name="Normal 3 10 11 2 2" xfId="5295"/>
    <cellStyle name="Normal 3 10 11 3" xfId="5296"/>
    <cellStyle name="Normal 3 10 12" xfId="5297"/>
    <cellStyle name="Normal 3 10 12 2" xfId="5298"/>
    <cellStyle name="Normal 3 10 12 2 2" xfId="5299"/>
    <cellStyle name="Normal 3 10 12 3" xfId="5300"/>
    <cellStyle name="Normal 3 10 13" xfId="5301"/>
    <cellStyle name="Normal 3 10 13 2" xfId="5302"/>
    <cellStyle name="Normal 3 10 13 2 2" xfId="5303"/>
    <cellStyle name="Normal 3 10 13 3" xfId="5304"/>
    <cellStyle name="Normal 3 10 14" xfId="5305"/>
    <cellStyle name="Normal 3 10 14 2" xfId="5306"/>
    <cellStyle name="Normal 3 10 14 2 2" xfId="5307"/>
    <cellStyle name="Normal 3 10 14 3" xfId="5308"/>
    <cellStyle name="Normal 3 10 15" xfId="5309"/>
    <cellStyle name="Normal 3 10 15 2" xfId="5310"/>
    <cellStyle name="Normal 3 10 15 2 2" xfId="5311"/>
    <cellStyle name="Normal 3 10 15 3" xfId="5312"/>
    <cellStyle name="Normal 3 10 16" xfId="5313"/>
    <cellStyle name="Normal 3 10 16 2" xfId="5314"/>
    <cellStyle name="Normal 3 10 16 2 2" xfId="5315"/>
    <cellStyle name="Normal 3 10 16 3" xfId="5316"/>
    <cellStyle name="Normal 3 10 17" xfId="5317"/>
    <cellStyle name="Normal 3 10 17 2" xfId="5318"/>
    <cellStyle name="Normal 3 10 17 2 2" xfId="5319"/>
    <cellStyle name="Normal 3 10 17 3" xfId="5320"/>
    <cellStyle name="Normal 3 10 18" xfId="5321"/>
    <cellStyle name="Normal 3 10 18 2" xfId="5322"/>
    <cellStyle name="Normal 3 10 18 2 2" xfId="5323"/>
    <cellStyle name="Normal 3 10 18 3" xfId="5324"/>
    <cellStyle name="Normal 3 10 19" xfId="5325"/>
    <cellStyle name="Normal 3 10 19 2" xfId="5326"/>
    <cellStyle name="Normal 3 10 19 2 2" xfId="5327"/>
    <cellStyle name="Normal 3 10 19 3" xfId="5328"/>
    <cellStyle name="Normal 3 10 2" xfId="5329"/>
    <cellStyle name="Normal 3 10 2 2" xfId="5330"/>
    <cellStyle name="Normal 3 10 2 2 2" xfId="5331"/>
    <cellStyle name="Normal 3 10 2 3" xfId="5332"/>
    <cellStyle name="Normal 3 10 20" xfId="5333"/>
    <cellStyle name="Normal 3 10 20 2" xfId="5334"/>
    <cellStyle name="Normal 3 10 20 2 2" xfId="5335"/>
    <cellStyle name="Normal 3 10 20 3" xfId="5336"/>
    <cellStyle name="Normal 3 10 21" xfId="5337"/>
    <cellStyle name="Normal 3 10 21 2" xfId="5338"/>
    <cellStyle name="Normal 3 10 21 2 2" xfId="5339"/>
    <cellStyle name="Normal 3 10 21 3" xfId="5340"/>
    <cellStyle name="Normal 3 10 22" xfId="5341"/>
    <cellStyle name="Normal 3 10 22 2" xfId="5342"/>
    <cellStyle name="Normal 3 10 22 2 2" xfId="5343"/>
    <cellStyle name="Normal 3 10 22 3" xfId="5344"/>
    <cellStyle name="Normal 3 10 23" xfId="5345"/>
    <cellStyle name="Normal 3 10 23 2" xfId="5346"/>
    <cellStyle name="Normal 3 10 23 2 2" xfId="5347"/>
    <cellStyle name="Normal 3 10 23 3" xfId="5348"/>
    <cellStyle name="Normal 3 10 24" xfId="5349"/>
    <cellStyle name="Normal 3 10 24 2" xfId="5350"/>
    <cellStyle name="Normal 3 10 25" xfId="5351"/>
    <cellStyle name="Normal 3 10 3" xfId="5352"/>
    <cellStyle name="Normal 3 10 3 2" xfId="5353"/>
    <cellStyle name="Normal 3 10 3 2 2" xfId="5354"/>
    <cellStyle name="Normal 3 10 3 3" xfId="5355"/>
    <cellStyle name="Normal 3 10 4" xfId="5356"/>
    <cellStyle name="Normal 3 10 4 2" xfId="5357"/>
    <cellStyle name="Normal 3 10 4 2 2" xfId="5358"/>
    <cellStyle name="Normal 3 10 4 3" xfId="5359"/>
    <cellStyle name="Normal 3 10 5" xfId="5360"/>
    <cellStyle name="Normal 3 10 5 2" xfId="5361"/>
    <cellStyle name="Normal 3 10 5 2 2" xfId="5362"/>
    <cellStyle name="Normal 3 10 5 3" xfId="5363"/>
    <cellStyle name="Normal 3 10 6" xfId="5364"/>
    <cellStyle name="Normal 3 10 6 2" xfId="5365"/>
    <cellStyle name="Normal 3 10 6 2 2" xfId="5366"/>
    <cellStyle name="Normal 3 10 6 3" xfId="5367"/>
    <cellStyle name="Normal 3 10 7" xfId="5368"/>
    <cellStyle name="Normal 3 10 7 2" xfId="5369"/>
    <cellStyle name="Normal 3 10 7 2 2" xfId="5370"/>
    <cellStyle name="Normal 3 10 7 3" xfId="5371"/>
    <cellStyle name="Normal 3 10 8" xfId="5372"/>
    <cellStyle name="Normal 3 10 8 2" xfId="5373"/>
    <cellStyle name="Normal 3 10 8 2 2" xfId="5374"/>
    <cellStyle name="Normal 3 10 8 3" xfId="5375"/>
    <cellStyle name="Normal 3 10 9" xfId="5376"/>
    <cellStyle name="Normal 3 10 9 2" xfId="5377"/>
    <cellStyle name="Normal 3 10 9 2 2" xfId="5378"/>
    <cellStyle name="Normal 3 10 9 3" xfId="5379"/>
    <cellStyle name="Normal 3 11" xfId="5380"/>
    <cellStyle name="Normal 3 11 10" xfId="5381"/>
    <cellStyle name="Normal 3 11 10 2" xfId="5382"/>
    <cellStyle name="Normal 3 11 10 2 2" xfId="5383"/>
    <cellStyle name="Normal 3 11 10 3" xfId="5384"/>
    <cellStyle name="Normal 3 11 11" xfId="5385"/>
    <cellStyle name="Normal 3 11 11 2" xfId="5386"/>
    <cellStyle name="Normal 3 11 11 2 2" xfId="5387"/>
    <cellStyle name="Normal 3 11 11 3" xfId="5388"/>
    <cellStyle name="Normal 3 11 12" xfId="5389"/>
    <cellStyle name="Normal 3 11 12 2" xfId="5390"/>
    <cellStyle name="Normal 3 11 12 2 2" xfId="5391"/>
    <cellStyle name="Normal 3 11 12 3" xfId="5392"/>
    <cellStyle name="Normal 3 11 13" xfId="5393"/>
    <cellStyle name="Normal 3 11 13 2" xfId="5394"/>
    <cellStyle name="Normal 3 11 13 2 2" xfId="5395"/>
    <cellStyle name="Normal 3 11 13 3" xfId="5396"/>
    <cellStyle name="Normal 3 11 14" xfId="5397"/>
    <cellStyle name="Normal 3 11 14 2" xfId="5398"/>
    <cellStyle name="Normal 3 11 14 2 2" xfId="5399"/>
    <cellStyle name="Normal 3 11 14 3" xfId="5400"/>
    <cellStyle name="Normal 3 11 15" xfId="5401"/>
    <cellStyle name="Normal 3 11 15 2" xfId="5402"/>
    <cellStyle name="Normal 3 11 15 2 2" xfId="5403"/>
    <cellStyle name="Normal 3 11 15 3" xfId="5404"/>
    <cellStyle name="Normal 3 11 16" xfId="5405"/>
    <cellStyle name="Normal 3 11 16 2" xfId="5406"/>
    <cellStyle name="Normal 3 11 16 2 2" xfId="5407"/>
    <cellStyle name="Normal 3 11 16 3" xfId="5408"/>
    <cellStyle name="Normal 3 11 17" xfId="5409"/>
    <cellStyle name="Normal 3 11 17 2" xfId="5410"/>
    <cellStyle name="Normal 3 11 17 2 2" xfId="5411"/>
    <cellStyle name="Normal 3 11 17 3" xfId="5412"/>
    <cellStyle name="Normal 3 11 18" xfId="5413"/>
    <cellStyle name="Normal 3 11 18 2" xfId="5414"/>
    <cellStyle name="Normal 3 11 18 2 2" xfId="5415"/>
    <cellStyle name="Normal 3 11 18 3" xfId="5416"/>
    <cellStyle name="Normal 3 11 19" xfId="5417"/>
    <cellStyle name="Normal 3 11 19 2" xfId="5418"/>
    <cellStyle name="Normal 3 11 19 2 2" xfId="5419"/>
    <cellStyle name="Normal 3 11 19 3" xfId="5420"/>
    <cellStyle name="Normal 3 11 2" xfId="5421"/>
    <cellStyle name="Normal 3 11 2 2" xfId="5422"/>
    <cellStyle name="Normal 3 11 2 2 2" xfId="5423"/>
    <cellStyle name="Normal 3 11 2 3" xfId="5424"/>
    <cellStyle name="Normal 3 11 20" xfId="5425"/>
    <cellStyle name="Normal 3 11 20 2" xfId="5426"/>
    <cellStyle name="Normal 3 11 20 2 2" xfId="5427"/>
    <cellStyle name="Normal 3 11 20 3" xfId="5428"/>
    <cellStyle name="Normal 3 11 21" xfId="5429"/>
    <cellStyle name="Normal 3 11 21 2" xfId="5430"/>
    <cellStyle name="Normal 3 11 21 2 2" xfId="5431"/>
    <cellStyle name="Normal 3 11 21 3" xfId="5432"/>
    <cellStyle name="Normal 3 11 22" xfId="5433"/>
    <cellStyle name="Normal 3 11 22 2" xfId="5434"/>
    <cellStyle name="Normal 3 11 22 2 2" xfId="5435"/>
    <cellStyle name="Normal 3 11 22 3" xfId="5436"/>
    <cellStyle name="Normal 3 11 23" xfId="5437"/>
    <cellStyle name="Normal 3 11 23 2" xfId="5438"/>
    <cellStyle name="Normal 3 11 23 2 2" xfId="5439"/>
    <cellStyle name="Normal 3 11 23 3" xfId="5440"/>
    <cellStyle name="Normal 3 11 24" xfId="5441"/>
    <cellStyle name="Normal 3 11 24 2" xfId="5442"/>
    <cellStyle name="Normal 3 11 25" xfId="5443"/>
    <cellStyle name="Normal 3 11 3" xfId="5444"/>
    <cellStyle name="Normal 3 11 3 2" xfId="5445"/>
    <cellStyle name="Normal 3 11 3 2 2" xfId="5446"/>
    <cellStyle name="Normal 3 11 3 3" xfId="5447"/>
    <cellStyle name="Normal 3 11 4" xfId="5448"/>
    <cellStyle name="Normal 3 11 4 2" xfId="5449"/>
    <cellStyle name="Normal 3 11 4 2 2" xfId="5450"/>
    <cellStyle name="Normal 3 11 4 3" xfId="5451"/>
    <cellStyle name="Normal 3 11 5" xfId="5452"/>
    <cellStyle name="Normal 3 11 5 2" xfId="5453"/>
    <cellStyle name="Normal 3 11 5 2 2" xfId="5454"/>
    <cellStyle name="Normal 3 11 5 3" xfId="5455"/>
    <cellStyle name="Normal 3 11 6" xfId="5456"/>
    <cellStyle name="Normal 3 11 6 2" xfId="5457"/>
    <cellStyle name="Normal 3 11 6 2 2" xfId="5458"/>
    <cellStyle name="Normal 3 11 6 3" xfId="5459"/>
    <cellStyle name="Normal 3 11 7" xfId="5460"/>
    <cellStyle name="Normal 3 11 7 2" xfId="5461"/>
    <cellStyle name="Normal 3 11 7 2 2" xfId="5462"/>
    <cellStyle name="Normal 3 11 7 3" xfId="5463"/>
    <cellStyle name="Normal 3 11 8" xfId="5464"/>
    <cellStyle name="Normal 3 11 8 2" xfId="5465"/>
    <cellStyle name="Normal 3 11 8 2 2" xfId="5466"/>
    <cellStyle name="Normal 3 11 8 3" xfId="5467"/>
    <cellStyle name="Normal 3 11 9" xfId="5468"/>
    <cellStyle name="Normal 3 11 9 2" xfId="5469"/>
    <cellStyle name="Normal 3 11 9 2 2" xfId="5470"/>
    <cellStyle name="Normal 3 11 9 3" xfId="5471"/>
    <cellStyle name="Normal 3 12" xfId="5472"/>
    <cellStyle name="Normal 3 12 10" xfId="5473"/>
    <cellStyle name="Normal 3 12 10 2" xfId="5474"/>
    <cellStyle name="Normal 3 12 10 2 2" xfId="5475"/>
    <cellStyle name="Normal 3 12 10 3" xfId="5476"/>
    <cellStyle name="Normal 3 12 11" xfId="5477"/>
    <cellStyle name="Normal 3 12 11 2" xfId="5478"/>
    <cellStyle name="Normal 3 12 11 2 2" xfId="5479"/>
    <cellStyle name="Normal 3 12 11 3" xfId="5480"/>
    <cellStyle name="Normal 3 12 12" xfId="5481"/>
    <cellStyle name="Normal 3 12 12 2" xfId="5482"/>
    <cellStyle name="Normal 3 12 12 2 2" xfId="5483"/>
    <cellStyle name="Normal 3 12 12 3" xfId="5484"/>
    <cellStyle name="Normal 3 12 13" xfId="5485"/>
    <cellStyle name="Normal 3 12 13 2" xfId="5486"/>
    <cellStyle name="Normal 3 12 13 2 2" xfId="5487"/>
    <cellStyle name="Normal 3 12 13 3" xfId="5488"/>
    <cellStyle name="Normal 3 12 14" xfId="5489"/>
    <cellStyle name="Normal 3 12 14 2" xfId="5490"/>
    <cellStyle name="Normal 3 12 14 2 2" xfId="5491"/>
    <cellStyle name="Normal 3 12 14 3" xfId="5492"/>
    <cellStyle name="Normal 3 12 15" xfId="5493"/>
    <cellStyle name="Normal 3 12 15 2" xfId="5494"/>
    <cellStyle name="Normal 3 12 15 2 2" xfId="5495"/>
    <cellStyle name="Normal 3 12 15 3" xfId="5496"/>
    <cellStyle name="Normal 3 12 16" xfId="5497"/>
    <cellStyle name="Normal 3 12 16 2" xfId="5498"/>
    <cellStyle name="Normal 3 12 16 2 2" xfId="5499"/>
    <cellStyle name="Normal 3 12 16 3" xfId="5500"/>
    <cellStyle name="Normal 3 12 17" xfId="5501"/>
    <cellStyle name="Normal 3 12 17 2" xfId="5502"/>
    <cellStyle name="Normal 3 12 17 2 2" xfId="5503"/>
    <cellStyle name="Normal 3 12 17 3" xfId="5504"/>
    <cellStyle name="Normal 3 12 18" xfId="5505"/>
    <cellStyle name="Normal 3 12 18 2" xfId="5506"/>
    <cellStyle name="Normal 3 12 18 2 2" xfId="5507"/>
    <cellStyle name="Normal 3 12 18 3" xfId="5508"/>
    <cellStyle name="Normal 3 12 19" xfId="5509"/>
    <cellStyle name="Normal 3 12 19 2" xfId="5510"/>
    <cellStyle name="Normal 3 12 19 2 2" xfId="5511"/>
    <cellStyle name="Normal 3 12 19 3" xfId="5512"/>
    <cellStyle name="Normal 3 12 2" xfId="5513"/>
    <cellStyle name="Normal 3 12 2 2" xfId="5514"/>
    <cellStyle name="Normal 3 12 2 2 2" xfId="5515"/>
    <cellStyle name="Normal 3 12 2 3" xfId="5516"/>
    <cellStyle name="Normal 3 12 20" xfId="5517"/>
    <cellStyle name="Normal 3 12 20 2" xfId="5518"/>
    <cellStyle name="Normal 3 12 20 2 2" xfId="5519"/>
    <cellStyle name="Normal 3 12 20 3" xfId="5520"/>
    <cellStyle name="Normal 3 12 21" xfId="5521"/>
    <cellStyle name="Normal 3 12 21 2" xfId="5522"/>
    <cellStyle name="Normal 3 12 21 2 2" xfId="5523"/>
    <cellStyle name="Normal 3 12 21 3" xfId="5524"/>
    <cellStyle name="Normal 3 12 22" xfId="5525"/>
    <cellStyle name="Normal 3 12 22 2" xfId="5526"/>
    <cellStyle name="Normal 3 12 22 2 2" xfId="5527"/>
    <cellStyle name="Normal 3 12 22 3" xfId="5528"/>
    <cellStyle name="Normal 3 12 23" xfId="5529"/>
    <cellStyle name="Normal 3 12 23 2" xfId="5530"/>
    <cellStyle name="Normal 3 12 23 2 2" xfId="5531"/>
    <cellStyle name="Normal 3 12 23 3" xfId="5532"/>
    <cellStyle name="Normal 3 12 24" xfId="5533"/>
    <cellStyle name="Normal 3 12 24 2" xfId="5534"/>
    <cellStyle name="Normal 3 12 25" xfId="5535"/>
    <cellStyle name="Normal 3 12 3" xfId="5536"/>
    <cellStyle name="Normal 3 12 3 2" xfId="5537"/>
    <cellStyle name="Normal 3 12 3 2 2" xfId="5538"/>
    <cellStyle name="Normal 3 12 3 3" xfId="5539"/>
    <cellStyle name="Normal 3 12 4" xfId="5540"/>
    <cellStyle name="Normal 3 12 4 2" xfId="5541"/>
    <cellStyle name="Normal 3 12 4 2 2" xfId="5542"/>
    <cellStyle name="Normal 3 12 4 3" xfId="5543"/>
    <cellStyle name="Normal 3 12 5" xfId="5544"/>
    <cellStyle name="Normal 3 12 5 2" xfId="5545"/>
    <cellStyle name="Normal 3 12 5 2 2" xfId="5546"/>
    <cellStyle name="Normal 3 12 5 3" xfId="5547"/>
    <cellStyle name="Normal 3 12 6" xfId="5548"/>
    <cellStyle name="Normal 3 12 6 2" xfId="5549"/>
    <cellStyle name="Normal 3 12 6 2 2" xfId="5550"/>
    <cellStyle name="Normal 3 12 6 3" xfId="5551"/>
    <cellStyle name="Normal 3 12 7" xfId="5552"/>
    <cellStyle name="Normal 3 12 7 2" xfId="5553"/>
    <cellStyle name="Normal 3 12 7 2 2" xfId="5554"/>
    <cellStyle name="Normal 3 12 7 3" xfId="5555"/>
    <cellStyle name="Normal 3 12 8" xfId="5556"/>
    <cellStyle name="Normal 3 12 8 2" xfId="5557"/>
    <cellStyle name="Normal 3 12 8 2 2" xfId="5558"/>
    <cellStyle name="Normal 3 12 8 3" xfId="5559"/>
    <cellStyle name="Normal 3 12 9" xfId="5560"/>
    <cellStyle name="Normal 3 12 9 2" xfId="5561"/>
    <cellStyle name="Normal 3 12 9 2 2" xfId="5562"/>
    <cellStyle name="Normal 3 12 9 3" xfId="5563"/>
    <cellStyle name="Normal 3 13" xfId="5564"/>
    <cellStyle name="Normal 3 13 10" xfId="5565"/>
    <cellStyle name="Normal 3 13 10 2" xfId="5566"/>
    <cellStyle name="Normal 3 13 10 2 2" xfId="5567"/>
    <cellStyle name="Normal 3 13 10 3" xfId="5568"/>
    <cellStyle name="Normal 3 13 11" xfId="5569"/>
    <cellStyle name="Normal 3 13 11 2" xfId="5570"/>
    <cellStyle name="Normal 3 13 11 2 2" xfId="5571"/>
    <cellStyle name="Normal 3 13 11 3" xfId="5572"/>
    <cellStyle name="Normal 3 13 12" xfId="5573"/>
    <cellStyle name="Normal 3 13 12 2" xfId="5574"/>
    <cellStyle name="Normal 3 13 12 2 2" xfId="5575"/>
    <cellStyle name="Normal 3 13 12 3" xfId="5576"/>
    <cellStyle name="Normal 3 13 13" xfId="5577"/>
    <cellStyle name="Normal 3 13 13 2" xfId="5578"/>
    <cellStyle name="Normal 3 13 13 2 2" xfId="5579"/>
    <cellStyle name="Normal 3 13 13 3" xfId="5580"/>
    <cellStyle name="Normal 3 13 14" xfId="5581"/>
    <cellStyle name="Normal 3 13 14 2" xfId="5582"/>
    <cellStyle name="Normal 3 13 14 2 2" xfId="5583"/>
    <cellStyle name="Normal 3 13 14 3" xfId="5584"/>
    <cellStyle name="Normal 3 13 15" xfId="5585"/>
    <cellStyle name="Normal 3 13 15 2" xfId="5586"/>
    <cellStyle name="Normal 3 13 15 2 2" xfId="5587"/>
    <cellStyle name="Normal 3 13 15 3" xfId="5588"/>
    <cellStyle name="Normal 3 13 16" xfId="5589"/>
    <cellStyle name="Normal 3 13 16 2" xfId="5590"/>
    <cellStyle name="Normal 3 13 16 2 2" xfId="5591"/>
    <cellStyle name="Normal 3 13 16 3" xfId="5592"/>
    <cellStyle name="Normal 3 13 17" xfId="5593"/>
    <cellStyle name="Normal 3 13 17 2" xfId="5594"/>
    <cellStyle name="Normal 3 13 17 2 2" xfId="5595"/>
    <cellStyle name="Normal 3 13 17 3" xfId="5596"/>
    <cellStyle name="Normal 3 13 18" xfId="5597"/>
    <cellStyle name="Normal 3 13 18 2" xfId="5598"/>
    <cellStyle name="Normal 3 13 18 2 2" xfId="5599"/>
    <cellStyle name="Normal 3 13 18 3" xfId="5600"/>
    <cellStyle name="Normal 3 13 19" xfId="5601"/>
    <cellStyle name="Normal 3 13 19 2" xfId="5602"/>
    <cellStyle name="Normal 3 13 19 2 2" xfId="5603"/>
    <cellStyle name="Normal 3 13 19 3" xfId="5604"/>
    <cellStyle name="Normal 3 13 2" xfId="5605"/>
    <cellStyle name="Normal 3 13 2 2" xfId="5606"/>
    <cellStyle name="Normal 3 13 2 2 2" xfId="5607"/>
    <cellStyle name="Normal 3 13 2 3" xfId="5608"/>
    <cellStyle name="Normal 3 13 20" xfId="5609"/>
    <cellStyle name="Normal 3 13 20 2" xfId="5610"/>
    <cellStyle name="Normal 3 13 20 2 2" xfId="5611"/>
    <cellStyle name="Normal 3 13 20 3" xfId="5612"/>
    <cellStyle name="Normal 3 13 21" xfId="5613"/>
    <cellStyle name="Normal 3 13 21 2" xfId="5614"/>
    <cellStyle name="Normal 3 13 21 2 2" xfId="5615"/>
    <cellStyle name="Normal 3 13 21 3" xfId="5616"/>
    <cellStyle name="Normal 3 13 22" xfId="5617"/>
    <cellStyle name="Normal 3 13 22 2" xfId="5618"/>
    <cellStyle name="Normal 3 13 22 2 2" xfId="5619"/>
    <cellStyle name="Normal 3 13 22 3" xfId="5620"/>
    <cellStyle name="Normal 3 13 23" xfId="5621"/>
    <cellStyle name="Normal 3 13 23 2" xfId="5622"/>
    <cellStyle name="Normal 3 13 23 2 2" xfId="5623"/>
    <cellStyle name="Normal 3 13 23 3" xfId="5624"/>
    <cellStyle name="Normal 3 13 24" xfId="5625"/>
    <cellStyle name="Normal 3 13 24 2" xfId="5626"/>
    <cellStyle name="Normal 3 13 25" xfId="5627"/>
    <cellStyle name="Normal 3 13 3" xfId="5628"/>
    <cellStyle name="Normal 3 13 3 2" xfId="5629"/>
    <cellStyle name="Normal 3 13 3 2 2" xfId="5630"/>
    <cellStyle name="Normal 3 13 3 3" xfId="5631"/>
    <cellStyle name="Normal 3 13 4" xfId="5632"/>
    <cellStyle name="Normal 3 13 4 2" xfId="5633"/>
    <cellStyle name="Normal 3 13 4 2 2" xfId="5634"/>
    <cellStyle name="Normal 3 13 4 3" xfId="5635"/>
    <cellStyle name="Normal 3 13 5" xfId="5636"/>
    <cellStyle name="Normal 3 13 5 2" xfId="5637"/>
    <cellStyle name="Normal 3 13 5 2 2" xfId="5638"/>
    <cellStyle name="Normal 3 13 5 3" xfId="5639"/>
    <cellStyle name="Normal 3 13 6" xfId="5640"/>
    <cellStyle name="Normal 3 13 6 2" xfId="5641"/>
    <cellStyle name="Normal 3 13 6 2 2" xfId="5642"/>
    <cellStyle name="Normal 3 13 6 3" xfId="5643"/>
    <cellStyle name="Normal 3 13 7" xfId="5644"/>
    <cellStyle name="Normal 3 13 7 2" xfId="5645"/>
    <cellStyle name="Normal 3 13 7 2 2" xfId="5646"/>
    <cellStyle name="Normal 3 13 7 3" xfId="5647"/>
    <cellStyle name="Normal 3 13 8" xfId="5648"/>
    <cellStyle name="Normal 3 13 8 2" xfId="5649"/>
    <cellStyle name="Normal 3 13 8 2 2" xfId="5650"/>
    <cellStyle name="Normal 3 13 8 3" xfId="5651"/>
    <cellStyle name="Normal 3 13 9" xfId="5652"/>
    <cellStyle name="Normal 3 13 9 2" xfId="5653"/>
    <cellStyle name="Normal 3 13 9 2 2" xfId="5654"/>
    <cellStyle name="Normal 3 13 9 3" xfId="5655"/>
    <cellStyle name="Normal 3 14" xfId="5656"/>
    <cellStyle name="Normal 3 14 10" xfId="5657"/>
    <cellStyle name="Normal 3 14 10 2" xfId="5658"/>
    <cellStyle name="Normal 3 14 10 2 2" xfId="5659"/>
    <cellStyle name="Normal 3 14 10 3" xfId="5660"/>
    <cellStyle name="Normal 3 14 11" xfId="5661"/>
    <cellStyle name="Normal 3 14 11 2" xfId="5662"/>
    <cellStyle name="Normal 3 14 11 2 2" xfId="5663"/>
    <cellStyle name="Normal 3 14 11 3" xfId="5664"/>
    <cellStyle name="Normal 3 14 12" xfId="5665"/>
    <cellStyle name="Normal 3 14 12 2" xfId="5666"/>
    <cellStyle name="Normal 3 14 12 2 2" xfId="5667"/>
    <cellStyle name="Normal 3 14 12 3" xfId="5668"/>
    <cellStyle name="Normal 3 14 13" xfId="5669"/>
    <cellStyle name="Normal 3 14 13 2" xfId="5670"/>
    <cellStyle name="Normal 3 14 13 2 2" xfId="5671"/>
    <cellStyle name="Normal 3 14 13 3" xfId="5672"/>
    <cellStyle name="Normal 3 14 14" xfId="5673"/>
    <cellStyle name="Normal 3 14 14 2" xfId="5674"/>
    <cellStyle name="Normal 3 14 14 2 2" xfId="5675"/>
    <cellStyle name="Normal 3 14 14 3" xfId="5676"/>
    <cellStyle name="Normal 3 14 15" xfId="5677"/>
    <cellStyle name="Normal 3 14 15 2" xfId="5678"/>
    <cellStyle name="Normal 3 14 15 2 2" xfId="5679"/>
    <cellStyle name="Normal 3 14 15 3" xfId="5680"/>
    <cellStyle name="Normal 3 14 16" xfId="5681"/>
    <cellStyle name="Normal 3 14 16 2" xfId="5682"/>
    <cellStyle name="Normal 3 14 16 2 2" xfId="5683"/>
    <cellStyle name="Normal 3 14 16 3" xfId="5684"/>
    <cellStyle name="Normal 3 14 17" xfId="5685"/>
    <cellStyle name="Normal 3 14 17 2" xfId="5686"/>
    <cellStyle name="Normal 3 14 17 2 2" xfId="5687"/>
    <cellStyle name="Normal 3 14 17 3" xfId="5688"/>
    <cellStyle name="Normal 3 14 18" xfId="5689"/>
    <cellStyle name="Normal 3 14 18 2" xfId="5690"/>
    <cellStyle name="Normal 3 14 18 2 2" xfId="5691"/>
    <cellStyle name="Normal 3 14 18 3" xfId="5692"/>
    <cellStyle name="Normal 3 14 19" xfId="5693"/>
    <cellStyle name="Normal 3 14 19 2" xfId="5694"/>
    <cellStyle name="Normal 3 14 19 2 2" xfId="5695"/>
    <cellStyle name="Normal 3 14 19 3" xfId="5696"/>
    <cellStyle name="Normal 3 14 2" xfId="5697"/>
    <cellStyle name="Normal 3 14 2 2" xfId="5698"/>
    <cellStyle name="Normal 3 14 2 2 2" xfId="5699"/>
    <cellStyle name="Normal 3 14 2 3" xfId="5700"/>
    <cellStyle name="Normal 3 14 20" xfId="5701"/>
    <cellStyle name="Normal 3 14 20 2" xfId="5702"/>
    <cellStyle name="Normal 3 14 20 2 2" xfId="5703"/>
    <cellStyle name="Normal 3 14 20 3" xfId="5704"/>
    <cellStyle name="Normal 3 14 21" xfId="5705"/>
    <cellStyle name="Normal 3 14 21 2" xfId="5706"/>
    <cellStyle name="Normal 3 14 21 2 2" xfId="5707"/>
    <cellStyle name="Normal 3 14 21 3" xfId="5708"/>
    <cellStyle name="Normal 3 14 22" xfId="5709"/>
    <cellStyle name="Normal 3 14 22 2" xfId="5710"/>
    <cellStyle name="Normal 3 14 22 2 2" xfId="5711"/>
    <cellStyle name="Normal 3 14 22 3" xfId="5712"/>
    <cellStyle name="Normal 3 14 23" xfId="5713"/>
    <cellStyle name="Normal 3 14 23 2" xfId="5714"/>
    <cellStyle name="Normal 3 14 23 2 2" xfId="5715"/>
    <cellStyle name="Normal 3 14 23 3" xfId="5716"/>
    <cellStyle name="Normal 3 14 24" xfId="5717"/>
    <cellStyle name="Normal 3 14 24 2" xfId="5718"/>
    <cellStyle name="Normal 3 14 25" xfId="5719"/>
    <cellStyle name="Normal 3 14 3" xfId="5720"/>
    <cellStyle name="Normal 3 14 3 2" xfId="5721"/>
    <cellStyle name="Normal 3 14 3 2 2" xfId="5722"/>
    <cellStyle name="Normal 3 14 3 3" xfId="5723"/>
    <cellStyle name="Normal 3 14 4" xfId="5724"/>
    <cellStyle name="Normal 3 14 4 2" xfId="5725"/>
    <cellStyle name="Normal 3 14 4 2 2" xfId="5726"/>
    <cellStyle name="Normal 3 14 4 3" xfId="5727"/>
    <cellStyle name="Normal 3 14 5" xfId="5728"/>
    <cellStyle name="Normal 3 14 5 2" xfId="5729"/>
    <cellStyle name="Normal 3 14 5 2 2" xfId="5730"/>
    <cellStyle name="Normal 3 14 5 3" xfId="5731"/>
    <cellStyle name="Normal 3 14 6" xfId="5732"/>
    <cellStyle name="Normal 3 14 6 2" xfId="5733"/>
    <cellStyle name="Normal 3 14 6 2 2" xfId="5734"/>
    <cellStyle name="Normal 3 14 6 3" xfId="5735"/>
    <cellStyle name="Normal 3 14 7" xfId="5736"/>
    <cellStyle name="Normal 3 14 7 2" xfId="5737"/>
    <cellStyle name="Normal 3 14 7 2 2" xfId="5738"/>
    <cellStyle name="Normal 3 14 7 3" xfId="5739"/>
    <cellStyle name="Normal 3 14 8" xfId="5740"/>
    <cellStyle name="Normal 3 14 8 2" xfId="5741"/>
    <cellStyle name="Normal 3 14 8 2 2" xfId="5742"/>
    <cellStyle name="Normal 3 14 8 3" xfId="5743"/>
    <cellStyle name="Normal 3 14 9" xfId="5744"/>
    <cellStyle name="Normal 3 14 9 2" xfId="5745"/>
    <cellStyle name="Normal 3 14 9 2 2" xfId="5746"/>
    <cellStyle name="Normal 3 14 9 3" xfId="5747"/>
    <cellStyle name="Normal 3 15" xfId="5748"/>
    <cellStyle name="Normal 3 15 10" xfId="5749"/>
    <cellStyle name="Normal 3 15 10 2" xfId="5750"/>
    <cellStyle name="Normal 3 15 10 2 2" xfId="5751"/>
    <cellStyle name="Normal 3 15 10 3" xfId="5752"/>
    <cellStyle name="Normal 3 15 11" xfId="5753"/>
    <cellStyle name="Normal 3 15 11 2" xfId="5754"/>
    <cellStyle name="Normal 3 15 11 2 2" xfId="5755"/>
    <cellStyle name="Normal 3 15 11 3" xfId="5756"/>
    <cellStyle name="Normal 3 15 12" xfId="5757"/>
    <cellStyle name="Normal 3 15 12 2" xfId="5758"/>
    <cellStyle name="Normal 3 15 12 2 2" xfId="5759"/>
    <cellStyle name="Normal 3 15 12 3" xfId="5760"/>
    <cellStyle name="Normal 3 15 13" xfId="5761"/>
    <cellStyle name="Normal 3 15 13 2" xfId="5762"/>
    <cellStyle name="Normal 3 15 13 2 2" xfId="5763"/>
    <cellStyle name="Normal 3 15 13 3" xfId="5764"/>
    <cellStyle name="Normal 3 15 14" xfId="5765"/>
    <cellStyle name="Normal 3 15 14 2" xfId="5766"/>
    <cellStyle name="Normal 3 15 14 2 2" xfId="5767"/>
    <cellStyle name="Normal 3 15 14 3" xfId="5768"/>
    <cellStyle name="Normal 3 15 15" xfId="5769"/>
    <cellStyle name="Normal 3 15 15 2" xfId="5770"/>
    <cellStyle name="Normal 3 15 15 2 2" xfId="5771"/>
    <cellStyle name="Normal 3 15 15 3" xfId="5772"/>
    <cellStyle name="Normal 3 15 16" xfId="5773"/>
    <cellStyle name="Normal 3 15 16 2" xfId="5774"/>
    <cellStyle name="Normal 3 15 16 2 2" xfId="5775"/>
    <cellStyle name="Normal 3 15 16 3" xfId="5776"/>
    <cellStyle name="Normal 3 15 17" xfId="5777"/>
    <cellStyle name="Normal 3 15 17 2" xfId="5778"/>
    <cellStyle name="Normal 3 15 17 2 2" xfId="5779"/>
    <cellStyle name="Normal 3 15 17 3" xfId="5780"/>
    <cellStyle name="Normal 3 15 18" xfId="5781"/>
    <cellStyle name="Normal 3 15 18 2" xfId="5782"/>
    <cellStyle name="Normal 3 15 18 2 2" xfId="5783"/>
    <cellStyle name="Normal 3 15 18 3" xfId="5784"/>
    <cellStyle name="Normal 3 15 19" xfId="5785"/>
    <cellStyle name="Normal 3 15 19 2" xfId="5786"/>
    <cellStyle name="Normal 3 15 19 2 2" xfId="5787"/>
    <cellStyle name="Normal 3 15 19 3" xfId="5788"/>
    <cellStyle name="Normal 3 15 2" xfId="5789"/>
    <cellStyle name="Normal 3 15 2 2" xfId="5790"/>
    <cellStyle name="Normal 3 15 2 2 2" xfId="5791"/>
    <cellStyle name="Normal 3 15 2 3" xfId="5792"/>
    <cellStyle name="Normal 3 15 20" xfId="5793"/>
    <cellStyle name="Normal 3 15 20 2" xfId="5794"/>
    <cellStyle name="Normal 3 15 20 2 2" xfId="5795"/>
    <cellStyle name="Normal 3 15 20 3" xfId="5796"/>
    <cellStyle name="Normal 3 15 21" xfId="5797"/>
    <cellStyle name="Normal 3 15 21 2" xfId="5798"/>
    <cellStyle name="Normal 3 15 21 2 2" xfId="5799"/>
    <cellStyle name="Normal 3 15 21 3" xfId="5800"/>
    <cellStyle name="Normal 3 15 22" xfId="5801"/>
    <cellStyle name="Normal 3 15 22 2" xfId="5802"/>
    <cellStyle name="Normal 3 15 22 2 2" xfId="5803"/>
    <cellStyle name="Normal 3 15 22 3" xfId="5804"/>
    <cellStyle name="Normal 3 15 23" xfId="5805"/>
    <cellStyle name="Normal 3 15 23 2" xfId="5806"/>
    <cellStyle name="Normal 3 15 23 2 2" xfId="5807"/>
    <cellStyle name="Normal 3 15 23 3" xfId="5808"/>
    <cellStyle name="Normal 3 15 24" xfId="5809"/>
    <cellStyle name="Normal 3 15 24 2" xfId="5810"/>
    <cellStyle name="Normal 3 15 25" xfId="5811"/>
    <cellStyle name="Normal 3 15 3" xfId="5812"/>
    <cellStyle name="Normal 3 15 3 2" xfId="5813"/>
    <cellStyle name="Normal 3 15 3 2 2" xfId="5814"/>
    <cellStyle name="Normal 3 15 3 3" xfId="5815"/>
    <cellStyle name="Normal 3 15 4" xfId="5816"/>
    <cellStyle name="Normal 3 15 4 2" xfId="5817"/>
    <cellStyle name="Normal 3 15 4 2 2" xfId="5818"/>
    <cellStyle name="Normal 3 15 4 3" xfId="5819"/>
    <cellStyle name="Normal 3 15 5" xfId="5820"/>
    <cellStyle name="Normal 3 15 5 2" xfId="5821"/>
    <cellStyle name="Normal 3 15 5 2 2" xfId="5822"/>
    <cellStyle name="Normal 3 15 5 3" xfId="5823"/>
    <cellStyle name="Normal 3 15 6" xfId="5824"/>
    <cellStyle name="Normal 3 15 6 2" xfId="5825"/>
    <cellStyle name="Normal 3 15 6 2 2" xfId="5826"/>
    <cellStyle name="Normal 3 15 6 3" xfId="5827"/>
    <cellStyle name="Normal 3 15 7" xfId="5828"/>
    <cellStyle name="Normal 3 15 7 2" xfId="5829"/>
    <cellStyle name="Normal 3 15 7 2 2" xfId="5830"/>
    <cellStyle name="Normal 3 15 7 3" xfId="5831"/>
    <cellStyle name="Normal 3 15 8" xfId="5832"/>
    <cellStyle name="Normal 3 15 8 2" xfId="5833"/>
    <cellStyle name="Normal 3 15 8 2 2" xfId="5834"/>
    <cellStyle name="Normal 3 15 8 3" xfId="5835"/>
    <cellStyle name="Normal 3 15 9" xfId="5836"/>
    <cellStyle name="Normal 3 15 9 2" xfId="5837"/>
    <cellStyle name="Normal 3 15 9 2 2" xfId="5838"/>
    <cellStyle name="Normal 3 15 9 3" xfId="5839"/>
    <cellStyle name="Normal 3 16" xfId="5840"/>
    <cellStyle name="Normal 3 16 10" xfId="5841"/>
    <cellStyle name="Normal 3 16 10 2" xfId="5842"/>
    <cellStyle name="Normal 3 16 10 2 2" xfId="5843"/>
    <cellStyle name="Normal 3 16 10 3" xfId="5844"/>
    <cellStyle name="Normal 3 16 11" xfId="5845"/>
    <cellStyle name="Normal 3 16 11 2" xfId="5846"/>
    <cellStyle name="Normal 3 16 11 2 2" xfId="5847"/>
    <cellStyle name="Normal 3 16 11 3" xfId="5848"/>
    <cellStyle name="Normal 3 16 12" xfId="5849"/>
    <cellStyle name="Normal 3 16 12 2" xfId="5850"/>
    <cellStyle name="Normal 3 16 12 2 2" xfId="5851"/>
    <cellStyle name="Normal 3 16 12 3" xfId="5852"/>
    <cellStyle name="Normal 3 16 13" xfId="5853"/>
    <cellStyle name="Normal 3 16 13 2" xfId="5854"/>
    <cellStyle name="Normal 3 16 13 2 2" xfId="5855"/>
    <cellStyle name="Normal 3 16 13 3" xfId="5856"/>
    <cellStyle name="Normal 3 16 14" xfId="5857"/>
    <cellStyle name="Normal 3 16 14 2" xfId="5858"/>
    <cellStyle name="Normal 3 16 14 2 2" xfId="5859"/>
    <cellStyle name="Normal 3 16 14 3" xfId="5860"/>
    <cellStyle name="Normal 3 16 15" xfId="5861"/>
    <cellStyle name="Normal 3 16 15 2" xfId="5862"/>
    <cellStyle name="Normal 3 16 15 2 2" xfId="5863"/>
    <cellStyle name="Normal 3 16 15 3" xfId="5864"/>
    <cellStyle name="Normal 3 16 16" xfId="5865"/>
    <cellStyle name="Normal 3 16 16 2" xfId="5866"/>
    <cellStyle name="Normal 3 16 16 2 2" xfId="5867"/>
    <cellStyle name="Normal 3 16 16 3" xfId="5868"/>
    <cellStyle name="Normal 3 16 17" xfId="5869"/>
    <cellStyle name="Normal 3 16 17 2" xfId="5870"/>
    <cellStyle name="Normal 3 16 17 2 2" xfId="5871"/>
    <cellStyle name="Normal 3 16 17 3" xfId="5872"/>
    <cellStyle name="Normal 3 16 18" xfId="5873"/>
    <cellStyle name="Normal 3 16 18 2" xfId="5874"/>
    <cellStyle name="Normal 3 16 18 2 2" xfId="5875"/>
    <cellStyle name="Normal 3 16 18 3" xfId="5876"/>
    <cellStyle name="Normal 3 16 19" xfId="5877"/>
    <cellStyle name="Normal 3 16 19 2" xfId="5878"/>
    <cellStyle name="Normal 3 16 19 2 2" xfId="5879"/>
    <cellStyle name="Normal 3 16 19 3" xfId="5880"/>
    <cellStyle name="Normal 3 16 2" xfId="5881"/>
    <cellStyle name="Normal 3 16 2 2" xfId="5882"/>
    <cellStyle name="Normal 3 16 2 2 2" xfId="5883"/>
    <cellStyle name="Normal 3 16 2 3" xfId="5884"/>
    <cellStyle name="Normal 3 16 20" xfId="5885"/>
    <cellStyle name="Normal 3 16 20 2" xfId="5886"/>
    <cellStyle name="Normal 3 16 20 2 2" xfId="5887"/>
    <cellStyle name="Normal 3 16 20 3" xfId="5888"/>
    <cellStyle name="Normal 3 16 21" xfId="5889"/>
    <cellStyle name="Normal 3 16 21 2" xfId="5890"/>
    <cellStyle name="Normal 3 16 21 2 2" xfId="5891"/>
    <cellStyle name="Normal 3 16 21 3" xfId="5892"/>
    <cellStyle name="Normal 3 16 22" xfId="5893"/>
    <cellStyle name="Normal 3 16 22 2" xfId="5894"/>
    <cellStyle name="Normal 3 16 22 2 2" xfId="5895"/>
    <cellStyle name="Normal 3 16 22 3" xfId="5896"/>
    <cellStyle name="Normal 3 16 23" xfId="5897"/>
    <cellStyle name="Normal 3 16 23 2" xfId="5898"/>
    <cellStyle name="Normal 3 16 23 2 2" xfId="5899"/>
    <cellStyle name="Normal 3 16 23 3" xfId="5900"/>
    <cellStyle name="Normal 3 16 24" xfId="5901"/>
    <cellStyle name="Normal 3 16 24 2" xfId="5902"/>
    <cellStyle name="Normal 3 16 25" xfId="5903"/>
    <cellStyle name="Normal 3 16 3" xfId="5904"/>
    <cellStyle name="Normal 3 16 3 2" xfId="5905"/>
    <cellStyle name="Normal 3 16 3 2 2" xfId="5906"/>
    <cellStyle name="Normal 3 16 3 3" xfId="5907"/>
    <cellStyle name="Normal 3 16 4" xfId="5908"/>
    <cellStyle name="Normal 3 16 4 2" xfId="5909"/>
    <cellStyle name="Normal 3 16 4 2 2" xfId="5910"/>
    <cellStyle name="Normal 3 16 4 3" xfId="5911"/>
    <cellStyle name="Normal 3 16 5" xfId="5912"/>
    <cellStyle name="Normal 3 16 5 2" xfId="5913"/>
    <cellStyle name="Normal 3 16 5 2 2" xfId="5914"/>
    <cellStyle name="Normal 3 16 5 3" xfId="5915"/>
    <cellStyle name="Normal 3 16 6" xfId="5916"/>
    <cellStyle name="Normal 3 16 6 2" xfId="5917"/>
    <cellStyle name="Normal 3 16 6 2 2" xfId="5918"/>
    <cellStyle name="Normal 3 16 6 3" xfId="5919"/>
    <cellStyle name="Normal 3 16 7" xfId="5920"/>
    <cellStyle name="Normal 3 16 7 2" xfId="5921"/>
    <cellStyle name="Normal 3 16 7 2 2" xfId="5922"/>
    <cellStyle name="Normal 3 16 7 3" xfId="5923"/>
    <cellStyle name="Normal 3 16 8" xfId="5924"/>
    <cellStyle name="Normal 3 16 8 2" xfId="5925"/>
    <cellStyle name="Normal 3 16 8 2 2" xfId="5926"/>
    <cellStyle name="Normal 3 16 8 3" xfId="5927"/>
    <cellStyle name="Normal 3 16 9" xfId="5928"/>
    <cellStyle name="Normal 3 16 9 2" xfId="5929"/>
    <cellStyle name="Normal 3 16 9 2 2" xfId="5930"/>
    <cellStyle name="Normal 3 16 9 3" xfId="5931"/>
    <cellStyle name="Normal 3 17" xfId="5932"/>
    <cellStyle name="Normal 3 17 10" xfId="5933"/>
    <cellStyle name="Normal 3 17 10 2" xfId="5934"/>
    <cellStyle name="Normal 3 17 10 2 2" xfId="5935"/>
    <cellStyle name="Normal 3 17 10 3" xfId="5936"/>
    <cellStyle name="Normal 3 17 11" xfId="5937"/>
    <cellStyle name="Normal 3 17 11 2" xfId="5938"/>
    <cellStyle name="Normal 3 17 11 2 2" xfId="5939"/>
    <cellStyle name="Normal 3 17 11 3" xfId="5940"/>
    <cellStyle name="Normal 3 17 12" xfId="5941"/>
    <cellStyle name="Normal 3 17 12 2" xfId="5942"/>
    <cellStyle name="Normal 3 17 12 2 2" xfId="5943"/>
    <cellStyle name="Normal 3 17 12 3" xfId="5944"/>
    <cellStyle name="Normal 3 17 13" xfId="5945"/>
    <cellStyle name="Normal 3 17 13 2" xfId="5946"/>
    <cellStyle name="Normal 3 17 13 2 2" xfId="5947"/>
    <cellStyle name="Normal 3 17 13 3" xfId="5948"/>
    <cellStyle name="Normal 3 17 14" xfId="5949"/>
    <cellStyle name="Normal 3 17 14 2" xfId="5950"/>
    <cellStyle name="Normal 3 17 14 2 2" xfId="5951"/>
    <cellStyle name="Normal 3 17 14 3" xfId="5952"/>
    <cellStyle name="Normal 3 17 15" xfId="5953"/>
    <cellStyle name="Normal 3 17 15 2" xfId="5954"/>
    <cellStyle name="Normal 3 17 15 2 2" xfId="5955"/>
    <cellStyle name="Normal 3 17 15 3" xfId="5956"/>
    <cellStyle name="Normal 3 17 16" xfId="5957"/>
    <cellStyle name="Normal 3 17 16 2" xfId="5958"/>
    <cellStyle name="Normal 3 17 16 2 2" xfId="5959"/>
    <cellStyle name="Normal 3 17 16 3" xfId="5960"/>
    <cellStyle name="Normal 3 17 17" xfId="5961"/>
    <cellStyle name="Normal 3 17 17 2" xfId="5962"/>
    <cellStyle name="Normal 3 17 17 2 2" xfId="5963"/>
    <cellStyle name="Normal 3 17 17 3" xfId="5964"/>
    <cellStyle name="Normal 3 17 18" xfId="5965"/>
    <cellStyle name="Normal 3 17 18 2" xfId="5966"/>
    <cellStyle name="Normal 3 17 18 2 2" xfId="5967"/>
    <cellStyle name="Normal 3 17 18 3" xfId="5968"/>
    <cellStyle name="Normal 3 17 19" xfId="5969"/>
    <cellStyle name="Normal 3 17 19 2" xfId="5970"/>
    <cellStyle name="Normal 3 17 19 2 2" xfId="5971"/>
    <cellStyle name="Normal 3 17 19 3" xfId="5972"/>
    <cellStyle name="Normal 3 17 2" xfId="5973"/>
    <cellStyle name="Normal 3 17 2 2" xfId="5974"/>
    <cellStyle name="Normal 3 17 2 2 2" xfId="5975"/>
    <cellStyle name="Normal 3 17 2 3" xfId="5976"/>
    <cellStyle name="Normal 3 17 20" xfId="5977"/>
    <cellStyle name="Normal 3 17 20 2" xfId="5978"/>
    <cellStyle name="Normal 3 17 20 2 2" xfId="5979"/>
    <cellStyle name="Normal 3 17 20 3" xfId="5980"/>
    <cellStyle name="Normal 3 17 21" xfId="5981"/>
    <cellStyle name="Normal 3 17 21 2" xfId="5982"/>
    <cellStyle name="Normal 3 17 21 2 2" xfId="5983"/>
    <cellStyle name="Normal 3 17 21 3" xfId="5984"/>
    <cellStyle name="Normal 3 17 22" xfId="5985"/>
    <cellStyle name="Normal 3 17 22 2" xfId="5986"/>
    <cellStyle name="Normal 3 17 22 2 2" xfId="5987"/>
    <cellStyle name="Normal 3 17 22 3" xfId="5988"/>
    <cellStyle name="Normal 3 17 23" xfId="5989"/>
    <cellStyle name="Normal 3 17 23 2" xfId="5990"/>
    <cellStyle name="Normal 3 17 23 2 2" xfId="5991"/>
    <cellStyle name="Normal 3 17 23 3" xfId="5992"/>
    <cellStyle name="Normal 3 17 24" xfId="5993"/>
    <cellStyle name="Normal 3 17 24 2" xfId="5994"/>
    <cellStyle name="Normal 3 17 25" xfId="5995"/>
    <cellStyle name="Normal 3 17 3" xfId="5996"/>
    <cellStyle name="Normal 3 17 3 2" xfId="5997"/>
    <cellStyle name="Normal 3 17 3 2 2" xfId="5998"/>
    <cellStyle name="Normal 3 17 3 3" xfId="5999"/>
    <cellStyle name="Normal 3 17 4" xfId="6000"/>
    <cellStyle name="Normal 3 17 4 2" xfId="6001"/>
    <cellStyle name="Normal 3 17 4 2 2" xfId="6002"/>
    <cellStyle name="Normal 3 17 4 3" xfId="6003"/>
    <cellStyle name="Normal 3 17 5" xfId="6004"/>
    <cellStyle name="Normal 3 17 5 2" xfId="6005"/>
    <cellStyle name="Normal 3 17 5 2 2" xfId="6006"/>
    <cellStyle name="Normal 3 17 5 3" xfId="6007"/>
    <cellStyle name="Normal 3 17 6" xfId="6008"/>
    <cellStyle name="Normal 3 17 6 2" xfId="6009"/>
    <cellStyle name="Normal 3 17 6 2 2" xfId="6010"/>
    <cellStyle name="Normal 3 17 6 3" xfId="6011"/>
    <cellStyle name="Normal 3 17 7" xfId="6012"/>
    <cellStyle name="Normal 3 17 7 2" xfId="6013"/>
    <cellStyle name="Normal 3 17 7 2 2" xfId="6014"/>
    <cellStyle name="Normal 3 17 7 3" xfId="6015"/>
    <cellStyle name="Normal 3 17 8" xfId="6016"/>
    <cellStyle name="Normal 3 17 8 2" xfId="6017"/>
    <cellStyle name="Normal 3 17 8 2 2" xfId="6018"/>
    <cellStyle name="Normal 3 17 8 3" xfId="6019"/>
    <cellStyle name="Normal 3 17 9" xfId="6020"/>
    <cellStyle name="Normal 3 17 9 2" xfId="6021"/>
    <cellStyle name="Normal 3 17 9 2 2" xfId="6022"/>
    <cellStyle name="Normal 3 17 9 3" xfId="6023"/>
    <cellStyle name="Normal 3 18" xfId="6024"/>
    <cellStyle name="Normal 3 18 10" xfId="6025"/>
    <cellStyle name="Normal 3 18 10 2" xfId="6026"/>
    <cellStyle name="Normal 3 18 10 2 2" xfId="6027"/>
    <cellStyle name="Normal 3 18 10 3" xfId="6028"/>
    <cellStyle name="Normal 3 18 11" xfId="6029"/>
    <cellStyle name="Normal 3 18 11 2" xfId="6030"/>
    <cellStyle name="Normal 3 18 11 2 2" xfId="6031"/>
    <cellStyle name="Normal 3 18 11 3" xfId="6032"/>
    <cellStyle name="Normal 3 18 12" xfId="6033"/>
    <cellStyle name="Normal 3 18 12 2" xfId="6034"/>
    <cellStyle name="Normal 3 18 12 2 2" xfId="6035"/>
    <cellStyle name="Normal 3 18 12 3" xfId="6036"/>
    <cellStyle name="Normal 3 18 13" xfId="6037"/>
    <cellStyle name="Normal 3 18 13 2" xfId="6038"/>
    <cellStyle name="Normal 3 18 13 2 2" xfId="6039"/>
    <cellStyle name="Normal 3 18 13 3" xfId="6040"/>
    <cellStyle name="Normal 3 18 14" xfId="6041"/>
    <cellStyle name="Normal 3 18 14 2" xfId="6042"/>
    <cellStyle name="Normal 3 18 14 2 2" xfId="6043"/>
    <cellStyle name="Normal 3 18 14 3" xfId="6044"/>
    <cellStyle name="Normal 3 18 15" xfId="6045"/>
    <cellStyle name="Normal 3 18 15 2" xfId="6046"/>
    <cellStyle name="Normal 3 18 15 2 2" xfId="6047"/>
    <cellStyle name="Normal 3 18 15 3" xfId="6048"/>
    <cellStyle name="Normal 3 18 16" xfId="6049"/>
    <cellStyle name="Normal 3 18 16 2" xfId="6050"/>
    <cellStyle name="Normal 3 18 16 2 2" xfId="6051"/>
    <cellStyle name="Normal 3 18 16 3" xfId="6052"/>
    <cellStyle name="Normal 3 18 17" xfId="6053"/>
    <cellStyle name="Normal 3 18 17 2" xfId="6054"/>
    <cellStyle name="Normal 3 18 17 2 2" xfId="6055"/>
    <cellStyle name="Normal 3 18 17 3" xfId="6056"/>
    <cellStyle name="Normal 3 18 18" xfId="6057"/>
    <cellStyle name="Normal 3 18 18 2" xfId="6058"/>
    <cellStyle name="Normal 3 18 18 2 2" xfId="6059"/>
    <cellStyle name="Normal 3 18 18 3" xfId="6060"/>
    <cellStyle name="Normal 3 18 19" xfId="6061"/>
    <cellStyle name="Normal 3 18 19 2" xfId="6062"/>
    <cellStyle name="Normal 3 18 19 2 2" xfId="6063"/>
    <cellStyle name="Normal 3 18 19 3" xfId="6064"/>
    <cellStyle name="Normal 3 18 2" xfId="6065"/>
    <cellStyle name="Normal 3 18 2 2" xfId="6066"/>
    <cellStyle name="Normal 3 18 2 2 2" xfId="6067"/>
    <cellStyle name="Normal 3 18 2 3" xfId="6068"/>
    <cellStyle name="Normal 3 18 20" xfId="6069"/>
    <cellStyle name="Normal 3 18 20 2" xfId="6070"/>
    <cellStyle name="Normal 3 18 20 2 2" xfId="6071"/>
    <cellStyle name="Normal 3 18 20 3" xfId="6072"/>
    <cellStyle name="Normal 3 18 21" xfId="6073"/>
    <cellStyle name="Normal 3 18 21 2" xfId="6074"/>
    <cellStyle name="Normal 3 18 21 2 2" xfId="6075"/>
    <cellStyle name="Normal 3 18 21 3" xfId="6076"/>
    <cellStyle name="Normal 3 18 22" xfId="6077"/>
    <cellStyle name="Normal 3 18 22 2" xfId="6078"/>
    <cellStyle name="Normal 3 18 22 2 2" xfId="6079"/>
    <cellStyle name="Normal 3 18 22 3" xfId="6080"/>
    <cellStyle name="Normal 3 18 23" xfId="6081"/>
    <cellStyle name="Normal 3 18 23 2" xfId="6082"/>
    <cellStyle name="Normal 3 18 23 2 2" xfId="6083"/>
    <cellStyle name="Normal 3 18 23 3" xfId="6084"/>
    <cellStyle name="Normal 3 18 24" xfId="6085"/>
    <cellStyle name="Normal 3 18 24 2" xfId="6086"/>
    <cellStyle name="Normal 3 18 25" xfId="6087"/>
    <cellStyle name="Normal 3 18 3" xfId="6088"/>
    <cellStyle name="Normal 3 18 3 2" xfId="6089"/>
    <cellStyle name="Normal 3 18 3 2 2" xfId="6090"/>
    <cellStyle name="Normal 3 18 3 3" xfId="6091"/>
    <cellStyle name="Normal 3 18 4" xfId="6092"/>
    <cellStyle name="Normal 3 18 4 2" xfId="6093"/>
    <cellStyle name="Normal 3 18 4 2 2" xfId="6094"/>
    <cellStyle name="Normal 3 18 4 3" xfId="6095"/>
    <cellStyle name="Normal 3 18 5" xfId="6096"/>
    <cellStyle name="Normal 3 18 5 2" xfId="6097"/>
    <cellStyle name="Normal 3 18 5 2 2" xfId="6098"/>
    <cellStyle name="Normal 3 18 5 3" xfId="6099"/>
    <cellStyle name="Normal 3 18 6" xfId="6100"/>
    <cellStyle name="Normal 3 18 6 2" xfId="6101"/>
    <cellStyle name="Normal 3 18 6 2 2" xfId="6102"/>
    <cellStyle name="Normal 3 18 6 3" xfId="6103"/>
    <cellStyle name="Normal 3 18 7" xfId="6104"/>
    <cellStyle name="Normal 3 18 7 2" xfId="6105"/>
    <cellStyle name="Normal 3 18 7 2 2" xfId="6106"/>
    <cellStyle name="Normal 3 18 7 3" xfId="6107"/>
    <cellStyle name="Normal 3 18 8" xfId="6108"/>
    <cellStyle name="Normal 3 18 8 2" xfId="6109"/>
    <cellStyle name="Normal 3 18 8 2 2" xfId="6110"/>
    <cellStyle name="Normal 3 18 8 3" xfId="6111"/>
    <cellStyle name="Normal 3 18 9" xfId="6112"/>
    <cellStyle name="Normal 3 18 9 2" xfId="6113"/>
    <cellStyle name="Normal 3 18 9 2 2" xfId="6114"/>
    <cellStyle name="Normal 3 18 9 3" xfId="6115"/>
    <cellStyle name="Normal 3 19" xfId="6116"/>
    <cellStyle name="Normal 3 19 10" xfId="6117"/>
    <cellStyle name="Normal 3 19 10 2" xfId="6118"/>
    <cellStyle name="Normal 3 19 10 2 2" xfId="6119"/>
    <cellStyle name="Normal 3 19 10 3" xfId="6120"/>
    <cellStyle name="Normal 3 19 11" xfId="6121"/>
    <cellStyle name="Normal 3 19 11 2" xfId="6122"/>
    <cellStyle name="Normal 3 19 11 2 2" xfId="6123"/>
    <cellStyle name="Normal 3 19 11 3" xfId="6124"/>
    <cellStyle name="Normal 3 19 12" xfId="6125"/>
    <cellStyle name="Normal 3 19 12 2" xfId="6126"/>
    <cellStyle name="Normal 3 19 12 2 2" xfId="6127"/>
    <cellStyle name="Normal 3 19 12 3" xfId="6128"/>
    <cellStyle name="Normal 3 19 13" xfId="6129"/>
    <cellStyle name="Normal 3 19 13 2" xfId="6130"/>
    <cellStyle name="Normal 3 19 13 2 2" xfId="6131"/>
    <cellStyle name="Normal 3 19 13 3" xfId="6132"/>
    <cellStyle name="Normal 3 19 14" xfId="6133"/>
    <cellStyle name="Normal 3 19 14 2" xfId="6134"/>
    <cellStyle name="Normal 3 19 14 2 2" xfId="6135"/>
    <cellStyle name="Normal 3 19 14 3" xfId="6136"/>
    <cellStyle name="Normal 3 19 15" xfId="6137"/>
    <cellStyle name="Normal 3 19 15 2" xfId="6138"/>
    <cellStyle name="Normal 3 19 15 2 2" xfId="6139"/>
    <cellStyle name="Normal 3 19 15 3" xfId="6140"/>
    <cellStyle name="Normal 3 19 16" xfId="6141"/>
    <cellStyle name="Normal 3 19 16 2" xfId="6142"/>
    <cellStyle name="Normal 3 19 16 2 2" xfId="6143"/>
    <cellStyle name="Normal 3 19 16 3" xfId="6144"/>
    <cellStyle name="Normal 3 19 17" xfId="6145"/>
    <cellStyle name="Normal 3 19 17 2" xfId="6146"/>
    <cellStyle name="Normal 3 19 17 2 2" xfId="6147"/>
    <cellStyle name="Normal 3 19 17 3" xfId="6148"/>
    <cellStyle name="Normal 3 19 18" xfId="6149"/>
    <cellStyle name="Normal 3 19 18 2" xfId="6150"/>
    <cellStyle name="Normal 3 19 18 2 2" xfId="6151"/>
    <cellStyle name="Normal 3 19 18 3" xfId="6152"/>
    <cellStyle name="Normal 3 19 19" xfId="6153"/>
    <cellStyle name="Normal 3 19 19 2" xfId="6154"/>
    <cellStyle name="Normal 3 19 19 2 2" xfId="6155"/>
    <cellStyle name="Normal 3 19 19 3" xfId="6156"/>
    <cellStyle name="Normal 3 19 2" xfId="6157"/>
    <cellStyle name="Normal 3 19 2 2" xfId="6158"/>
    <cellStyle name="Normal 3 19 2 2 2" xfId="6159"/>
    <cellStyle name="Normal 3 19 2 3" xfId="6160"/>
    <cellStyle name="Normal 3 19 20" xfId="6161"/>
    <cellStyle name="Normal 3 19 20 2" xfId="6162"/>
    <cellStyle name="Normal 3 19 20 2 2" xfId="6163"/>
    <cellStyle name="Normal 3 19 20 3" xfId="6164"/>
    <cellStyle name="Normal 3 19 21" xfId="6165"/>
    <cellStyle name="Normal 3 19 21 2" xfId="6166"/>
    <cellStyle name="Normal 3 19 21 2 2" xfId="6167"/>
    <cellStyle name="Normal 3 19 21 3" xfId="6168"/>
    <cellStyle name="Normal 3 19 22" xfId="6169"/>
    <cellStyle name="Normal 3 19 22 2" xfId="6170"/>
    <cellStyle name="Normal 3 19 22 2 2" xfId="6171"/>
    <cellStyle name="Normal 3 19 22 3" xfId="6172"/>
    <cellStyle name="Normal 3 19 23" xfId="6173"/>
    <cellStyle name="Normal 3 19 23 2" xfId="6174"/>
    <cellStyle name="Normal 3 19 23 2 2" xfId="6175"/>
    <cellStyle name="Normal 3 19 23 3" xfId="6176"/>
    <cellStyle name="Normal 3 19 24" xfId="6177"/>
    <cellStyle name="Normal 3 19 24 2" xfId="6178"/>
    <cellStyle name="Normal 3 19 25" xfId="6179"/>
    <cellStyle name="Normal 3 19 3" xfId="6180"/>
    <cellStyle name="Normal 3 19 3 2" xfId="6181"/>
    <cellStyle name="Normal 3 19 3 2 2" xfId="6182"/>
    <cellStyle name="Normal 3 19 3 3" xfId="6183"/>
    <cellStyle name="Normal 3 19 4" xfId="6184"/>
    <cellStyle name="Normal 3 19 4 2" xfId="6185"/>
    <cellStyle name="Normal 3 19 4 2 2" xfId="6186"/>
    <cellStyle name="Normal 3 19 4 3" xfId="6187"/>
    <cellStyle name="Normal 3 19 5" xfId="6188"/>
    <cellStyle name="Normal 3 19 5 2" xfId="6189"/>
    <cellStyle name="Normal 3 19 5 2 2" xfId="6190"/>
    <cellStyle name="Normal 3 19 5 3" xfId="6191"/>
    <cellStyle name="Normal 3 19 6" xfId="6192"/>
    <cellStyle name="Normal 3 19 6 2" xfId="6193"/>
    <cellStyle name="Normal 3 19 6 2 2" xfId="6194"/>
    <cellStyle name="Normal 3 19 6 3" xfId="6195"/>
    <cellStyle name="Normal 3 19 7" xfId="6196"/>
    <cellStyle name="Normal 3 19 7 2" xfId="6197"/>
    <cellStyle name="Normal 3 19 7 2 2" xfId="6198"/>
    <cellStyle name="Normal 3 19 7 3" xfId="6199"/>
    <cellStyle name="Normal 3 19 8" xfId="6200"/>
    <cellStyle name="Normal 3 19 8 2" xfId="6201"/>
    <cellStyle name="Normal 3 19 8 2 2" xfId="6202"/>
    <cellStyle name="Normal 3 19 8 3" xfId="6203"/>
    <cellStyle name="Normal 3 19 9" xfId="6204"/>
    <cellStyle name="Normal 3 19 9 2" xfId="6205"/>
    <cellStyle name="Normal 3 19 9 2 2" xfId="6206"/>
    <cellStyle name="Normal 3 19 9 3" xfId="6207"/>
    <cellStyle name="Normal 3 2" xfId="210"/>
    <cellStyle name="Normal 3 2 10" xfId="6208"/>
    <cellStyle name="Normal 3 2 10 2" xfId="6209"/>
    <cellStyle name="Normal 3 2 10 2 2" xfId="6210"/>
    <cellStyle name="Normal 3 2 10 3" xfId="6211"/>
    <cellStyle name="Normal 3 2 11" xfId="6212"/>
    <cellStyle name="Normal 3 2 11 2" xfId="6213"/>
    <cellStyle name="Normal 3 2 11 2 2" xfId="6214"/>
    <cellStyle name="Normal 3 2 11 3" xfId="6215"/>
    <cellStyle name="Normal 3 2 12" xfId="6216"/>
    <cellStyle name="Normal 3 2 12 2" xfId="6217"/>
    <cellStyle name="Normal 3 2 12 2 2" xfId="6218"/>
    <cellStyle name="Normal 3 2 12 3" xfId="6219"/>
    <cellStyle name="Normal 3 2 13" xfId="6220"/>
    <cellStyle name="Normal 3 2 13 2" xfId="6221"/>
    <cellStyle name="Normal 3 2 13 2 2" xfId="6222"/>
    <cellStyle name="Normal 3 2 13 3" xfId="6223"/>
    <cellStyle name="Normal 3 2 14" xfId="6224"/>
    <cellStyle name="Normal 3 2 14 2" xfId="6225"/>
    <cellStyle name="Normal 3 2 14 2 2" xfId="6226"/>
    <cellStyle name="Normal 3 2 14 3" xfId="6227"/>
    <cellStyle name="Normal 3 2 15" xfId="6228"/>
    <cellStyle name="Normal 3 2 15 2" xfId="6229"/>
    <cellStyle name="Normal 3 2 15 2 2" xfId="6230"/>
    <cellStyle name="Normal 3 2 15 3" xfId="6231"/>
    <cellStyle name="Normal 3 2 16" xfId="6232"/>
    <cellStyle name="Normal 3 2 16 2" xfId="6233"/>
    <cellStyle name="Normal 3 2 16 2 2" xfId="6234"/>
    <cellStyle name="Normal 3 2 16 3" xfId="6235"/>
    <cellStyle name="Normal 3 2 17" xfId="6236"/>
    <cellStyle name="Normal 3 2 17 2" xfId="6237"/>
    <cellStyle name="Normal 3 2 17 2 2" xfId="6238"/>
    <cellStyle name="Normal 3 2 17 3" xfId="6239"/>
    <cellStyle name="Normal 3 2 18" xfId="6240"/>
    <cellStyle name="Normal 3 2 18 2" xfId="6241"/>
    <cellStyle name="Normal 3 2 18 2 2" xfId="6242"/>
    <cellStyle name="Normal 3 2 18 3" xfId="6243"/>
    <cellStyle name="Normal 3 2 19" xfId="6244"/>
    <cellStyle name="Normal 3 2 19 2" xfId="6245"/>
    <cellStyle name="Normal 3 2 19 2 2" xfId="6246"/>
    <cellStyle name="Normal 3 2 19 3" xfId="6247"/>
    <cellStyle name="Normal 3 2 2" xfId="211"/>
    <cellStyle name="Normal 3 2 2 10" xfId="6248"/>
    <cellStyle name="Normal 3 2 2 10 2" xfId="6249"/>
    <cellStyle name="Normal 3 2 2 10 2 2" xfId="6250"/>
    <cellStyle name="Normal 3 2 2 10 3" xfId="6251"/>
    <cellStyle name="Normal 3 2 2 11" xfId="6252"/>
    <cellStyle name="Normal 3 2 2 11 2" xfId="6253"/>
    <cellStyle name="Normal 3 2 2 11 2 2" xfId="6254"/>
    <cellStyle name="Normal 3 2 2 11 3" xfId="6255"/>
    <cellStyle name="Normal 3 2 2 12" xfId="6256"/>
    <cellStyle name="Normal 3 2 2 12 2" xfId="6257"/>
    <cellStyle name="Normal 3 2 2 12 2 2" xfId="6258"/>
    <cellStyle name="Normal 3 2 2 12 3" xfId="6259"/>
    <cellStyle name="Normal 3 2 2 13" xfId="6260"/>
    <cellStyle name="Normal 3 2 2 13 2" xfId="6261"/>
    <cellStyle name="Normal 3 2 2 13 2 2" xfId="6262"/>
    <cellStyle name="Normal 3 2 2 13 3" xfId="6263"/>
    <cellStyle name="Normal 3 2 2 14" xfId="6264"/>
    <cellStyle name="Normal 3 2 2 14 2" xfId="6265"/>
    <cellStyle name="Normal 3 2 2 14 2 2" xfId="6266"/>
    <cellStyle name="Normal 3 2 2 14 3" xfId="6267"/>
    <cellStyle name="Normal 3 2 2 15" xfId="6268"/>
    <cellStyle name="Normal 3 2 2 15 2" xfId="6269"/>
    <cellStyle name="Normal 3 2 2 15 2 2" xfId="6270"/>
    <cellStyle name="Normal 3 2 2 15 3" xfId="6271"/>
    <cellStyle name="Normal 3 2 2 16" xfId="6272"/>
    <cellStyle name="Normal 3 2 2 16 2" xfId="6273"/>
    <cellStyle name="Normal 3 2 2 16 2 2" xfId="6274"/>
    <cellStyle name="Normal 3 2 2 16 3" xfId="6275"/>
    <cellStyle name="Normal 3 2 2 17" xfId="6276"/>
    <cellStyle name="Normal 3 2 2 17 2" xfId="6277"/>
    <cellStyle name="Normal 3 2 2 17 2 2" xfId="6278"/>
    <cellStyle name="Normal 3 2 2 17 3" xfId="6279"/>
    <cellStyle name="Normal 3 2 2 18" xfId="6280"/>
    <cellStyle name="Normal 3 2 2 18 2" xfId="6281"/>
    <cellStyle name="Normal 3 2 2 18 2 2" xfId="6282"/>
    <cellStyle name="Normal 3 2 2 18 3" xfId="6283"/>
    <cellStyle name="Normal 3 2 2 19" xfId="6284"/>
    <cellStyle name="Normal 3 2 2 19 2" xfId="6285"/>
    <cellStyle name="Normal 3 2 2 19 2 2" xfId="6286"/>
    <cellStyle name="Normal 3 2 2 19 3" xfId="6287"/>
    <cellStyle name="Normal 3 2 2 2" xfId="1155"/>
    <cellStyle name="Normal 3 2 2 2 2" xfId="6288"/>
    <cellStyle name="Normal 3 2 2 2 2 2" xfId="6289"/>
    <cellStyle name="Normal 3 2 2 2 3" xfId="6290"/>
    <cellStyle name="Normal 3 2 2 20" xfId="6291"/>
    <cellStyle name="Normal 3 2 2 20 2" xfId="6292"/>
    <cellStyle name="Normal 3 2 2 20 2 2" xfId="6293"/>
    <cellStyle name="Normal 3 2 2 20 3" xfId="6294"/>
    <cellStyle name="Normal 3 2 2 21" xfId="6295"/>
    <cellStyle name="Normal 3 2 2 21 2" xfId="6296"/>
    <cellStyle name="Normal 3 2 2 21 2 2" xfId="6297"/>
    <cellStyle name="Normal 3 2 2 21 3" xfId="6298"/>
    <cellStyle name="Normal 3 2 2 22" xfId="6299"/>
    <cellStyle name="Normal 3 2 2 22 2" xfId="6300"/>
    <cellStyle name="Normal 3 2 2 22 2 2" xfId="6301"/>
    <cellStyle name="Normal 3 2 2 22 3" xfId="6302"/>
    <cellStyle name="Normal 3 2 2 23" xfId="6303"/>
    <cellStyle name="Normal 3 2 2 23 2" xfId="6304"/>
    <cellStyle name="Normal 3 2 2 23 2 2" xfId="6305"/>
    <cellStyle name="Normal 3 2 2 23 3" xfId="6306"/>
    <cellStyle name="Normal 3 2 2 24" xfId="6307"/>
    <cellStyle name="Normal 3 2 2 24 2" xfId="6308"/>
    <cellStyle name="Normal 3 2 2 24 2 2" xfId="6309"/>
    <cellStyle name="Normal 3 2 2 24 3" xfId="6310"/>
    <cellStyle name="Normal 3 2 2 25" xfId="6311"/>
    <cellStyle name="Normal 3 2 2 25 2" xfId="6312"/>
    <cellStyle name="Normal 3 2 2 25 2 2" xfId="6313"/>
    <cellStyle name="Normal 3 2 2 25 3" xfId="6314"/>
    <cellStyle name="Normal 3 2 2 26" xfId="6315"/>
    <cellStyle name="Normal 3 2 2 26 2" xfId="6316"/>
    <cellStyle name="Normal 3 2 2 26 2 2" xfId="6317"/>
    <cellStyle name="Normal 3 2 2 26 3" xfId="6318"/>
    <cellStyle name="Normal 3 2 2 27" xfId="6319"/>
    <cellStyle name="Normal 3 2 2 27 2" xfId="6320"/>
    <cellStyle name="Normal 3 2 2 27 2 2" xfId="6321"/>
    <cellStyle name="Normal 3 2 2 27 3" xfId="6322"/>
    <cellStyle name="Normal 3 2 2 28" xfId="6323"/>
    <cellStyle name="Normal 3 2 2 28 2" xfId="6324"/>
    <cellStyle name="Normal 3 2 2 28 2 2" xfId="6325"/>
    <cellStyle name="Normal 3 2 2 28 3" xfId="6326"/>
    <cellStyle name="Normal 3 2 2 29" xfId="6327"/>
    <cellStyle name="Normal 3 2 2 29 2" xfId="6328"/>
    <cellStyle name="Normal 3 2 2 29 2 2" xfId="6329"/>
    <cellStyle name="Normal 3 2 2 29 3" xfId="6330"/>
    <cellStyle name="Normal 3 2 2 3" xfId="6331"/>
    <cellStyle name="Normal 3 2 2 3 2" xfId="6332"/>
    <cellStyle name="Normal 3 2 2 3 2 2" xfId="6333"/>
    <cellStyle name="Normal 3 2 2 3 3" xfId="6334"/>
    <cellStyle name="Normal 3 2 2 30" xfId="6335"/>
    <cellStyle name="Normal 3 2 2 30 2" xfId="6336"/>
    <cellStyle name="Normal 3 2 2 30 2 2" xfId="6337"/>
    <cellStyle name="Normal 3 2 2 30 3" xfId="6338"/>
    <cellStyle name="Normal 3 2 2 31" xfId="6339"/>
    <cellStyle name="Normal 3 2 2 31 2" xfId="6340"/>
    <cellStyle name="Normal 3 2 2 31 2 2" xfId="6341"/>
    <cellStyle name="Normal 3 2 2 31 3" xfId="6342"/>
    <cellStyle name="Normal 3 2 2 32" xfId="6343"/>
    <cellStyle name="Normal 3 2 2 32 2" xfId="6344"/>
    <cellStyle name="Normal 3 2 2 32 2 2" xfId="6345"/>
    <cellStyle name="Normal 3 2 2 32 3" xfId="6346"/>
    <cellStyle name="Normal 3 2 2 33" xfId="6347"/>
    <cellStyle name="Normal 3 2 2 33 2" xfId="6348"/>
    <cellStyle name="Normal 3 2 2 33 2 2" xfId="6349"/>
    <cellStyle name="Normal 3 2 2 33 3" xfId="6350"/>
    <cellStyle name="Normal 3 2 2 34" xfId="6351"/>
    <cellStyle name="Normal 3 2 2 34 2" xfId="6352"/>
    <cellStyle name="Normal 3 2 2 35" xfId="6353"/>
    <cellStyle name="Normal 3 2 2 4" xfId="6354"/>
    <cellStyle name="Normal 3 2 2 4 2" xfId="6355"/>
    <cellStyle name="Normal 3 2 2 4 2 2" xfId="6356"/>
    <cellStyle name="Normal 3 2 2 4 3" xfId="6357"/>
    <cellStyle name="Normal 3 2 2 5" xfId="6358"/>
    <cellStyle name="Normal 3 2 2 5 2" xfId="6359"/>
    <cellStyle name="Normal 3 2 2 5 2 2" xfId="6360"/>
    <cellStyle name="Normal 3 2 2 5 3" xfId="6361"/>
    <cellStyle name="Normal 3 2 2 6" xfId="6362"/>
    <cellStyle name="Normal 3 2 2 6 2" xfId="6363"/>
    <cellStyle name="Normal 3 2 2 6 2 2" xfId="6364"/>
    <cellStyle name="Normal 3 2 2 6 3" xfId="6365"/>
    <cellStyle name="Normal 3 2 2 7" xfId="6366"/>
    <cellStyle name="Normal 3 2 2 7 2" xfId="6367"/>
    <cellStyle name="Normal 3 2 2 7 2 2" xfId="6368"/>
    <cellStyle name="Normal 3 2 2 7 3" xfId="6369"/>
    <cellStyle name="Normal 3 2 2 8" xfId="6370"/>
    <cellStyle name="Normal 3 2 2 8 2" xfId="6371"/>
    <cellStyle name="Normal 3 2 2 8 2 2" xfId="6372"/>
    <cellStyle name="Normal 3 2 2 8 3" xfId="6373"/>
    <cellStyle name="Normal 3 2 2 9" xfId="6374"/>
    <cellStyle name="Normal 3 2 2 9 2" xfId="6375"/>
    <cellStyle name="Normal 3 2 2 9 2 2" xfId="6376"/>
    <cellStyle name="Normal 3 2 2 9 3" xfId="6377"/>
    <cellStyle name="Normal 3 2 20" xfId="6378"/>
    <cellStyle name="Normal 3 2 20 2" xfId="6379"/>
    <cellStyle name="Normal 3 2 20 2 2" xfId="6380"/>
    <cellStyle name="Normal 3 2 20 3" xfId="6381"/>
    <cellStyle name="Normal 3 2 21" xfId="6382"/>
    <cellStyle name="Normal 3 2 21 2" xfId="6383"/>
    <cellStyle name="Normal 3 2 21 2 2" xfId="6384"/>
    <cellStyle name="Normal 3 2 21 3" xfId="6385"/>
    <cellStyle name="Normal 3 2 22" xfId="6386"/>
    <cellStyle name="Normal 3 2 22 2" xfId="6387"/>
    <cellStyle name="Normal 3 2 22 2 2" xfId="6388"/>
    <cellStyle name="Normal 3 2 22 3" xfId="6389"/>
    <cellStyle name="Normal 3 2 23" xfId="6390"/>
    <cellStyle name="Normal 3 2 23 2" xfId="6391"/>
    <cellStyle name="Normal 3 2 23 2 2" xfId="6392"/>
    <cellStyle name="Normal 3 2 23 3" xfId="6393"/>
    <cellStyle name="Normal 3 2 24" xfId="6394"/>
    <cellStyle name="Normal 3 2 24 2" xfId="6395"/>
    <cellStyle name="Normal 3 2 24 2 2" xfId="6396"/>
    <cellStyle name="Normal 3 2 24 3" xfId="6397"/>
    <cellStyle name="Normal 3 2 25" xfId="6398"/>
    <cellStyle name="Normal 3 2 25 2" xfId="6399"/>
    <cellStyle name="Normal 3 2 25 2 2" xfId="6400"/>
    <cellStyle name="Normal 3 2 25 3" xfId="6401"/>
    <cellStyle name="Normal 3 2 26" xfId="6402"/>
    <cellStyle name="Normal 3 2 26 2" xfId="6403"/>
    <cellStyle name="Normal 3 2 26 2 2" xfId="6404"/>
    <cellStyle name="Normal 3 2 26 3" xfId="6405"/>
    <cellStyle name="Normal 3 2 27" xfId="6406"/>
    <cellStyle name="Normal 3 2 27 2" xfId="6407"/>
    <cellStyle name="Normal 3 2 27 2 2" xfId="6408"/>
    <cellStyle name="Normal 3 2 27 3" xfId="6409"/>
    <cellStyle name="Normal 3 2 28" xfId="6410"/>
    <cellStyle name="Normal 3 2 28 2" xfId="6411"/>
    <cellStyle name="Normal 3 2 28 2 2" xfId="6412"/>
    <cellStyle name="Normal 3 2 28 3" xfId="6413"/>
    <cellStyle name="Normal 3 2 29" xfId="6414"/>
    <cellStyle name="Normal 3 2 29 2" xfId="6415"/>
    <cellStyle name="Normal 3 2 29 2 2" xfId="6416"/>
    <cellStyle name="Normal 3 2 29 3" xfId="6417"/>
    <cellStyle name="Normal 3 2 3" xfId="212"/>
    <cellStyle name="Normal 3 2 3 2" xfId="6418"/>
    <cellStyle name="Normal 3 2 3 2 2" xfId="6419"/>
    <cellStyle name="Normal 3 2 3 3" xfId="6420"/>
    <cellStyle name="Normal 3 2 30" xfId="6421"/>
    <cellStyle name="Normal 3 2 30 2" xfId="6422"/>
    <cellStyle name="Normal 3 2 30 2 2" xfId="6423"/>
    <cellStyle name="Normal 3 2 30 3" xfId="6424"/>
    <cellStyle name="Normal 3 2 31" xfId="6425"/>
    <cellStyle name="Normal 3 2 31 2" xfId="6426"/>
    <cellStyle name="Normal 3 2 31 2 2" xfId="6427"/>
    <cellStyle name="Normal 3 2 31 3" xfId="6428"/>
    <cellStyle name="Normal 3 2 32" xfId="6429"/>
    <cellStyle name="Normal 3 2 32 2" xfId="6430"/>
    <cellStyle name="Normal 3 2 32 2 2" xfId="6431"/>
    <cellStyle name="Normal 3 2 32 3" xfId="6432"/>
    <cellStyle name="Normal 3 2 33" xfId="6433"/>
    <cellStyle name="Normal 3 2 33 2" xfId="6434"/>
    <cellStyle name="Normal 3 2 33 2 2" xfId="6435"/>
    <cellStyle name="Normal 3 2 33 3" xfId="6436"/>
    <cellStyle name="Normal 3 2 34" xfId="6437"/>
    <cellStyle name="Normal 3 2 34 2" xfId="6438"/>
    <cellStyle name="Normal 3 2 34 2 2" xfId="6439"/>
    <cellStyle name="Normal 3 2 34 3" xfId="6440"/>
    <cellStyle name="Normal 3 2 35" xfId="6441"/>
    <cellStyle name="Normal 3 2 35 2" xfId="6442"/>
    <cellStyle name="Normal 3 2 35 2 2" xfId="6443"/>
    <cellStyle name="Normal 3 2 35 3" xfId="6444"/>
    <cellStyle name="Normal 3 2 36" xfId="6445"/>
    <cellStyle name="Normal 3 2 36 2" xfId="6446"/>
    <cellStyle name="Normal 3 2 36 2 2" xfId="6447"/>
    <cellStyle name="Normal 3 2 36 3" xfId="6448"/>
    <cellStyle name="Normal 3 2 37" xfId="6449"/>
    <cellStyle name="Normal 3 2 37 2" xfId="6450"/>
    <cellStyle name="Normal 3 2 37 2 2" xfId="6451"/>
    <cellStyle name="Normal 3 2 37 3" xfId="6452"/>
    <cellStyle name="Normal 3 2 38" xfId="6453"/>
    <cellStyle name="Normal 3 2 38 2" xfId="6454"/>
    <cellStyle name="Normal 3 2 38 2 2" xfId="6455"/>
    <cellStyle name="Normal 3 2 38 3" xfId="6456"/>
    <cellStyle name="Normal 3 2 39" xfId="6457"/>
    <cellStyle name="Normal 3 2 39 2" xfId="6458"/>
    <cellStyle name="Normal 3 2 39 2 2" xfId="6459"/>
    <cellStyle name="Normal 3 2 39 3" xfId="6460"/>
    <cellStyle name="Normal 3 2 4" xfId="1156"/>
    <cellStyle name="Normal 3 2 4 2" xfId="6461"/>
    <cellStyle name="Normal 3 2 4 2 2" xfId="6462"/>
    <cellStyle name="Normal 3 2 4 3" xfId="6463"/>
    <cellStyle name="Normal 3 2 40" xfId="6464"/>
    <cellStyle name="Normal 3 2 40 2" xfId="6465"/>
    <cellStyle name="Normal 3 2 40 2 2" xfId="6466"/>
    <cellStyle name="Normal 3 2 40 3" xfId="6467"/>
    <cellStyle name="Normal 3 2 41" xfId="6468"/>
    <cellStyle name="Normal 3 2 41 2" xfId="6469"/>
    <cellStyle name="Normal 3 2 41 2 2" xfId="6470"/>
    <cellStyle name="Normal 3 2 41 3" xfId="6471"/>
    <cellStyle name="Normal 3 2 42" xfId="6472"/>
    <cellStyle name="Normal 3 2 42 2" xfId="6473"/>
    <cellStyle name="Normal 3 2 42 2 2" xfId="6474"/>
    <cellStyle name="Normal 3 2 42 3" xfId="6475"/>
    <cellStyle name="Normal 3 2 43" xfId="6476"/>
    <cellStyle name="Normal 3 2 43 2" xfId="6477"/>
    <cellStyle name="Normal 3 2 43 2 2" xfId="6478"/>
    <cellStyle name="Normal 3 2 43 3" xfId="6479"/>
    <cellStyle name="Normal 3 2 44" xfId="6480"/>
    <cellStyle name="Normal 3 2 44 2" xfId="6481"/>
    <cellStyle name="Normal 3 2 44 2 2" xfId="6482"/>
    <cellStyle name="Normal 3 2 44 3" xfId="6483"/>
    <cellStyle name="Normal 3 2 45" xfId="6484"/>
    <cellStyle name="Normal 3 2 45 2" xfId="6485"/>
    <cellStyle name="Normal 3 2 45 2 2" xfId="6486"/>
    <cellStyle name="Normal 3 2 45 3" xfId="6487"/>
    <cellStyle name="Normal 3 2 46" xfId="6488"/>
    <cellStyle name="Normal 3 2 46 2" xfId="6489"/>
    <cellStyle name="Normal 3 2 46 2 2" xfId="6490"/>
    <cellStyle name="Normal 3 2 46 3" xfId="6491"/>
    <cellStyle name="Normal 3 2 47" xfId="6492"/>
    <cellStyle name="Normal 3 2 47 2" xfId="6493"/>
    <cellStyle name="Normal 3 2 47 2 2" xfId="6494"/>
    <cellStyle name="Normal 3 2 47 3" xfId="6495"/>
    <cellStyle name="Normal 3 2 48" xfId="6496"/>
    <cellStyle name="Normal 3 2 48 2" xfId="6497"/>
    <cellStyle name="Normal 3 2 48 2 2" xfId="6498"/>
    <cellStyle name="Normal 3 2 48 3" xfId="6499"/>
    <cellStyle name="Normal 3 2 49" xfId="6500"/>
    <cellStyle name="Normal 3 2 49 2" xfId="6501"/>
    <cellStyle name="Normal 3 2 49 2 2" xfId="6502"/>
    <cellStyle name="Normal 3 2 49 3" xfId="6503"/>
    <cellStyle name="Normal 3 2 5" xfId="6504"/>
    <cellStyle name="Normal 3 2 5 2" xfId="6505"/>
    <cellStyle name="Normal 3 2 5 2 2" xfId="6506"/>
    <cellStyle name="Normal 3 2 5 3" xfId="6507"/>
    <cellStyle name="Normal 3 2 50" xfId="6508"/>
    <cellStyle name="Normal 3 2 50 2" xfId="6509"/>
    <cellStyle name="Normal 3 2 50 2 2" xfId="6510"/>
    <cellStyle name="Normal 3 2 50 3" xfId="6511"/>
    <cellStyle name="Normal 3 2 51" xfId="6512"/>
    <cellStyle name="Normal 3 2 51 2" xfId="6513"/>
    <cellStyle name="Normal 3 2 51 2 2" xfId="6514"/>
    <cellStyle name="Normal 3 2 51 3" xfId="6515"/>
    <cellStyle name="Normal 3 2 52" xfId="6516"/>
    <cellStyle name="Normal 3 2 52 2" xfId="6517"/>
    <cellStyle name="Normal 3 2 52 2 2" xfId="6518"/>
    <cellStyle name="Normal 3 2 52 3" xfId="6519"/>
    <cellStyle name="Normal 3 2 53" xfId="6520"/>
    <cellStyle name="Normal 3 2 53 2" xfId="6521"/>
    <cellStyle name="Normal 3 2 53 2 2" xfId="6522"/>
    <cellStyle name="Normal 3 2 53 3" xfId="6523"/>
    <cellStyle name="Normal 3 2 54" xfId="6524"/>
    <cellStyle name="Normal 3 2 54 2" xfId="6525"/>
    <cellStyle name="Normal 3 2 54 2 2" xfId="6526"/>
    <cellStyle name="Normal 3 2 54 3" xfId="6527"/>
    <cellStyle name="Normal 3 2 55" xfId="6528"/>
    <cellStyle name="Normal 3 2 55 2" xfId="6529"/>
    <cellStyle name="Normal 3 2 55 2 2" xfId="6530"/>
    <cellStyle name="Normal 3 2 55 3" xfId="6531"/>
    <cellStyle name="Normal 3 2 56" xfId="6532"/>
    <cellStyle name="Normal 3 2 57" xfId="6533"/>
    <cellStyle name="Normal 3 2 57 2" xfId="6534"/>
    <cellStyle name="Normal 3 2 58" xfId="6535"/>
    <cellStyle name="Normal 3 2 59" xfId="6536"/>
    <cellStyle name="Normal 3 2 6" xfId="6537"/>
    <cellStyle name="Normal 3 2 6 2" xfId="6538"/>
    <cellStyle name="Normal 3 2 6 2 2" xfId="6539"/>
    <cellStyle name="Normal 3 2 6 3" xfId="6540"/>
    <cellStyle name="Normal 3 2 60" xfId="6541"/>
    <cellStyle name="Normal 3 2 7" xfId="6542"/>
    <cellStyle name="Normal 3 2 7 2" xfId="6543"/>
    <cellStyle name="Normal 3 2 7 2 2" xfId="6544"/>
    <cellStyle name="Normal 3 2 7 3" xfId="6545"/>
    <cellStyle name="Normal 3 2 8" xfId="6546"/>
    <cellStyle name="Normal 3 2 8 2" xfId="6547"/>
    <cellStyle name="Normal 3 2 8 2 2" xfId="6548"/>
    <cellStyle name="Normal 3 2 8 3" xfId="6549"/>
    <cellStyle name="Normal 3 2 9" xfId="6550"/>
    <cellStyle name="Normal 3 2 9 2" xfId="6551"/>
    <cellStyle name="Normal 3 2 9 2 2" xfId="6552"/>
    <cellStyle name="Normal 3 2 9 3" xfId="6553"/>
    <cellStyle name="Normal 3 20" xfId="6554"/>
    <cellStyle name="Normal 3 20 10" xfId="6555"/>
    <cellStyle name="Normal 3 20 10 2" xfId="6556"/>
    <cellStyle name="Normal 3 20 10 2 2" xfId="6557"/>
    <cellStyle name="Normal 3 20 10 3" xfId="6558"/>
    <cellStyle name="Normal 3 20 11" xfId="6559"/>
    <cellStyle name="Normal 3 20 11 2" xfId="6560"/>
    <cellStyle name="Normal 3 20 11 2 2" xfId="6561"/>
    <cellStyle name="Normal 3 20 11 3" xfId="6562"/>
    <cellStyle name="Normal 3 20 12" xfId="6563"/>
    <cellStyle name="Normal 3 20 12 2" xfId="6564"/>
    <cellStyle name="Normal 3 20 12 2 2" xfId="6565"/>
    <cellStyle name="Normal 3 20 12 3" xfId="6566"/>
    <cellStyle name="Normal 3 20 13" xfId="6567"/>
    <cellStyle name="Normal 3 20 13 2" xfId="6568"/>
    <cellStyle name="Normal 3 20 13 2 2" xfId="6569"/>
    <cellStyle name="Normal 3 20 13 3" xfId="6570"/>
    <cellStyle name="Normal 3 20 14" xfId="6571"/>
    <cellStyle name="Normal 3 20 14 2" xfId="6572"/>
    <cellStyle name="Normal 3 20 14 2 2" xfId="6573"/>
    <cellStyle name="Normal 3 20 14 3" xfId="6574"/>
    <cellStyle name="Normal 3 20 15" xfId="6575"/>
    <cellStyle name="Normal 3 20 15 2" xfId="6576"/>
    <cellStyle name="Normal 3 20 15 2 2" xfId="6577"/>
    <cellStyle name="Normal 3 20 15 3" xfId="6578"/>
    <cellStyle name="Normal 3 20 16" xfId="6579"/>
    <cellStyle name="Normal 3 20 16 2" xfId="6580"/>
    <cellStyle name="Normal 3 20 16 2 2" xfId="6581"/>
    <cellStyle name="Normal 3 20 16 3" xfId="6582"/>
    <cellStyle name="Normal 3 20 17" xfId="6583"/>
    <cellStyle name="Normal 3 20 17 2" xfId="6584"/>
    <cellStyle name="Normal 3 20 17 2 2" xfId="6585"/>
    <cellStyle name="Normal 3 20 17 3" xfId="6586"/>
    <cellStyle name="Normal 3 20 18" xfId="6587"/>
    <cellStyle name="Normal 3 20 18 2" xfId="6588"/>
    <cellStyle name="Normal 3 20 18 2 2" xfId="6589"/>
    <cellStyle name="Normal 3 20 18 3" xfId="6590"/>
    <cellStyle name="Normal 3 20 19" xfId="6591"/>
    <cellStyle name="Normal 3 20 19 2" xfId="6592"/>
    <cellStyle name="Normal 3 20 19 2 2" xfId="6593"/>
    <cellStyle name="Normal 3 20 19 3" xfId="6594"/>
    <cellStyle name="Normal 3 20 2" xfId="6595"/>
    <cellStyle name="Normal 3 20 2 2" xfId="6596"/>
    <cellStyle name="Normal 3 20 2 2 2" xfId="6597"/>
    <cellStyle name="Normal 3 20 2 3" xfId="6598"/>
    <cellStyle name="Normal 3 20 20" xfId="6599"/>
    <cellStyle name="Normal 3 20 20 2" xfId="6600"/>
    <cellStyle name="Normal 3 20 20 2 2" xfId="6601"/>
    <cellStyle name="Normal 3 20 20 3" xfId="6602"/>
    <cellStyle name="Normal 3 20 21" xfId="6603"/>
    <cellStyle name="Normal 3 20 21 2" xfId="6604"/>
    <cellStyle name="Normal 3 20 21 2 2" xfId="6605"/>
    <cellStyle name="Normal 3 20 21 3" xfId="6606"/>
    <cellStyle name="Normal 3 20 22" xfId="6607"/>
    <cellStyle name="Normal 3 20 22 2" xfId="6608"/>
    <cellStyle name="Normal 3 20 22 2 2" xfId="6609"/>
    <cellStyle name="Normal 3 20 22 3" xfId="6610"/>
    <cellStyle name="Normal 3 20 23" xfId="6611"/>
    <cellStyle name="Normal 3 20 23 2" xfId="6612"/>
    <cellStyle name="Normal 3 20 23 2 2" xfId="6613"/>
    <cellStyle name="Normal 3 20 23 3" xfId="6614"/>
    <cellStyle name="Normal 3 20 24" xfId="6615"/>
    <cellStyle name="Normal 3 20 24 2" xfId="6616"/>
    <cellStyle name="Normal 3 20 25" xfId="6617"/>
    <cellStyle name="Normal 3 20 3" xfId="6618"/>
    <cellStyle name="Normal 3 20 3 2" xfId="6619"/>
    <cellStyle name="Normal 3 20 3 2 2" xfId="6620"/>
    <cellStyle name="Normal 3 20 3 3" xfId="6621"/>
    <cellStyle name="Normal 3 20 4" xfId="6622"/>
    <cellStyle name="Normal 3 20 4 2" xfId="6623"/>
    <cellStyle name="Normal 3 20 4 2 2" xfId="6624"/>
    <cellStyle name="Normal 3 20 4 3" xfId="6625"/>
    <cellStyle name="Normal 3 20 5" xfId="6626"/>
    <cellStyle name="Normal 3 20 5 2" xfId="6627"/>
    <cellStyle name="Normal 3 20 5 2 2" xfId="6628"/>
    <cellStyle name="Normal 3 20 5 3" xfId="6629"/>
    <cellStyle name="Normal 3 20 6" xfId="6630"/>
    <cellStyle name="Normal 3 20 6 2" xfId="6631"/>
    <cellStyle name="Normal 3 20 6 2 2" xfId="6632"/>
    <cellStyle name="Normal 3 20 6 3" xfId="6633"/>
    <cellStyle name="Normal 3 20 7" xfId="6634"/>
    <cellStyle name="Normal 3 20 7 2" xfId="6635"/>
    <cellStyle name="Normal 3 20 7 2 2" xfId="6636"/>
    <cellStyle name="Normal 3 20 7 3" xfId="6637"/>
    <cellStyle name="Normal 3 20 8" xfId="6638"/>
    <cellStyle name="Normal 3 20 8 2" xfId="6639"/>
    <cellStyle name="Normal 3 20 8 2 2" xfId="6640"/>
    <cellStyle name="Normal 3 20 8 3" xfId="6641"/>
    <cellStyle name="Normal 3 20 9" xfId="6642"/>
    <cellStyle name="Normal 3 20 9 2" xfId="6643"/>
    <cellStyle name="Normal 3 20 9 2 2" xfId="6644"/>
    <cellStyle name="Normal 3 20 9 3" xfId="6645"/>
    <cellStyle name="Normal 3 21" xfId="6646"/>
    <cellStyle name="Normal 3 21 10" xfId="6647"/>
    <cellStyle name="Normal 3 21 10 2" xfId="6648"/>
    <cellStyle name="Normal 3 21 10 2 2" xfId="6649"/>
    <cellStyle name="Normal 3 21 10 3" xfId="6650"/>
    <cellStyle name="Normal 3 21 11" xfId="6651"/>
    <cellStyle name="Normal 3 21 11 2" xfId="6652"/>
    <cellStyle name="Normal 3 21 11 2 2" xfId="6653"/>
    <cellStyle name="Normal 3 21 11 3" xfId="6654"/>
    <cellStyle name="Normal 3 21 12" xfId="6655"/>
    <cellStyle name="Normal 3 21 12 2" xfId="6656"/>
    <cellStyle name="Normal 3 21 12 2 2" xfId="6657"/>
    <cellStyle name="Normal 3 21 12 3" xfId="6658"/>
    <cellStyle name="Normal 3 21 13" xfId="6659"/>
    <cellStyle name="Normal 3 21 13 2" xfId="6660"/>
    <cellStyle name="Normal 3 21 13 2 2" xfId="6661"/>
    <cellStyle name="Normal 3 21 13 3" xfId="6662"/>
    <cellStyle name="Normal 3 21 14" xfId="6663"/>
    <cellStyle name="Normal 3 21 14 2" xfId="6664"/>
    <cellStyle name="Normal 3 21 14 2 2" xfId="6665"/>
    <cellStyle name="Normal 3 21 14 3" xfId="6666"/>
    <cellStyle name="Normal 3 21 15" xfId="6667"/>
    <cellStyle name="Normal 3 21 15 2" xfId="6668"/>
    <cellStyle name="Normal 3 21 15 2 2" xfId="6669"/>
    <cellStyle name="Normal 3 21 15 3" xfId="6670"/>
    <cellStyle name="Normal 3 21 16" xfId="6671"/>
    <cellStyle name="Normal 3 21 16 2" xfId="6672"/>
    <cellStyle name="Normal 3 21 16 2 2" xfId="6673"/>
    <cellStyle name="Normal 3 21 16 3" xfId="6674"/>
    <cellStyle name="Normal 3 21 17" xfId="6675"/>
    <cellStyle name="Normal 3 21 17 2" xfId="6676"/>
    <cellStyle name="Normal 3 21 17 2 2" xfId="6677"/>
    <cellStyle name="Normal 3 21 17 3" xfId="6678"/>
    <cellStyle name="Normal 3 21 18" xfId="6679"/>
    <cellStyle name="Normal 3 21 18 2" xfId="6680"/>
    <cellStyle name="Normal 3 21 18 2 2" xfId="6681"/>
    <cellStyle name="Normal 3 21 18 3" xfId="6682"/>
    <cellStyle name="Normal 3 21 19" xfId="6683"/>
    <cellStyle name="Normal 3 21 19 2" xfId="6684"/>
    <cellStyle name="Normal 3 21 19 2 2" xfId="6685"/>
    <cellStyle name="Normal 3 21 19 3" xfId="6686"/>
    <cellStyle name="Normal 3 21 2" xfId="6687"/>
    <cellStyle name="Normal 3 21 2 2" xfId="6688"/>
    <cellStyle name="Normal 3 21 2 2 2" xfId="6689"/>
    <cellStyle name="Normal 3 21 2 3" xfId="6690"/>
    <cellStyle name="Normal 3 21 20" xfId="6691"/>
    <cellStyle name="Normal 3 21 20 2" xfId="6692"/>
    <cellStyle name="Normal 3 21 20 2 2" xfId="6693"/>
    <cellStyle name="Normal 3 21 20 3" xfId="6694"/>
    <cellStyle name="Normal 3 21 21" xfId="6695"/>
    <cellStyle name="Normal 3 21 21 2" xfId="6696"/>
    <cellStyle name="Normal 3 21 21 2 2" xfId="6697"/>
    <cellStyle name="Normal 3 21 21 3" xfId="6698"/>
    <cellStyle name="Normal 3 21 22" xfId="6699"/>
    <cellStyle name="Normal 3 21 22 2" xfId="6700"/>
    <cellStyle name="Normal 3 21 22 2 2" xfId="6701"/>
    <cellStyle name="Normal 3 21 22 3" xfId="6702"/>
    <cellStyle name="Normal 3 21 23" xfId="6703"/>
    <cellStyle name="Normal 3 21 23 2" xfId="6704"/>
    <cellStyle name="Normal 3 21 23 2 2" xfId="6705"/>
    <cellStyle name="Normal 3 21 23 3" xfId="6706"/>
    <cellStyle name="Normal 3 21 24" xfId="6707"/>
    <cellStyle name="Normal 3 21 24 2" xfId="6708"/>
    <cellStyle name="Normal 3 21 25" xfId="6709"/>
    <cellStyle name="Normal 3 21 3" xfId="6710"/>
    <cellStyle name="Normal 3 21 3 2" xfId="6711"/>
    <cellStyle name="Normal 3 21 3 2 2" xfId="6712"/>
    <cellStyle name="Normal 3 21 3 3" xfId="6713"/>
    <cellStyle name="Normal 3 21 4" xfId="6714"/>
    <cellStyle name="Normal 3 21 4 2" xfId="6715"/>
    <cellStyle name="Normal 3 21 4 2 2" xfId="6716"/>
    <cellStyle name="Normal 3 21 4 3" xfId="6717"/>
    <cellStyle name="Normal 3 21 5" xfId="6718"/>
    <cellStyle name="Normal 3 21 5 2" xfId="6719"/>
    <cellStyle name="Normal 3 21 5 2 2" xfId="6720"/>
    <cellStyle name="Normal 3 21 5 3" xfId="6721"/>
    <cellStyle name="Normal 3 21 6" xfId="6722"/>
    <cellStyle name="Normal 3 21 6 2" xfId="6723"/>
    <cellStyle name="Normal 3 21 6 2 2" xfId="6724"/>
    <cellStyle name="Normal 3 21 6 3" xfId="6725"/>
    <cellStyle name="Normal 3 21 7" xfId="6726"/>
    <cellStyle name="Normal 3 21 7 2" xfId="6727"/>
    <cellStyle name="Normal 3 21 7 2 2" xfId="6728"/>
    <cellStyle name="Normal 3 21 7 3" xfId="6729"/>
    <cellStyle name="Normal 3 21 8" xfId="6730"/>
    <cellStyle name="Normal 3 21 8 2" xfId="6731"/>
    <cellStyle name="Normal 3 21 8 2 2" xfId="6732"/>
    <cellStyle name="Normal 3 21 8 3" xfId="6733"/>
    <cellStyle name="Normal 3 21 9" xfId="6734"/>
    <cellStyle name="Normal 3 21 9 2" xfId="6735"/>
    <cellStyle name="Normal 3 21 9 2 2" xfId="6736"/>
    <cellStyle name="Normal 3 21 9 3" xfId="6737"/>
    <cellStyle name="Normal 3 22" xfId="6738"/>
    <cellStyle name="Normal 3 22 10" xfId="6739"/>
    <cellStyle name="Normal 3 22 10 2" xfId="6740"/>
    <cellStyle name="Normal 3 22 10 2 2" xfId="6741"/>
    <cellStyle name="Normal 3 22 10 3" xfId="6742"/>
    <cellStyle name="Normal 3 22 11" xfId="6743"/>
    <cellStyle name="Normal 3 22 11 2" xfId="6744"/>
    <cellStyle name="Normal 3 22 11 2 2" xfId="6745"/>
    <cellStyle name="Normal 3 22 11 3" xfId="6746"/>
    <cellStyle name="Normal 3 22 12" xfId="6747"/>
    <cellStyle name="Normal 3 22 12 2" xfId="6748"/>
    <cellStyle name="Normal 3 22 12 2 2" xfId="6749"/>
    <cellStyle name="Normal 3 22 12 3" xfId="6750"/>
    <cellStyle name="Normal 3 22 13" xfId="6751"/>
    <cellStyle name="Normal 3 22 13 2" xfId="6752"/>
    <cellStyle name="Normal 3 22 13 2 2" xfId="6753"/>
    <cellStyle name="Normal 3 22 13 3" xfId="6754"/>
    <cellStyle name="Normal 3 22 14" xfId="6755"/>
    <cellStyle name="Normal 3 22 14 2" xfId="6756"/>
    <cellStyle name="Normal 3 22 14 2 2" xfId="6757"/>
    <cellStyle name="Normal 3 22 14 3" xfId="6758"/>
    <cellStyle name="Normal 3 22 15" xfId="6759"/>
    <cellStyle name="Normal 3 22 15 2" xfId="6760"/>
    <cellStyle name="Normal 3 22 15 2 2" xfId="6761"/>
    <cellStyle name="Normal 3 22 15 3" xfId="6762"/>
    <cellStyle name="Normal 3 22 16" xfId="6763"/>
    <cellStyle name="Normal 3 22 16 2" xfId="6764"/>
    <cellStyle name="Normal 3 22 16 2 2" xfId="6765"/>
    <cellStyle name="Normal 3 22 16 3" xfId="6766"/>
    <cellStyle name="Normal 3 22 17" xfId="6767"/>
    <cellStyle name="Normal 3 22 17 2" xfId="6768"/>
    <cellStyle name="Normal 3 22 17 2 2" xfId="6769"/>
    <cellStyle name="Normal 3 22 17 3" xfId="6770"/>
    <cellStyle name="Normal 3 22 18" xfId="6771"/>
    <cellStyle name="Normal 3 22 18 2" xfId="6772"/>
    <cellStyle name="Normal 3 22 18 2 2" xfId="6773"/>
    <cellStyle name="Normal 3 22 18 3" xfId="6774"/>
    <cellStyle name="Normal 3 22 19" xfId="6775"/>
    <cellStyle name="Normal 3 22 19 2" xfId="6776"/>
    <cellStyle name="Normal 3 22 19 2 2" xfId="6777"/>
    <cellStyle name="Normal 3 22 19 3" xfId="6778"/>
    <cellStyle name="Normal 3 22 2" xfId="6779"/>
    <cellStyle name="Normal 3 22 2 2" xfId="6780"/>
    <cellStyle name="Normal 3 22 2 2 2" xfId="6781"/>
    <cellStyle name="Normal 3 22 2 3" xfId="6782"/>
    <cellStyle name="Normal 3 22 20" xfId="6783"/>
    <cellStyle name="Normal 3 22 20 2" xfId="6784"/>
    <cellStyle name="Normal 3 22 20 2 2" xfId="6785"/>
    <cellStyle name="Normal 3 22 20 3" xfId="6786"/>
    <cellStyle name="Normal 3 22 21" xfId="6787"/>
    <cellStyle name="Normal 3 22 21 2" xfId="6788"/>
    <cellStyle name="Normal 3 22 21 2 2" xfId="6789"/>
    <cellStyle name="Normal 3 22 21 3" xfId="6790"/>
    <cellStyle name="Normal 3 22 22" xfId="6791"/>
    <cellStyle name="Normal 3 22 22 2" xfId="6792"/>
    <cellStyle name="Normal 3 22 22 2 2" xfId="6793"/>
    <cellStyle name="Normal 3 22 22 3" xfId="6794"/>
    <cellStyle name="Normal 3 22 23" xfId="6795"/>
    <cellStyle name="Normal 3 22 23 2" xfId="6796"/>
    <cellStyle name="Normal 3 22 23 2 2" xfId="6797"/>
    <cellStyle name="Normal 3 22 23 3" xfId="6798"/>
    <cellStyle name="Normal 3 22 24" xfId="6799"/>
    <cellStyle name="Normal 3 22 24 2" xfId="6800"/>
    <cellStyle name="Normal 3 22 25" xfId="6801"/>
    <cellStyle name="Normal 3 22 3" xfId="6802"/>
    <cellStyle name="Normal 3 22 3 2" xfId="6803"/>
    <cellStyle name="Normal 3 22 3 2 2" xfId="6804"/>
    <cellStyle name="Normal 3 22 3 3" xfId="6805"/>
    <cellStyle name="Normal 3 22 4" xfId="6806"/>
    <cellStyle name="Normal 3 22 4 2" xfId="6807"/>
    <cellStyle name="Normal 3 22 4 2 2" xfId="6808"/>
    <cellStyle name="Normal 3 22 4 3" xfId="6809"/>
    <cellStyle name="Normal 3 22 5" xfId="6810"/>
    <cellStyle name="Normal 3 22 5 2" xfId="6811"/>
    <cellStyle name="Normal 3 22 5 2 2" xfId="6812"/>
    <cellStyle name="Normal 3 22 5 3" xfId="6813"/>
    <cellStyle name="Normal 3 22 6" xfId="6814"/>
    <cellStyle name="Normal 3 22 6 2" xfId="6815"/>
    <cellStyle name="Normal 3 22 6 2 2" xfId="6816"/>
    <cellStyle name="Normal 3 22 6 3" xfId="6817"/>
    <cellStyle name="Normal 3 22 7" xfId="6818"/>
    <cellStyle name="Normal 3 22 7 2" xfId="6819"/>
    <cellStyle name="Normal 3 22 7 2 2" xfId="6820"/>
    <cellStyle name="Normal 3 22 7 3" xfId="6821"/>
    <cellStyle name="Normal 3 22 8" xfId="6822"/>
    <cellStyle name="Normal 3 22 8 2" xfId="6823"/>
    <cellStyle name="Normal 3 22 8 2 2" xfId="6824"/>
    <cellStyle name="Normal 3 22 8 3" xfId="6825"/>
    <cellStyle name="Normal 3 22 9" xfId="6826"/>
    <cellStyle name="Normal 3 22 9 2" xfId="6827"/>
    <cellStyle name="Normal 3 22 9 2 2" xfId="6828"/>
    <cellStyle name="Normal 3 22 9 3" xfId="6829"/>
    <cellStyle name="Normal 3 23" xfId="6830"/>
    <cellStyle name="Normal 3 23 10" xfId="6831"/>
    <cellStyle name="Normal 3 23 10 2" xfId="6832"/>
    <cellStyle name="Normal 3 23 10 2 2" xfId="6833"/>
    <cellStyle name="Normal 3 23 10 3" xfId="6834"/>
    <cellStyle name="Normal 3 23 11" xfId="6835"/>
    <cellStyle name="Normal 3 23 11 2" xfId="6836"/>
    <cellStyle name="Normal 3 23 11 2 2" xfId="6837"/>
    <cellStyle name="Normal 3 23 11 3" xfId="6838"/>
    <cellStyle name="Normal 3 23 12" xfId="6839"/>
    <cellStyle name="Normal 3 23 12 2" xfId="6840"/>
    <cellStyle name="Normal 3 23 12 2 2" xfId="6841"/>
    <cellStyle name="Normal 3 23 12 3" xfId="6842"/>
    <cellStyle name="Normal 3 23 13" xfId="6843"/>
    <cellStyle name="Normal 3 23 13 2" xfId="6844"/>
    <cellStyle name="Normal 3 23 13 2 2" xfId="6845"/>
    <cellStyle name="Normal 3 23 13 3" xfId="6846"/>
    <cellStyle name="Normal 3 23 14" xfId="6847"/>
    <cellStyle name="Normal 3 23 14 2" xfId="6848"/>
    <cellStyle name="Normal 3 23 14 2 2" xfId="6849"/>
    <cellStyle name="Normal 3 23 14 3" xfId="6850"/>
    <cellStyle name="Normal 3 23 15" xfId="6851"/>
    <cellStyle name="Normal 3 23 15 2" xfId="6852"/>
    <cellStyle name="Normal 3 23 15 2 2" xfId="6853"/>
    <cellStyle name="Normal 3 23 15 3" xfId="6854"/>
    <cellStyle name="Normal 3 23 16" xfId="6855"/>
    <cellStyle name="Normal 3 23 16 2" xfId="6856"/>
    <cellStyle name="Normal 3 23 16 2 2" xfId="6857"/>
    <cellStyle name="Normal 3 23 16 3" xfId="6858"/>
    <cellStyle name="Normal 3 23 17" xfId="6859"/>
    <cellStyle name="Normal 3 23 17 2" xfId="6860"/>
    <cellStyle name="Normal 3 23 17 2 2" xfId="6861"/>
    <cellStyle name="Normal 3 23 17 3" xfId="6862"/>
    <cellStyle name="Normal 3 23 18" xfId="6863"/>
    <cellStyle name="Normal 3 23 18 2" xfId="6864"/>
    <cellStyle name="Normal 3 23 18 2 2" xfId="6865"/>
    <cellStyle name="Normal 3 23 18 3" xfId="6866"/>
    <cellStyle name="Normal 3 23 19" xfId="6867"/>
    <cellStyle name="Normal 3 23 19 2" xfId="6868"/>
    <cellStyle name="Normal 3 23 19 2 2" xfId="6869"/>
    <cellStyle name="Normal 3 23 19 3" xfId="6870"/>
    <cellStyle name="Normal 3 23 2" xfId="6871"/>
    <cellStyle name="Normal 3 23 2 2" xfId="6872"/>
    <cellStyle name="Normal 3 23 2 2 2" xfId="6873"/>
    <cellStyle name="Normal 3 23 2 3" xfId="6874"/>
    <cellStyle name="Normal 3 23 20" xfId="6875"/>
    <cellStyle name="Normal 3 23 20 2" xfId="6876"/>
    <cellStyle name="Normal 3 23 20 2 2" xfId="6877"/>
    <cellStyle name="Normal 3 23 20 3" xfId="6878"/>
    <cellStyle name="Normal 3 23 21" xfId="6879"/>
    <cellStyle name="Normal 3 23 21 2" xfId="6880"/>
    <cellStyle name="Normal 3 23 21 2 2" xfId="6881"/>
    <cellStyle name="Normal 3 23 21 3" xfId="6882"/>
    <cellStyle name="Normal 3 23 22" xfId="6883"/>
    <cellStyle name="Normal 3 23 22 2" xfId="6884"/>
    <cellStyle name="Normal 3 23 22 2 2" xfId="6885"/>
    <cellStyle name="Normal 3 23 22 3" xfId="6886"/>
    <cellStyle name="Normal 3 23 23" xfId="6887"/>
    <cellStyle name="Normal 3 23 23 2" xfId="6888"/>
    <cellStyle name="Normal 3 23 23 2 2" xfId="6889"/>
    <cellStyle name="Normal 3 23 23 3" xfId="6890"/>
    <cellStyle name="Normal 3 23 24" xfId="6891"/>
    <cellStyle name="Normal 3 23 24 2" xfId="6892"/>
    <cellStyle name="Normal 3 23 25" xfId="6893"/>
    <cellStyle name="Normal 3 23 3" xfId="6894"/>
    <cellStyle name="Normal 3 23 3 2" xfId="6895"/>
    <cellStyle name="Normal 3 23 3 2 2" xfId="6896"/>
    <cellStyle name="Normal 3 23 3 3" xfId="6897"/>
    <cellStyle name="Normal 3 23 4" xfId="6898"/>
    <cellStyle name="Normal 3 23 4 2" xfId="6899"/>
    <cellStyle name="Normal 3 23 4 2 2" xfId="6900"/>
    <cellStyle name="Normal 3 23 4 3" xfId="6901"/>
    <cellStyle name="Normal 3 23 5" xfId="6902"/>
    <cellStyle name="Normal 3 23 5 2" xfId="6903"/>
    <cellStyle name="Normal 3 23 5 2 2" xfId="6904"/>
    <cellStyle name="Normal 3 23 5 3" xfId="6905"/>
    <cellStyle name="Normal 3 23 6" xfId="6906"/>
    <cellStyle name="Normal 3 23 6 2" xfId="6907"/>
    <cellStyle name="Normal 3 23 6 2 2" xfId="6908"/>
    <cellStyle name="Normal 3 23 6 3" xfId="6909"/>
    <cellStyle name="Normal 3 23 7" xfId="6910"/>
    <cellStyle name="Normal 3 23 7 2" xfId="6911"/>
    <cellStyle name="Normal 3 23 7 2 2" xfId="6912"/>
    <cellStyle name="Normal 3 23 7 3" xfId="6913"/>
    <cellStyle name="Normal 3 23 8" xfId="6914"/>
    <cellStyle name="Normal 3 23 8 2" xfId="6915"/>
    <cellStyle name="Normal 3 23 8 2 2" xfId="6916"/>
    <cellStyle name="Normal 3 23 8 3" xfId="6917"/>
    <cellStyle name="Normal 3 23 9" xfId="6918"/>
    <cellStyle name="Normal 3 23 9 2" xfId="6919"/>
    <cellStyle name="Normal 3 23 9 2 2" xfId="6920"/>
    <cellStyle name="Normal 3 23 9 3" xfId="6921"/>
    <cellStyle name="Normal 3 24" xfId="6922"/>
    <cellStyle name="Normal 3 24 10" xfId="6923"/>
    <cellStyle name="Normal 3 24 10 2" xfId="6924"/>
    <cellStyle name="Normal 3 24 10 2 2" xfId="6925"/>
    <cellStyle name="Normal 3 24 10 3" xfId="6926"/>
    <cellStyle name="Normal 3 24 11" xfId="6927"/>
    <cellStyle name="Normal 3 24 11 2" xfId="6928"/>
    <cellStyle name="Normal 3 24 11 2 2" xfId="6929"/>
    <cellStyle name="Normal 3 24 11 3" xfId="6930"/>
    <cellStyle name="Normal 3 24 12" xfId="6931"/>
    <cellStyle name="Normal 3 24 12 2" xfId="6932"/>
    <cellStyle name="Normal 3 24 12 2 2" xfId="6933"/>
    <cellStyle name="Normal 3 24 12 3" xfId="6934"/>
    <cellStyle name="Normal 3 24 13" xfId="6935"/>
    <cellStyle name="Normal 3 24 13 2" xfId="6936"/>
    <cellStyle name="Normal 3 24 13 2 2" xfId="6937"/>
    <cellStyle name="Normal 3 24 13 3" xfId="6938"/>
    <cellStyle name="Normal 3 24 14" xfId="6939"/>
    <cellStyle name="Normal 3 24 14 2" xfId="6940"/>
    <cellStyle name="Normal 3 24 14 2 2" xfId="6941"/>
    <cellStyle name="Normal 3 24 14 3" xfId="6942"/>
    <cellStyle name="Normal 3 24 15" xfId="6943"/>
    <cellStyle name="Normal 3 24 15 2" xfId="6944"/>
    <cellStyle name="Normal 3 24 15 2 2" xfId="6945"/>
    <cellStyle name="Normal 3 24 15 3" xfId="6946"/>
    <cellStyle name="Normal 3 24 16" xfId="6947"/>
    <cellStyle name="Normal 3 24 16 2" xfId="6948"/>
    <cellStyle name="Normal 3 24 16 2 2" xfId="6949"/>
    <cellStyle name="Normal 3 24 16 3" xfId="6950"/>
    <cellStyle name="Normal 3 24 17" xfId="6951"/>
    <cellStyle name="Normal 3 24 17 2" xfId="6952"/>
    <cellStyle name="Normal 3 24 17 2 2" xfId="6953"/>
    <cellStyle name="Normal 3 24 17 3" xfId="6954"/>
    <cellStyle name="Normal 3 24 18" xfId="6955"/>
    <cellStyle name="Normal 3 24 18 2" xfId="6956"/>
    <cellStyle name="Normal 3 24 18 2 2" xfId="6957"/>
    <cellStyle name="Normal 3 24 18 3" xfId="6958"/>
    <cellStyle name="Normal 3 24 19" xfId="6959"/>
    <cellStyle name="Normal 3 24 19 2" xfId="6960"/>
    <cellStyle name="Normal 3 24 19 2 2" xfId="6961"/>
    <cellStyle name="Normal 3 24 19 3" xfId="6962"/>
    <cellStyle name="Normal 3 24 2" xfId="6963"/>
    <cellStyle name="Normal 3 24 2 2" xfId="6964"/>
    <cellStyle name="Normal 3 24 2 2 2" xfId="6965"/>
    <cellStyle name="Normal 3 24 2 3" xfId="6966"/>
    <cellStyle name="Normal 3 24 20" xfId="6967"/>
    <cellStyle name="Normal 3 24 20 2" xfId="6968"/>
    <cellStyle name="Normal 3 24 20 2 2" xfId="6969"/>
    <cellStyle name="Normal 3 24 20 3" xfId="6970"/>
    <cellStyle name="Normal 3 24 21" xfId="6971"/>
    <cellStyle name="Normal 3 24 21 2" xfId="6972"/>
    <cellStyle name="Normal 3 24 21 2 2" xfId="6973"/>
    <cellStyle name="Normal 3 24 21 3" xfId="6974"/>
    <cellStyle name="Normal 3 24 22" xfId="6975"/>
    <cellStyle name="Normal 3 24 22 2" xfId="6976"/>
    <cellStyle name="Normal 3 24 22 2 2" xfId="6977"/>
    <cellStyle name="Normal 3 24 22 3" xfId="6978"/>
    <cellStyle name="Normal 3 24 23" xfId="6979"/>
    <cellStyle name="Normal 3 24 23 2" xfId="6980"/>
    <cellStyle name="Normal 3 24 23 2 2" xfId="6981"/>
    <cellStyle name="Normal 3 24 23 3" xfId="6982"/>
    <cellStyle name="Normal 3 24 24" xfId="6983"/>
    <cellStyle name="Normal 3 24 24 2" xfId="6984"/>
    <cellStyle name="Normal 3 24 25" xfId="6985"/>
    <cellStyle name="Normal 3 24 3" xfId="6986"/>
    <cellStyle name="Normal 3 24 3 2" xfId="6987"/>
    <cellStyle name="Normal 3 24 3 2 2" xfId="6988"/>
    <cellStyle name="Normal 3 24 3 3" xfId="6989"/>
    <cellStyle name="Normal 3 24 4" xfId="6990"/>
    <cellStyle name="Normal 3 24 4 2" xfId="6991"/>
    <cellStyle name="Normal 3 24 4 2 2" xfId="6992"/>
    <cellStyle name="Normal 3 24 4 3" xfId="6993"/>
    <cellStyle name="Normal 3 24 5" xfId="6994"/>
    <cellStyle name="Normal 3 24 5 2" xfId="6995"/>
    <cellStyle name="Normal 3 24 5 2 2" xfId="6996"/>
    <cellStyle name="Normal 3 24 5 3" xfId="6997"/>
    <cellStyle name="Normal 3 24 6" xfId="6998"/>
    <cellStyle name="Normal 3 24 6 2" xfId="6999"/>
    <cellStyle name="Normal 3 24 6 2 2" xfId="7000"/>
    <cellStyle name="Normal 3 24 6 3" xfId="7001"/>
    <cellStyle name="Normal 3 24 7" xfId="7002"/>
    <cellStyle name="Normal 3 24 7 2" xfId="7003"/>
    <cellStyle name="Normal 3 24 7 2 2" xfId="7004"/>
    <cellStyle name="Normal 3 24 7 3" xfId="7005"/>
    <cellStyle name="Normal 3 24 8" xfId="7006"/>
    <cellStyle name="Normal 3 24 8 2" xfId="7007"/>
    <cellStyle name="Normal 3 24 8 2 2" xfId="7008"/>
    <cellStyle name="Normal 3 24 8 3" xfId="7009"/>
    <cellStyle name="Normal 3 24 9" xfId="7010"/>
    <cellStyle name="Normal 3 24 9 2" xfId="7011"/>
    <cellStyle name="Normal 3 24 9 2 2" xfId="7012"/>
    <cellStyle name="Normal 3 24 9 3" xfId="7013"/>
    <cellStyle name="Normal 3 25" xfId="7014"/>
    <cellStyle name="Normal 3 25 10" xfId="7015"/>
    <cellStyle name="Normal 3 25 10 2" xfId="7016"/>
    <cellStyle name="Normal 3 25 10 2 2" xfId="7017"/>
    <cellStyle name="Normal 3 25 10 3" xfId="7018"/>
    <cellStyle name="Normal 3 25 11" xfId="7019"/>
    <cellStyle name="Normal 3 25 11 2" xfId="7020"/>
    <cellStyle name="Normal 3 25 11 2 2" xfId="7021"/>
    <cellStyle name="Normal 3 25 11 3" xfId="7022"/>
    <cellStyle name="Normal 3 25 12" xfId="7023"/>
    <cellStyle name="Normal 3 25 12 2" xfId="7024"/>
    <cellStyle name="Normal 3 25 12 2 2" xfId="7025"/>
    <cellStyle name="Normal 3 25 12 3" xfId="7026"/>
    <cellStyle name="Normal 3 25 13" xfId="7027"/>
    <cellStyle name="Normal 3 25 13 2" xfId="7028"/>
    <cellStyle name="Normal 3 25 13 2 2" xfId="7029"/>
    <cellStyle name="Normal 3 25 13 3" xfId="7030"/>
    <cellStyle name="Normal 3 25 14" xfId="7031"/>
    <cellStyle name="Normal 3 25 14 2" xfId="7032"/>
    <cellStyle name="Normal 3 25 14 2 2" xfId="7033"/>
    <cellStyle name="Normal 3 25 14 3" xfId="7034"/>
    <cellStyle name="Normal 3 25 15" xfId="7035"/>
    <cellStyle name="Normal 3 25 15 2" xfId="7036"/>
    <cellStyle name="Normal 3 25 15 2 2" xfId="7037"/>
    <cellStyle name="Normal 3 25 15 3" xfId="7038"/>
    <cellStyle name="Normal 3 25 16" xfId="7039"/>
    <cellStyle name="Normal 3 25 16 2" xfId="7040"/>
    <cellStyle name="Normal 3 25 16 2 2" xfId="7041"/>
    <cellStyle name="Normal 3 25 16 3" xfId="7042"/>
    <cellStyle name="Normal 3 25 17" xfId="7043"/>
    <cellStyle name="Normal 3 25 17 2" xfId="7044"/>
    <cellStyle name="Normal 3 25 17 2 2" xfId="7045"/>
    <cellStyle name="Normal 3 25 17 3" xfId="7046"/>
    <cellStyle name="Normal 3 25 18" xfId="7047"/>
    <cellStyle name="Normal 3 25 18 2" xfId="7048"/>
    <cellStyle name="Normal 3 25 18 2 2" xfId="7049"/>
    <cellStyle name="Normal 3 25 18 3" xfId="7050"/>
    <cellStyle name="Normal 3 25 19" xfId="7051"/>
    <cellStyle name="Normal 3 25 19 2" xfId="7052"/>
    <cellStyle name="Normal 3 25 19 2 2" xfId="7053"/>
    <cellStyle name="Normal 3 25 19 3" xfId="7054"/>
    <cellStyle name="Normal 3 25 2" xfId="7055"/>
    <cellStyle name="Normal 3 25 2 2" xfId="7056"/>
    <cellStyle name="Normal 3 25 2 2 2" xfId="7057"/>
    <cellStyle name="Normal 3 25 2 3" xfId="7058"/>
    <cellStyle name="Normal 3 25 20" xfId="7059"/>
    <cellStyle name="Normal 3 25 20 2" xfId="7060"/>
    <cellStyle name="Normal 3 25 20 2 2" xfId="7061"/>
    <cellStyle name="Normal 3 25 20 3" xfId="7062"/>
    <cellStyle name="Normal 3 25 21" xfId="7063"/>
    <cellStyle name="Normal 3 25 21 2" xfId="7064"/>
    <cellStyle name="Normal 3 25 21 2 2" xfId="7065"/>
    <cellStyle name="Normal 3 25 21 3" xfId="7066"/>
    <cellStyle name="Normal 3 25 22" xfId="7067"/>
    <cellStyle name="Normal 3 25 22 2" xfId="7068"/>
    <cellStyle name="Normal 3 25 22 2 2" xfId="7069"/>
    <cellStyle name="Normal 3 25 22 3" xfId="7070"/>
    <cellStyle name="Normal 3 25 23" xfId="7071"/>
    <cellStyle name="Normal 3 25 23 2" xfId="7072"/>
    <cellStyle name="Normal 3 25 23 2 2" xfId="7073"/>
    <cellStyle name="Normal 3 25 23 3" xfId="7074"/>
    <cellStyle name="Normal 3 25 24" xfId="7075"/>
    <cellStyle name="Normal 3 25 24 2" xfId="7076"/>
    <cellStyle name="Normal 3 25 25" xfId="7077"/>
    <cellStyle name="Normal 3 25 3" xfId="7078"/>
    <cellStyle name="Normal 3 25 3 2" xfId="7079"/>
    <cellStyle name="Normal 3 25 3 2 2" xfId="7080"/>
    <cellStyle name="Normal 3 25 3 3" xfId="7081"/>
    <cellStyle name="Normal 3 25 4" xfId="7082"/>
    <cellStyle name="Normal 3 25 4 2" xfId="7083"/>
    <cellStyle name="Normal 3 25 4 2 2" xfId="7084"/>
    <cellStyle name="Normal 3 25 4 3" xfId="7085"/>
    <cellStyle name="Normal 3 25 5" xfId="7086"/>
    <cellStyle name="Normal 3 25 5 2" xfId="7087"/>
    <cellStyle name="Normal 3 25 5 2 2" xfId="7088"/>
    <cellStyle name="Normal 3 25 5 3" xfId="7089"/>
    <cellStyle name="Normal 3 25 6" xfId="7090"/>
    <cellStyle name="Normal 3 25 6 2" xfId="7091"/>
    <cellStyle name="Normal 3 25 6 2 2" xfId="7092"/>
    <cellStyle name="Normal 3 25 6 3" xfId="7093"/>
    <cellStyle name="Normal 3 25 7" xfId="7094"/>
    <cellStyle name="Normal 3 25 7 2" xfId="7095"/>
    <cellStyle name="Normal 3 25 7 2 2" xfId="7096"/>
    <cellStyle name="Normal 3 25 7 3" xfId="7097"/>
    <cellStyle name="Normal 3 25 8" xfId="7098"/>
    <cellStyle name="Normal 3 25 8 2" xfId="7099"/>
    <cellStyle name="Normal 3 25 8 2 2" xfId="7100"/>
    <cellStyle name="Normal 3 25 8 3" xfId="7101"/>
    <cellStyle name="Normal 3 25 9" xfId="7102"/>
    <cellStyle name="Normal 3 25 9 2" xfId="7103"/>
    <cellStyle name="Normal 3 25 9 2 2" xfId="7104"/>
    <cellStyle name="Normal 3 25 9 3" xfId="7105"/>
    <cellStyle name="Normal 3 26" xfId="7106"/>
    <cellStyle name="Normal 3 26 10" xfId="7107"/>
    <cellStyle name="Normal 3 26 10 2" xfId="7108"/>
    <cellStyle name="Normal 3 26 10 2 2" xfId="7109"/>
    <cellStyle name="Normal 3 26 10 3" xfId="7110"/>
    <cellStyle name="Normal 3 26 11" xfId="7111"/>
    <cellStyle name="Normal 3 26 11 2" xfId="7112"/>
    <cellStyle name="Normal 3 26 11 2 2" xfId="7113"/>
    <cellStyle name="Normal 3 26 11 3" xfId="7114"/>
    <cellStyle name="Normal 3 26 12" xfId="7115"/>
    <cellStyle name="Normal 3 26 12 2" xfId="7116"/>
    <cellStyle name="Normal 3 26 12 2 2" xfId="7117"/>
    <cellStyle name="Normal 3 26 12 3" xfId="7118"/>
    <cellStyle name="Normal 3 26 13" xfId="7119"/>
    <cellStyle name="Normal 3 26 13 2" xfId="7120"/>
    <cellStyle name="Normal 3 26 13 2 2" xfId="7121"/>
    <cellStyle name="Normal 3 26 13 3" xfId="7122"/>
    <cellStyle name="Normal 3 26 14" xfId="7123"/>
    <cellStyle name="Normal 3 26 14 2" xfId="7124"/>
    <cellStyle name="Normal 3 26 14 2 2" xfId="7125"/>
    <cellStyle name="Normal 3 26 14 3" xfId="7126"/>
    <cellStyle name="Normal 3 26 15" xfId="7127"/>
    <cellStyle name="Normal 3 26 15 2" xfId="7128"/>
    <cellStyle name="Normal 3 26 15 2 2" xfId="7129"/>
    <cellStyle name="Normal 3 26 15 3" xfId="7130"/>
    <cellStyle name="Normal 3 26 16" xfId="7131"/>
    <cellStyle name="Normal 3 26 16 2" xfId="7132"/>
    <cellStyle name="Normal 3 26 16 2 2" xfId="7133"/>
    <cellStyle name="Normal 3 26 16 3" xfId="7134"/>
    <cellStyle name="Normal 3 26 17" xfId="7135"/>
    <cellStyle name="Normal 3 26 17 2" xfId="7136"/>
    <cellStyle name="Normal 3 26 17 2 2" xfId="7137"/>
    <cellStyle name="Normal 3 26 17 3" xfId="7138"/>
    <cellStyle name="Normal 3 26 18" xfId="7139"/>
    <cellStyle name="Normal 3 26 18 2" xfId="7140"/>
    <cellStyle name="Normal 3 26 18 2 2" xfId="7141"/>
    <cellStyle name="Normal 3 26 18 3" xfId="7142"/>
    <cellStyle name="Normal 3 26 19" xfId="7143"/>
    <cellStyle name="Normal 3 26 19 2" xfId="7144"/>
    <cellStyle name="Normal 3 26 19 2 2" xfId="7145"/>
    <cellStyle name="Normal 3 26 19 3" xfId="7146"/>
    <cellStyle name="Normal 3 26 2" xfId="7147"/>
    <cellStyle name="Normal 3 26 2 2" xfId="7148"/>
    <cellStyle name="Normal 3 26 2 2 2" xfId="7149"/>
    <cellStyle name="Normal 3 26 2 3" xfId="7150"/>
    <cellStyle name="Normal 3 26 20" xfId="7151"/>
    <cellStyle name="Normal 3 26 20 2" xfId="7152"/>
    <cellStyle name="Normal 3 26 20 2 2" xfId="7153"/>
    <cellStyle name="Normal 3 26 20 3" xfId="7154"/>
    <cellStyle name="Normal 3 26 21" xfId="7155"/>
    <cellStyle name="Normal 3 26 21 2" xfId="7156"/>
    <cellStyle name="Normal 3 26 21 2 2" xfId="7157"/>
    <cellStyle name="Normal 3 26 21 3" xfId="7158"/>
    <cellStyle name="Normal 3 26 22" xfId="7159"/>
    <cellStyle name="Normal 3 26 22 2" xfId="7160"/>
    <cellStyle name="Normal 3 26 22 2 2" xfId="7161"/>
    <cellStyle name="Normal 3 26 22 3" xfId="7162"/>
    <cellStyle name="Normal 3 26 23" xfId="7163"/>
    <cellStyle name="Normal 3 26 23 2" xfId="7164"/>
    <cellStyle name="Normal 3 26 23 2 2" xfId="7165"/>
    <cellStyle name="Normal 3 26 23 3" xfId="7166"/>
    <cellStyle name="Normal 3 26 24" xfId="7167"/>
    <cellStyle name="Normal 3 26 24 2" xfId="7168"/>
    <cellStyle name="Normal 3 26 25" xfId="7169"/>
    <cellStyle name="Normal 3 26 3" xfId="7170"/>
    <cellStyle name="Normal 3 26 3 2" xfId="7171"/>
    <cellStyle name="Normal 3 26 3 2 2" xfId="7172"/>
    <cellStyle name="Normal 3 26 3 3" xfId="7173"/>
    <cellStyle name="Normal 3 26 4" xfId="7174"/>
    <cellStyle name="Normal 3 26 4 2" xfId="7175"/>
    <cellStyle name="Normal 3 26 4 2 2" xfId="7176"/>
    <cellStyle name="Normal 3 26 4 3" xfId="7177"/>
    <cellStyle name="Normal 3 26 5" xfId="7178"/>
    <cellStyle name="Normal 3 26 5 2" xfId="7179"/>
    <cellStyle name="Normal 3 26 5 2 2" xfId="7180"/>
    <cellStyle name="Normal 3 26 5 3" xfId="7181"/>
    <cellStyle name="Normal 3 26 6" xfId="7182"/>
    <cellStyle name="Normal 3 26 6 2" xfId="7183"/>
    <cellStyle name="Normal 3 26 6 2 2" xfId="7184"/>
    <cellStyle name="Normal 3 26 6 3" xfId="7185"/>
    <cellStyle name="Normal 3 26 7" xfId="7186"/>
    <cellStyle name="Normal 3 26 7 2" xfId="7187"/>
    <cellStyle name="Normal 3 26 7 2 2" xfId="7188"/>
    <cellStyle name="Normal 3 26 7 3" xfId="7189"/>
    <cellStyle name="Normal 3 26 8" xfId="7190"/>
    <cellStyle name="Normal 3 26 8 2" xfId="7191"/>
    <cellStyle name="Normal 3 26 8 2 2" xfId="7192"/>
    <cellStyle name="Normal 3 26 8 3" xfId="7193"/>
    <cellStyle name="Normal 3 26 9" xfId="7194"/>
    <cellStyle name="Normal 3 26 9 2" xfId="7195"/>
    <cellStyle name="Normal 3 26 9 2 2" xfId="7196"/>
    <cellStyle name="Normal 3 26 9 3" xfId="7197"/>
    <cellStyle name="Normal 3 27" xfId="7198"/>
    <cellStyle name="Normal 3 27 10" xfId="7199"/>
    <cellStyle name="Normal 3 27 10 2" xfId="7200"/>
    <cellStyle name="Normal 3 27 10 2 2" xfId="7201"/>
    <cellStyle name="Normal 3 27 10 3" xfId="7202"/>
    <cellStyle name="Normal 3 27 11" xfId="7203"/>
    <cellStyle name="Normal 3 27 11 2" xfId="7204"/>
    <cellStyle name="Normal 3 27 11 2 2" xfId="7205"/>
    <cellStyle name="Normal 3 27 11 3" xfId="7206"/>
    <cellStyle name="Normal 3 27 12" xfId="7207"/>
    <cellStyle name="Normal 3 27 12 2" xfId="7208"/>
    <cellStyle name="Normal 3 27 12 2 2" xfId="7209"/>
    <cellStyle name="Normal 3 27 12 3" xfId="7210"/>
    <cellStyle name="Normal 3 27 13" xfId="7211"/>
    <cellStyle name="Normal 3 27 13 2" xfId="7212"/>
    <cellStyle name="Normal 3 27 13 2 2" xfId="7213"/>
    <cellStyle name="Normal 3 27 13 3" xfId="7214"/>
    <cellStyle name="Normal 3 27 14" xfId="7215"/>
    <cellStyle name="Normal 3 27 14 2" xfId="7216"/>
    <cellStyle name="Normal 3 27 14 2 2" xfId="7217"/>
    <cellStyle name="Normal 3 27 14 3" xfId="7218"/>
    <cellStyle name="Normal 3 27 15" xfId="7219"/>
    <cellStyle name="Normal 3 27 15 2" xfId="7220"/>
    <cellStyle name="Normal 3 27 15 2 2" xfId="7221"/>
    <cellStyle name="Normal 3 27 15 3" xfId="7222"/>
    <cellStyle name="Normal 3 27 16" xfId="7223"/>
    <cellStyle name="Normal 3 27 16 2" xfId="7224"/>
    <cellStyle name="Normal 3 27 16 2 2" xfId="7225"/>
    <cellStyle name="Normal 3 27 16 3" xfId="7226"/>
    <cellStyle name="Normal 3 27 17" xfId="7227"/>
    <cellStyle name="Normal 3 27 17 2" xfId="7228"/>
    <cellStyle name="Normal 3 27 17 2 2" xfId="7229"/>
    <cellStyle name="Normal 3 27 17 3" xfId="7230"/>
    <cellStyle name="Normal 3 27 18" xfId="7231"/>
    <cellStyle name="Normal 3 27 18 2" xfId="7232"/>
    <cellStyle name="Normal 3 27 18 2 2" xfId="7233"/>
    <cellStyle name="Normal 3 27 18 3" xfId="7234"/>
    <cellStyle name="Normal 3 27 19" xfId="7235"/>
    <cellStyle name="Normal 3 27 19 2" xfId="7236"/>
    <cellStyle name="Normal 3 27 19 2 2" xfId="7237"/>
    <cellStyle name="Normal 3 27 19 3" xfId="7238"/>
    <cellStyle name="Normal 3 27 2" xfId="7239"/>
    <cellStyle name="Normal 3 27 2 2" xfId="7240"/>
    <cellStyle name="Normal 3 27 2 2 2" xfId="7241"/>
    <cellStyle name="Normal 3 27 2 3" xfId="7242"/>
    <cellStyle name="Normal 3 27 20" xfId="7243"/>
    <cellStyle name="Normal 3 27 20 2" xfId="7244"/>
    <cellStyle name="Normal 3 27 20 2 2" xfId="7245"/>
    <cellStyle name="Normal 3 27 20 3" xfId="7246"/>
    <cellStyle name="Normal 3 27 21" xfId="7247"/>
    <cellStyle name="Normal 3 27 21 2" xfId="7248"/>
    <cellStyle name="Normal 3 27 21 2 2" xfId="7249"/>
    <cellStyle name="Normal 3 27 21 3" xfId="7250"/>
    <cellStyle name="Normal 3 27 22" xfId="7251"/>
    <cellStyle name="Normal 3 27 22 2" xfId="7252"/>
    <cellStyle name="Normal 3 27 22 2 2" xfId="7253"/>
    <cellStyle name="Normal 3 27 22 3" xfId="7254"/>
    <cellStyle name="Normal 3 27 23" xfId="7255"/>
    <cellStyle name="Normal 3 27 23 2" xfId="7256"/>
    <cellStyle name="Normal 3 27 23 2 2" xfId="7257"/>
    <cellStyle name="Normal 3 27 23 3" xfId="7258"/>
    <cellStyle name="Normal 3 27 24" xfId="7259"/>
    <cellStyle name="Normal 3 27 24 2" xfId="7260"/>
    <cellStyle name="Normal 3 27 25" xfId="7261"/>
    <cellStyle name="Normal 3 27 3" xfId="7262"/>
    <cellStyle name="Normal 3 27 3 2" xfId="7263"/>
    <cellStyle name="Normal 3 27 3 2 2" xfId="7264"/>
    <cellStyle name="Normal 3 27 3 3" xfId="7265"/>
    <cellStyle name="Normal 3 27 4" xfId="7266"/>
    <cellStyle name="Normal 3 27 4 2" xfId="7267"/>
    <cellStyle name="Normal 3 27 4 2 2" xfId="7268"/>
    <cellStyle name="Normal 3 27 4 3" xfId="7269"/>
    <cellStyle name="Normal 3 27 5" xfId="7270"/>
    <cellStyle name="Normal 3 27 5 2" xfId="7271"/>
    <cellStyle name="Normal 3 27 5 2 2" xfId="7272"/>
    <cellStyle name="Normal 3 27 5 3" xfId="7273"/>
    <cellStyle name="Normal 3 27 6" xfId="7274"/>
    <cellStyle name="Normal 3 27 6 2" xfId="7275"/>
    <cellStyle name="Normal 3 27 6 2 2" xfId="7276"/>
    <cellStyle name="Normal 3 27 6 3" xfId="7277"/>
    <cellStyle name="Normal 3 27 7" xfId="7278"/>
    <cellStyle name="Normal 3 27 7 2" xfId="7279"/>
    <cellStyle name="Normal 3 27 7 2 2" xfId="7280"/>
    <cellStyle name="Normal 3 27 7 3" xfId="7281"/>
    <cellStyle name="Normal 3 27 8" xfId="7282"/>
    <cellStyle name="Normal 3 27 8 2" xfId="7283"/>
    <cellStyle name="Normal 3 27 8 2 2" xfId="7284"/>
    <cellStyle name="Normal 3 27 8 3" xfId="7285"/>
    <cellStyle name="Normal 3 27 9" xfId="7286"/>
    <cellStyle name="Normal 3 27 9 2" xfId="7287"/>
    <cellStyle name="Normal 3 27 9 2 2" xfId="7288"/>
    <cellStyle name="Normal 3 27 9 3" xfId="7289"/>
    <cellStyle name="Normal 3 28" xfId="7290"/>
    <cellStyle name="Normal 3 28 10" xfId="7291"/>
    <cellStyle name="Normal 3 28 10 2" xfId="7292"/>
    <cellStyle name="Normal 3 28 10 2 2" xfId="7293"/>
    <cellStyle name="Normal 3 28 10 3" xfId="7294"/>
    <cellStyle name="Normal 3 28 11" xfId="7295"/>
    <cellStyle name="Normal 3 28 11 2" xfId="7296"/>
    <cellStyle name="Normal 3 28 11 2 2" xfId="7297"/>
    <cellStyle name="Normal 3 28 11 3" xfId="7298"/>
    <cellStyle name="Normal 3 28 12" xfId="7299"/>
    <cellStyle name="Normal 3 28 12 2" xfId="7300"/>
    <cellStyle name="Normal 3 28 12 2 2" xfId="7301"/>
    <cellStyle name="Normal 3 28 12 3" xfId="7302"/>
    <cellStyle name="Normal 3 28 13" xfId="7303"/>
    <cellStyle name="Normal 3 28 13 2" xfId="7304"/>
    <cellStyle name="Normal 3 28 13 2 2" xfId="7305"/>
    <cellStyle name="Normal 3 28 13 3" xfId="7306"/>
    <cellStyle name="Normal 3 28 14" xfId="7307"/>
    <cellStyle name="Normal 3 28 14 2" xfId="7308"/>
    <cellStyle name="Normal 3 28 14 2 2" xfId="7309"/>
    <cellStyle name="Normal 3 28 14 3" xfId="7310"/>
    <cellStyle name="Normal 3 28 15" xfId="7311"/>
    <cellStyle name="Normal 3 28 15 2" xfId="7312"/>
    <cellStyle name="Normal 3 28 15 2 2" xfId="7313"/>
    <cellStyle name="Normal 3 28 15 3" xfId="7314"/>
    <cellStyle name="Normal 3 28 16" xfId="7315"/>
    <cellStyle name="Normal 3 28 16 2" xfId="7316"/>
    <cellStyle name="Normal 3 28 16 2 2" xfId="7317"/>
    <cellStyle name="Normal 3 28 16 3" xfId="7318"/>
    <cellStyle name="Normal 3 28 17" xfId="7319"/>
    <cellStyle name="Normal 3 28 17 2" xfId="7320"/>
    <cellStyle name="Normal 3 28 17 2 2" xfId="7321"/>
    <cellStyle name="Normal 3 28 17 3" xfId="7322"/>
    <cellStyle name="Normal 3 28 18" xfId="7323"/>
    <cellStyle name="Normal 3 28 18 2" xfId="7324"/>
    <cellStyle name="Normal 3 28 18 2 2" xfId="7325"/>
    <cellStyle name="Normal 3 28 18 3" xfId="7326"/>
    <cellStyle name="Normal 3 28 19" xfId="7327"/>
    <cellStyle name="Normal 3 28 19 2" xfId="7328"/>
    <cellStyle name="Normal 3 28 19 2 2" xfId="7329"/>
    <cellStyle name="Normal 3 28 19 3" xfId="7330"/>
    <cellStyle name="Normal 3 28 2" xfId="7331"/>
    <cellStyle name="Normal 3 28 2 2" xfId="7332"/>
    <cellStyle name="Normal 3 28 2 2 2" xfId="7333"/>
    <cellStyle name="Normal 3 28 2 3" xfId="7334"/>
    <cellStyle name="Normal 3 28 20" xfId="7335"/>
    <cellStyle name="Normal 3 28 20 2" xfId="7336"/>
    <cellStyle name="Normal 3 28 20 2 2" xfId="7337"/>
    <cellStyle name="Normal 3 28 20 3" xfId="7338"/>
    <cellStyle name="Normal 3 28 21" xfId="7339"/>
    <cellStyle name="Normal 3 28 21 2" xfId="7340"/>
    <cellStyle name="Normal 3 28 21 2 2" xfId="7341"/>
    <cellStyle name="Normal 3 28 21 3" xfId="7342"/>
    <cellStyle name="Normal 3 28 22" xfId="7343"/>
    <cellStyle name="Normal 3 28 22 2" xfId="7344"/>
    <cellStyle name="Normal 3 28 22 2 2" xfId="7345"/>
    <cellStyle name="Normal 3 28 22 3" xfId="7346"/>
    <cellStyle name="Normal 3 28 23" xfId="7347"/>
    <cellStyle name="Normal 3 28 23 2" xfId="7348"/>
    <cellStyle name="Normal 3 28 23 2 2" xfId="7349"/>
    <cellStyle name="Normal 3 28 23 3" xfId="7350"/>
    <cellStyle name="Normal 3 28 24" xfId="7351"/>
    <cellStyle name="Normal 3 28 24 2" xfId="7352"/>
    <cellStyle name="Normal 3 28 25" xfId="7353"/>
    <cellStyle name="Normal 3 28 3" xfId="7354"/>
    <cellStyle name="Normal 3 28 3 2" xfId="7355"/>
    <cellStyle name="Normal 3 28 3 2 2" xfId="7356"/>
    <cellStyle name="Normal 3 28 3 3" xfId="7357"/>
    <cellStyle name="Normal 3 28 4" xfId="7358"/>
    <cellStyle name="Normal 3 28 4 2" xfId="7359"/>
    <cellStyle name="Normal 3 28 4 2 2" xfId="7360"/>
    <cellStyle name="Normal 3 28 4 3" xfId="7361"/>
    <cellStyle name="Normal 3 28 5" xfId="7362"/>
    <cellStyle name="Normal 3 28 5 2" xfId="7363"/>
    <cellStyle name="Normal 3 28 5 2 2" xfId="7364"/>
    <cellStyle name="Normal 3 28 5 3" xfId="7365"/>
    <cellStyle name="Normal 3 28 6" xfId="7366"/>
    <cellStyle name="Normal 3 28 6 2" xfId="7367"/>
    <cellStyle name="Normal 3 28 6 2 2" xfId="7368"/>
    <cellStyle name="Normal 3 28 6 3" xfId="7369"/>
    <cellStyle name="Normal 3 28 7" xfId="7370"/>
    <cellStyle name="Normal 3 28 7 2" xfId="7371"/>
    <cellStyle name="Normal 3 28 7 2 2" xfId="7372"/>
    <cellStyle name="Normal 3 28 7 3" xfId="7373"/>
    <cellStyle name="Normal 3 28 8" xfId="7374"/>
    <cellStyle name="Normal 3 28 8 2" xfId="7375"/>
    <cellStyle name="Normal 3 28 8 2 2" xfId="7376"/>
    <cellStyle name="Normal 3 28 8 3" xfId="7377"/>
    <cellStyle name="Normal 3 28 9" xfId="7378"/>
    <cellStyle name="Normal 3 28 9 2" xfId="7379"/>
    <cellStyle name="Normal 3 28 9 2 2" xfId="7380"/>
    <cellStyle name="Normal 3 28 9 3" xfId="7381"/>
    <cellStyle name="Normal 3 29" xfId="7382"/>
    <cellStyle name="Normal 3 29 10" xfId="7383"/>
    <cellStyle name="Normal 3 29 10 2" xfId="7384"/>
    <cellStyle name="Normal 3 29 10 2 2" xfId="7385"/>
    <cellStyle name="Normal 3 29 10 3" xfId="7386"/>
    <cellStyle name="Normal 3 29 11" xfId="7387"/>
    <cellStyle name="Normal 3 29 11 2" xfId="7388"/>
    <cellStyle name="Normal 3 29 11 2 2" xfId="7389"/>
    <cellStyle name="Normal 3 29 11 3" xfId="7390"/>
    <cellStyle name="Normal 3 29 12" xfId="7391"/>
    <cellStyle name="Normal 3 29 12 2" xfId="7392"/>
    <cellStyle name="Normal 3 29 12 2 2" xfId="7393"/>
    <cellStyle name="Normal 3 29 12 3" xfId="7394"/>
    <cellStyle name="Normal 3 29 13" xfId="7395"/>
    <cellStyle name="Normal 3 29 13 2" xfId="7396"/>
    <cellStyle name="Normal 3 29 13 2 2" xfId="7397"/>
    <cellStyle name="Normal 3 29 13 3" xfId="7398"/>
    <cellStyle name="Normal 3 29 14" xfId="7399"/>
    <cellStyle name="Normal 3 29 14 2" xfId="7400"/>
    <cellStyle name="Normal 3 29 14 2 2" xfId="7401"/>
    <cellStyle name="Normal 3 29 14 3" xfId="7402"/>
    <cellStyle name="Normal 3 29 15" xfId="7403"/>
    <cellStyle name="Normal 3 29 15 2" xfId="7404"/>
    <cellStyle name="Normal 3 29 15 2 2" xfId="7405"/>
    <cellStyle name="Normal 3 29 15 3" xfId="7406"/>
    <cellStyle name="Normal 3 29 16" xfId="7407"/>
    <cellStyle name="Normal 3 29 16 2" xfId="7408"/>
    <cellStyle name="Normal 3 29 16 2 2" xfId="7409"/>
    <cellStyle name="Normal 3 29 16 3" xfId="7410"/>
    <cellStyle name="Normal 3 29 17" xfId="7411"/>
    <cellStyle name="Normal 3 29 17 2" xfId="7412"/>
    <cellStyle name="Normal 3 29 17 2 2" xfId="7413"/>
    <cellStyle name="Normal 3 29 17 3" xfId="7414"/>
    <cellStyle name="Normal 3 29 18" xfId="7415"/>
    <cellStyle name="Normal 3 29 18 2" xfId="7416"/>
    <cellStyle name="Normal 3 29 18 2 2" xfId="7417"/>
    <cellStyle name="Normal 3 29 18 3" xfId="7418"/>
    <cellStyle name="Normal 3 29 19" xfId="7419"/>
    <cellStyle name="Normal 3 29 19 2" xfId="7420"/>
    <cellStyle name="Normal 3 29 19 2 2" xfId="7421"/>
    <cellStyle name="Normal 3 29 19 3" xfId="7422"/>
    <cellStyle name="Normal 3 29 2" xfId="7423"/>
    <cellStyle name="Normal 3 29 2 2" xfId="7424"/>
    <cellStyle name="Normal 3 29 2 2 2" xfId="7425"/>
    <cellStyle name="Normal 3 29 2 3" xfId="7426"/>
    <cellStyle name="Normal 3 29 20" xfId="7427"/>
    <cellStyle name="Normal 3 29 20 2" xfId="7428"/>
    <cellStyle name="Normal 3 29 20 2 2" xfId="7429"/>
    <cellStyle name="Normal 3 29 20 3" xfId="7430"/>
    <cellStyle name="Normal 3 29 21" xfId="7431"/>
    <cellStyle name="Normal 3 29 21 2" xfId="7432"/>
    <cellStyle name="Normal 3 29 21 2 2" xfId="7433"/>
    <cellStyle name="Normal 3 29 21 3" xfId="7434"/>
    <cellStyle name="Normal 3 29 22" xfId="7435"/>
    <cellStyle name="Normal 3 29 22 2" xfId="7436"/>
    <cellStyle name="Normal 3 29 22 2 2" xfId="7437"/>
    <cellStyle name="Normal 3 29 22 3" xfId="7438"/>
    <cellStyle name="Normal 3 29 23" xfId="7439"/>
    <cellStyle name="Normal 3 29 23 2" xfId="7440"/>
    <cellStyle name="Normal 3 29 23 2 2" xfId="7441"/>
    <cellStyle name="Normal 3 29 23 3" xfId="7442"/>
    <cellStyle name="Normal 3 29 24" xfId="7443"/>
    <cellStyle name="Normal 3 29 24 2" xfId="7444"/>
    <cellStyle name="Normal 3 29 25" xfId="7445"/>
    <cellStyle name="Normal 3 29 3" xfId="7446"/>
    <cellStyle name="Normal 3 29 3 2" xfId="7447"/>
    <cellStyle name="Normal 3 29 3 2 2" xfId="7448"/>
    <cellStyle name="Normal 3 29 3 3" xfId="7449"/>
    <cellStyle name="Normal 3 29 4" xfId="7450"/>
    <cellStyle name="Normal 3 29 4 2" xfId="7451"/>
    <cellStyle name="Normal 3 29 4 2 2" xfId="7452"/>
    <cellStyle name="Normal 3 29 4 3" xfId="7453"/>
    <cellStyle name="Normal 3 29 5" xfId="7454"/>
    <cellStyle name="Normal 3 29 5 2" xfId="7455"/>
    <cellStyle name="Normal 3 29 5 2 2" xfId="7456"/>
    <cellStyle name="Normal 3 29 5 3" xfId="7457"/>
    <cellStyle name="Normal 3 29 6" xfId="7458"/>
    <cellStyle name="Normal 3 29 6 2" xfId="7459"/>
    <cellStyle name="Normal 3 29 6 2 2" xfId="7460"/>
    <cellStyle name="Normal 3 29 6 3" xfId="7461"/>
    <cellStyle name="Normal 3 29 7" xfId="7462"/>
    <cellStyle name="Normal 3 29 7 2" xfId="7463"/>
    <cellStyle name="Normal 3 29 7 2 2" xfId="7464"/>
    <cellStyle name="Normal 3 29 7 3" xfId="7465"/>
    <cellStyle name="Normal 3 29 8" xfId="7466"/>
    <cellStyle name="Normal 3 29 8 2" xfId="7467"/>
    <cellStyle name="Normal 3 29 8 2 2" xfId="7468"/>
    <cellStyle name="Normal 3 29 8 3" xfId="7469"/>
    <cellStyle name="Normal 3 29 9" xfId="7470"/>
    <cellStyle name="Normal 3 29 9 2" xfId="7471"/>
    <cellStyle name="Normal 3 29 9 2 2" xfId="7472"/>
    <cellStyle name="Normal 3 29 9 3" xfId="7473"/>
    <cellStyle name="Normal 3 3" xfId="6"/>
    <cellStyle name="Normal 3 3 10" xfId="7474"/>
    <cellStyle name="Normal 3 3 10 2" xfId="7475"/>
    <cellStyle name="Normal 3 3 10 2 2" xfId="7476"/>
    <cellStyle name="Normal 3 3 10 3" xfId="7477"/>
    <cellStyle name="Normal 3 3 11" xfId="7478"/>
    <cellStyle name="Normal 3 3 11 2" xfId="7479"/>
    <cellStyle name="Normal 3 3 11 2 2" xfId="7480"/>
    <cellStyle name="Normal 3 3 11 3" xfId="7481"/>
    <cellStyle name="Normal 3 3 12" xfId="7482"/>
    <cellStyle name="Normal 3 3 12 2" xfId="7483"/>
    <cellStyle name="Normal 3 3 12 2 2" xfId="7484"/>
    <cellStyle name="Normal 3 3 12 3" xfId="7485"/>
    <cellStyle name="Normal 3 3 13" xfId="7486"/>
    <cellStyle name="Normal 3 3 13 2" xfId="7487"/>
    <cellStyle name="Normal 3 3 13 2 2" xfId="7488"/>
    <cellStyle name="Normal 3 3 13 3" xfId="7489"/>
    <cellStyle name="Normal 3 3 14" xfId="7490"/>
    <cellStyle name="Normal 3 3 14 2" xfId="7491"/>
    <cellStyle name="Normal 3 3 14 2 2" xfId="7492"/>
    <cellStyle name="Normal 3 3 14 3" xfId="7493"/>
    <cellStyle name="Normal 3 3 15" xfId="7494"/>
    <cellStyle name="Normal 3 3 15 2" xfId="7495"/>
    <cellStyle name="Normal 3 3 15 2 2" xfId="7496"/>
    <cellStyle name="Normal 3 3 15 3" xfId="7497"/>
    <cellStyle name="Normal 3 3 16" xfId="7498"/>
    <cellStyle name="Normal 3 3 16 2" xfId="7499"/>
    <cellStyle name="Normal 3 3 16 2 2" xfId="7500"/>
    <cellStyle name="Normal 3 3 16 3" xfId="7501"/>
    <cellStyle name="Normal 3 3 17" xfId="7502"/>
    <cellStyle name="Normal 3 3 17 2" xfId="7503"/>
    <cellStyle name="Normal 3 3 17 2 2" xfId="7504"/>
    <cellStyle name="Normal 3 3 17 3" xfId="7505"/>
    <cellStyle name="Normal 3 3 18" xfId="7506"/>
    <cellStyle name="Normal 3 3 18 2" xfId="7507"/>
    <cellStyle name="Normal 3 3 18 2 2" xfId="7508"/>
    <cellStyle name="Normal 3 3 18 3" xfId="7509"/>
    <cellStyle name="Normal 3 3 19" xfId="7510"/>
    <cellStyle name="Normal 3 3 19 2" xfId="7511"/>
    <cellStyle name="Normal 3 3 19 2 2" xfId="7512"/>
    <cellStyle name="Normal 3 3 19 3" xfId="7513"/>
    <cellStyle name="Normal 3 3 2" xfId="213"/>
    <cellStyle name="Normal 3 3 2 2" xfId="405"/>
    <cellStyle name="Normal 3 3 2 2 2" xfId="7514"/>
    <cellStyle name="Normal 3 3 2 3" xfId="7515"/>
    <cellStyle name="Normal 3 3 20" xfId="7516"/>
    <cellStyle name="Normal 3 3 20 2" xfId="7517"/>
    <cellStyle name="Normal 3 3 20 2 2" xfId="7518"/>
    <cellStyle name="Normal 3 3 20 3" xfId="7519"/>
    <cellStyle name="Normal 3 3 21" xfId="7520"/>
    <cellStyle name="Normal 3 3 21 2" xfId="7521"/>
    <cellStyle name="Normal 3 3 21 2 2" xfId="7522"/>
    <cellStyle name="Normal 3 3 21 3" xfId="7523"/>
    <cellStyle name="Normal 3 3 22" xfId="7524"/>
    <cellStyle name="Normal 3 3 22 2" xfId="7525"/>
    <cellStyle name="Normal 3 3 22 2 2" xfId="7526"/>
    <cellStyle name="Normal 3 3 22 3" xfId="7527"/>
    <cellStyle name="Normal 3 3 23" xfId="7528"/>
    <cellStyle name="Normal 3 3 23 2" xfId="7529"/>
    <cellStyle name="Normal 3 3 23 2 2" xfId="7530"/>
    <cellStyle name="Normal 3 3 23 3" xfId="7531"/>
    <cellStyle name="Normal 3 3 24" xfId="7532"/>
    <cellStyle name="Normal 3 3 24 2" xfId="7533"/>
    <cellStyle name="Normal 3 3 25" xfId="7534"/>
    <cellStyle name="Normal 3 3 3" xfId="7535"/>
    <cellStyle name="Normal 3 3 3 2" xfId="7536"/>
    <cellStyle name="Normal 3 3 3 2 2" xfId="7537"/>
    <cellStyle name="Normal 3 3 3 3" xfId="7538"/>
    <cellStyle name="Normal 3 3 4" xfId="7539"/>
    <cellStyle name="Normal 3 3 4 2" xfId="7540"/>
    <cellStyle name="Normal 3 3 4 2 2" xfId="7541"/>
    <cellStyle name="Normal 3 3 4 3" xfId="7542"/>
    <cellStyle name="Normal 3 3 5" xfId="7543"/>
    <cellStyle name="Normal 3 3 5 2" xfId="7544"/>
    <cellStyle name="Normal 3 3 5 2 2" xfId="7545"/>
    <cellStyle name="Normal 3 3 5 3" xfId="7546"/>
    <cellStyle name="Normal 3 3 6" xfId="7547"/>
    <cellStyle name="Normal 3 3 6 2" xfId="7548"/>
    <cellStyle name="Normal 3 3 6 2 2" xfId="7549"/>
    <cellStyle name="Normal 3 3 6 3" xfId="7550"/>
    <cellStyle name="Normal 3 3 7" xfId="7551"/>
    <cellStyle name="Normal 3 3 7 2" xfId="7552"/>
    <cellStyle name="Normal 3 3 7 2 2" xfId="7553"/>
    <cellStyle name="Normal 3 3 7 3" xfId="7554"/>
    <cellStyle name="Normal 3 3 8" xfId="7555"/>
    <cellStyle name="Normal 3 3 8 2" xfId="7556"/>
    <cellStyle name="Normal 3 3 8 2 2" xfId="7557"/>
    <cellStyle name="Normal 3 3 8 3" xfId="7558"/>
    <cellStyle name="Normal 3 3 9" xfId="7559"/>
    <cellStyle name="Normal 3 3 9 2" xfId="7560"/>
    <cellStyle name="Normal 3 3 9 2 2" xfId="7561"/>
    <cellStyle name="Normal 3 3 9 3" xfId="7562"/>
    <cellStyle name="Normal 3 30" xfId="7563"/>
    <cellStyle name="Normal 3 30 10" xfId="7564"/>
    <cellStyle name="Normal 3 30 10 2" xfId="7565"/>
    <cellStyle name="Normal 3 30 10 2 2" xfId="7566"/>
    <cellStyle name="Normal 3 30 10 3" xfId="7567"/>
    <cellStyle name="Normal 3 30 11" xfId="7568"/>
    <cellStyle name="Normal 3 30 11 2" xfId="7569"/>
    <cellStyle name="Normal 3 30 11 2 2" xfId="7570"/>
    <cellStyle name="Normal 3 30 11 3" xfId="7571"/>
    <cellStyle name="Normal 3 30 12" xfId="7572"/>
    <cellStyle name="Normal 3 30 12 2" xfId="7573"/>
    <cellStyle name="Normal 3 30 12 2 2" xfId="7574"/>
    <cellStyle name="Normal 3 30 12 3" xfId="7575"/>
    <cellStyle name="Normal 3 30 13" xfId="7576"/>
    <cellStyle name="Normal 3 30 13 2" xfId="7577"/>
    <cellStyle name="Normal 3 30 13 2 2" xfId="7578"/>
    <cellStyle name="Normal 3 30 13 3" xfId="7579"/>
    <cellStyle name="Normal 3 30 14" xfId="7580"/>
    <cellStyle name="Normal 3 30 14 2" xfId="7581"/>
    <cellStyle name="Normal 3 30 14 2 2" xfId="7582"/>
    <cellStyle name="Normal 3 30 14 3" xfId="7583"/>
    <cellStyle name="Normal 3 30 15" xfId="7584"/>
    <cellStyle name="Normal 3 30 15 2" xfId="7585"/>
    <cellStyle name="Normal 3 30 15 2 2" xfId="7586"/>
    <cellStyle name="Normal 3 30 15 3" xfId="7587"/>
    <cellStyle name="Normal 3 30 16" xfId="7588"/>
    <cellStyle name="Normal 3 30 16 2" xfId="7589"/>
    <cellStyle name="Normal 3 30 16 2 2" xfId="7590"/>
    <cellStyle name="Normal 3 30 16 3" xfId="7591"/>
    <cellStyle name="Normal 3 30 17" xfId="7592"/>
    <cellStyle name="Normal 3 30 17 2" xfId="7593"/>
    <cellStyle name="Normal 3 30 17 2 2" xfId="7594"/>
    <cellStyle name="Normal 3 30 17 3" xfId="7595"/>
    <cellStyle name="Normal 3 30 18" xfId="7596"/>
    <cellStyle name="Normal 3 30 18 2" xfId="7597"/>
    <cellStyle name="Normal 3 30 18 2 2" xfId="7598"/>
    <cellStyle name="Normal 3 30 18 3" xfId="7599"/>
    <cellStyle name="Normal 3 30 19" xfId="7600"/>
    <cellStyle name="Normal 3 30 19 2" xfId="7601"/>
    <cellStyle name="Normal 3 30 19 2 2" xfId="7602"/>
    <cellStyle name="Normal 3 30 19 3" xfId="7603"/>
    <cellStyle name="Normal 3 30 2" xfId="7604"/>
    <cellStyle name="Normal 3 30 2 2" xfId="7605"/>
    <cellStyle name="Normal 3 30 2 2 2" xfId="7606"/>
    <cellStyle name="Normal 3 30 2 3" xfId="7607"/>
    <cellStyle name="Normal 3 30 20" xfId="7608"/>
    <cellStyle name="Normal 3 30 20 2" xfId="7609"/>
    <cellStyle name="Normal 3 30 20 2 2" xfId="7610"/>
    <cellStyle name="Normal 3 30 20 3" xfId="7611"/>
    <cellStyle name="Normal 3 30 21" xfId="7612"/>
    <cellStyle name="Normal 3 30 21 2" xfId="7613"/>
    <cellStyle name="Normal 3 30 21 2 2" xfId="7614"/>
    <cellStyle name="Normal 3 30 21 3" xfId="7615"/>
    <cellStyle name="Normal 3 30 22" xfId="7616"/>
    <cellStyle name="Normal 3 30 22 2" xfId="7617"/>
    <cellStyle name="Normal 3 30 22 2 2" xfId="7618"/>
    <cellStyle name="Normal 3 30 22 3" xfId="7619"/>
    <cellStyle name="Normal 3 30 23" xfId="7620"/>
    <cellStyle name="Normal 3 30 23 2" xfId="7621"/>
    <cellStyle name="Normal 3 30 23 2 2" xfId="7622"/>
    <cellStyle name="Normal 3 30 23 3" xfId="7623"/>
    <cellStyle name="Normal 3 30 24" xfId="7624"/>
    <cellStyle name="Normal 3 30 24 2" xfId="7625"/>
    <cellStyle name="Normal 3 30 25" xfId="7626"/>
    <cellStyle name="Normal 3 30 3" xfId="7627"/>
    <cellStyle name="Normal 3 30 3 2" xfId="7628"/>
    <cellStyle name="Normal 3 30 3 2 2" xfId="7629"/>
    <cellStyle name="Normal 3 30 3 3" xfId="7630"/>
    <cellStyle name="Normal 3 30 4" xfId="7631"/>
    <cellStyle name="Normal 3 30 4 2" xfId="7632"/>
    <cellStyle name="Normal 3 30 4 2 2" xfId="7633"/>
    <cellStyle name="Normal 3 30 4 3" xfId="7634"/>
    <cellStyle name="Normal 3 30 5" xfId="7635"/>
    <cellStyle name="Normal 3 30 5 2" xfId="7636"/>
    <cellStyle name="Normal 3 30 5 2 2" xfId="7637"/>
    <cellStyle name="Normal 3 30 5 3" xfId="7638"/>
    <cellStyle name="Normal 3 30 6" xfId="7639"/>
    <cellStyle name="Normal 3 30 6 2" xfId="7640"/>
    <cellStyle name="Normal 3 30 6 2 2" xfId="7641"/>
    <cellStyle name="Normal 3 30 6 3" xfId="7642"/>
    <cellStyle name="Normal 3 30 7" xfId="7643"/>
    <cellStyle name="Normal 3 30 7 2" xfId="7644"/>
    <cellStyle name="Normal 3 30 7 2 2" xfId="7645"/>
    <cellStyle name="Normal 3 30 7 3" xfId="7646"/>
    <cellStyle name="Normal 3 30 8" xfId="7647"/>
    <cellStyle name="Normal 3 30 8 2" xfId="7648"/>
    <cellStyle name="Normal 3 30 8 2 2" xfId="7649"/>
    <cellStyle name="Normal 3 30 8 3" xfId="7650"/>
    <cellStyle name="Normal 3 30 9" xfId="7651"/>
    <cellStyle name="Normal 3 30 9 2" xfId="7652"/>
    <cellStyle name="Normal 3 30 9 2 2" xfId="7653"/>
    <cellStyle name="Normal 3 30 9 3" xfId="7654"/>
    <cellStyle name="Normal 3 31" xfId="7655"/>
    <cellStyle name="Normal 3 31 10" xfId="7656"/>
    <cellStyle name="Normal 3 31 10 2" xfId="7657"/>
    <cellStyle name="Normal 3 31 10 2 2" xfId="7658"/>
    <cellStyle name="Normal 3 31 10 3" xfId="7659"/>
    <cellStyle name="Normal 3 31 11" xfId="7660"/>
    <cellStyle name="Normal 3 31 11 2" xfId="7661"/>
    <cellStyle name="Normal 3 31 11 2 2" xfId="7662"/>
    <cellStyle name="Normal 3 31 11 3" xfId="7663"/>
    <cellStyle name="Normal 3 31 12" xfId="7664"/>
    <cellStyle name="Normal 3 31 12 2" xfId="7665"/>
    <cellStyle name="Normal 3 31 12 2 2" xfId="7666"/>
    <cellStyle name="Normal 3 31 12 3" xfId="7667"/>
    <cellStyle name="Normal 3 31 13" xfId="7668"/>
    <cellStyle name="Normal 3 31 13 2" xfId="7669"/>
    <cellStyle name="Normal 3 31 13 2 2" xfId="7670"/>
    <cellStyle name="Normal 3 31 13 3" xfId="7671"/>
    <cellStyle name="Normal 3 31 14" xfId="7672"/>
    <cellStyle name="Normal 3 31 14 2" xfId="7673"/>
    <cellStyle name="Normal 3 31 14 2 2" xfId="7674"/>
    <cellStyle name="Normal 3 31 14 3" xfId="7675"/>
    <cellStyle name="Normal 3 31 15" xfId="7676"/>
    <cellStyle name="Normal 3 31 15 2" xfId="7677"/>
    <cellStyle name="Normal 3 31 15 2 2" xfId="7678"/>
    <cellStyle name="Normal 3 31 15 3" xfId="7679"/>
    <cellStyle name="Normal 3 31 16" xfId="7680"/>
    <cellStyle name="Normal 3 31 16 2" xfId="7681"/>
    <cellStyle name="Normal 3 31 16 2 2" xfId="7682"/>
    <cellStyle name="Normal 3 31 16 3" xfId="7683"/>
    <cellStyle name="Normal 3 31 17" xfId="7684"/>
    <cellStyle name="Normal 3 31 17 2" xfId="7685"/>
    <cellStyle name="Normal 3 31 17 2 2" xfId="7686"/>
    <cellStyle name="Normal 3 31 17 3" xfId="7687"/>
    <cellStyle name="Normal 3 31 18" xfId="7688"/>
    <cellStyle name="Normal 3 31 18 2" xfId="7689"/>
    <cellStyle name="Normal 3 31 18 2 2" xfId="7690"/>
    <cellStyle name="Normal 3 31 18 3" xfId="7691"/>
    <cellStyle name="Normal 3 31 19" xfId="7692"/>
    <cellStyle name="Normal 3 31 19 2" xfId="7693"/>
    <cellStyle name="Normal 3 31 19 2 2" xfId="7694"/>
    <cellStyle name="Normal 3 31 19 3" xfId="7695"/>
    <cellStyle name="Normal 3 31 2" xfId="7696"/>
    <cellStyle name="Normal 3 31 2 2" xfId="7697"/>
    <cellStyle name="Normal 3 31 2 2 2" xfId="7698"/>
    <cellStyle name="Normal 3 31 2 3" xfId="7699"/>
    <cellStyle name="Normal 3 31 20" xfId="7700"/>
    <cellStyle name="Normal 3 31 20 2" xfId="7701"/>
    <cellStyle name="Normal 3 31 20 2 2" xfId="7702"/>
    <cellStyle name="Normal 3 31 20 3" xfId="7703"/>
    <cellStyle name="Normal 3 31 21" xfId="7704"/>
    <cellStyle name="Normal 3 31 21 2" xfId="7705"/>
    <cellStyle name="Normal 3 31 21 2 2" xfId="7706"/>
    <cellStyle name="Normal 3 31 21 3" xfId="7707"/>
    <cellStyle name="Normal 3 31 22" xfId="7708"/>
    <cellStyle name="Normal 3 31 22 2" xfId="7709"/>
    <cellStyle name="Normal 3 31 22 2 2" xfId="7710"/>
    <cellStyle name="Normal 3 31 22 3" xfId="7711"/>
    <cellStyle name="Normal 3 31 23" xfId="7712"/>
    <cellStyle name="Normal 3 31 23 2" xfId="7713"/>
    <cellStyle name="Normal 3 31 23 2 2" xfId="7714"/>
    <cellStyle name="Normal 3 31 23 3" xfId="7715"/>
    <cellStyle name="Normal 3 31 24" xfId="7716"/>
    <cellStyle name="Normal 3 31 24 2" xfId="7717"/>
    <cellStyle name="Normal 3 31 25" xfId="7718"/>
    <cellStyle name="Normal 3 31 3" xfId="7719"/>
    <cellStyle name="Normal 3 31 3 2" xfId="7720"/>
    <cellStyle name="Normal 3 31 3 2 2" xfId="7721"/>
    <cellStyle name="Normal 3 31 3 3" xfId="7722"/>
    <cellStyle name="Normal 3 31 4" xfId="7723"/>
    <cellStyle name="Normal 3 31 4 2" xfId="7724"/>
    <cellStyle name="Normal 3 31 4 2 2" xfId="7725"/>
    <cellStyle name="Normal 3 31 4 3" xfId="7726"/>
    <cellStyle name="Normal 3 31 5" xfId="7727"/>
    <cellStyle name="Normal 3 31 5 2" xfId="7728"/>
    <cellStyle name="Normal 3 31 5 2 2" xfId="7729"/>
    <cellStyle name="Normal 3 31 5 3" xfId="7730"/>
    <cellStyle name="Normal 3 31 6" xfId="7731"/>
    <cellStyle name="Normal 3 31 6 2" xfId="7732"/>
    <cellStyle name="Normal 3 31 6 2 2" xfId="7733"/>
    <cellStyle name="Normal 3 31 6 3" xfId="7734"/>
    <cellStyle name="Normal 3 31 7" xfId="7735"/>
    <cellStyle name="Normal 3 31 7 2" xfId="7736"/>
    <cellStyle name="Normal 3 31 7 2 2" xfId="7737"/>
    <cellStyle name="Normal 3 31 7 3" xfId="7738"/>
    <cellStyle name="Normal 3 31 8" xfId="7739"/>
    <cellStyle name="Normal 3 31 8 2" xfId="7740"/>
    <cellStyle name="Normal 3 31 8 2 2" xfId="7741"/>
    <cellStyle name="Normal 3 31 8 3" xfId="7742"/>
    <cellStyle name="Normal 3 31 9" xfId="7743"/>
    <cellStyle name="Normal 3 31 9 2" xfId="7744"/>
    <cellStyle name="Normal 3 31 9 2 2" xfId="7745"/>
    <cellStyle name="Normal 3 31 9 3" xfId="7746"/>
    <cellStyle name="Normal 3 32" xfId="7747"/>
    <cellStyle name="Normal 3 32 10" xfId="7748"/>
    <cellStyle name="Normal 3 32 10 2" xfId="7749"/>
    <cellStyle name="Normal 3 32 10 2 2" xfId="7750"/>
    <cellStyle name="Normal 3 32 10 3" xfId="7751"/>
    <cellStyle name="Normal 3 32 11" xfId="7752"/>
    <cellStyle name="Normal 3 32 11 2" xfId="7753"/>
    <cellStyle name="Normal 3 32 11 2 2" xfId="7754"/>
    <cellStyle name="Normal 3 32 11 3" xfId="7755"/>
    <cellStyle name="Normal 3 32 12" xfId="7756"/>
    <cellStyle name="Normal 3 32 12 2" xfId="7757"/>
    <cellStyle name="Normal 3 32 12 2 2" xfId="7758"/>
    <cellStyle name="Normal 3 32 12 3" xfId="7759"/>
    <cellStyle name="Normal 3 32 13" xfId="7760"/>
    <cellStyle name="Normal 3 32 13 2" xfId="7761"/>
    <cellStyle name="Normal 3 32 13 2 2" xfId="7762"/>
    <cellStyle name="Normal 3 32 13 3" xfId="7763"/>
    <cellStyle name="Normal 3 32 14" xfId="7764"/>
    <cellStyle name="Normal 3 32 14 2" xfId="7765"/>
    <cellStyle name="Normal 3 32 14 2 2" xfId="7766"/>
    <cellStyle name="Normal 3 32 14 3" xfId="7767"/>
    <cellStyle name="Normal 3 32 15" xfId="7768"/>
    <cellStyle name="Normal 3 32 15 2" xfId="7769"/>
    <cellStyle name="Normal 3 32 15 2 2" xfId="7770"/>
    <cellStyle name="Normal 3 32 15 3" xfId="7771"/>
    <cellStyle name="Normal 3 32 16" xfId="7772"/>
    <cellStyle name="Normal 3 32 16 2" xfId="7773"/>
    <cellStyle name="Normal 3 32 16 2 2" xfId="7774"/>
    <cellStyle name="Normal 3 32 16 3" xfId="7775"/>
    <cellStyle name="Normal 3 32 17" xfId="7776"/>
    <cellStyle name="Normal 3 32 17 2" xfId="7777"/>
    <cellStyle name="Normal 3 32 17 2 2" xfId="7778"/>
    <cellStyle name="Normal 3 32 17 3" xfId="7779"/>
    <cellStyle name="Normal 3 32 18" xfId="7780"/>
    <cellStyle name="Normal 3 32 18 2" xfId="7781"/>
    <cellStyle name="Normal 3 32 18 2 2" xfId="7782"/>
    <cellStyle name="Normal 3 32 18 3" xfId="7783"/>
    <cellStyle name="Normal 3 32 19" xfId="7784"/>
    <cellStyle name="Normal 3 32 19 2" xfId="7785"/>
    <cellStyle name="Normal 3 32 19 2 2" xfId="7786"/>
    <cellStyle name="Normal 3 32 19 3" xfId="7787"/>
    <cellStyle name="Normal 3 32 2" xfId="7788"/>
    <cellStyle name="Normal 3 32 2 2" xfId="7789"/>
    <cellStyle name="Normal 3 32 2 2 2" xfId="7790"/>
    <cellStyle name="Normal 3 32 2 3" xfId="7791"/>
    <cellStyle name="Normal 3 32 20" xfId="7792"/>
    <cellStyle name="Normal 3 32 20 2" xfId="7793"/>
    <cellStyle name="Normal 3 32 20 2 2" xfId="7794"/>
    <cellStyle name="Normal 3 32 20 3" xfId="7795"/>
    <cellStyle name="Normal 3 32 21" xfId="7796"/>
    <cellStyle name="Normal 3 32 21 2" xfId="7797"/>
    <cellStyle name="Normal 3 32 21 2 2" xfId="7798"/>
    <cellStyle name="Normal 3 32 21 3" xfId="7799"/>
    <cellStyle name="Normal 3 32 22" xfId="7800"/>
    <cellStyle name="Normal 3 32 22 2" xfId="7801"/>
    <cellStyle name="Normal 3 32 22 2 2" xfId="7802"/>
    <cellStyle name="Normal 3 32 22 3" xfId="7803"/>
    <cellStyle name="Normal 3 32 23" xfId="7804"/>
    <cellStyle name="Normal 3 32 23 2" xfId="7805"/>
    <cellStyle name="Normal 3 32 23 2 2" xfId="7806"/>
    <cellStyle name="Normal 3 32 23 3" xfId="7807"/>
    <cellStyle name="Normal 3 32 24" xfId="7808"/>
    <cellStyle name="Normal 3 32 24 2" xfId="7809"/>
    <cellStyle name="Normal 3 32 25" xfId="7810"/>
    <cellStyle name="Normal 3 32 3" xfId="7811"/>
    <cellStyle name="Normal 3 32 3 2" xfId="7812"/>
    <cellStyle name="Normal 3 32 3 2 2" xfId="7813"/>
    <cellStyle name="Normal 3 32 3 3" xfId="7814"/>
    <cellStyle name="Normal 3 32 4" xfId="7815"/>
    <cellStyle name="Normal 3 32 4 2" xfId="7816"/>
    <cellStyle name="Normal 3 32 4 2 2" xfId="7817"/>
    <cellStyle name="Normal 3 32 4 3" xfId="7818"/>
    <cellStyle name="Normal 3 32 5" xfId="7819"/>
    <cellStyle name="Normal 3 32 5 2" xfId="7820"/>
    <cellStyle name="Normal 3 32 5 2 2" xfId="7821"/>
    <cellStyle name="Normal 3 32 5 3" xfId="7822"/>
    <cellStyle name="Normal 3 32 6" xfId="7823"/>
    <cellStyle name="Normal 3 32 6 2" xfId="7824"/>
    <cellStyle name="Normal 3 32 6 2 2" xfId="7825"/>
    <cellStyle name="Normal 3 32 6 3" xfId="7826"/>
    <cellStyle name="Normal 3 32 7" xfId="7827"/>
    <cellStyle name="Normal 3 32 7 2" xfId="7828"/>
    <cellStyle name="Normal 3 32 7 2 2" xfId="7829"/>
    <cellStyle name="Normal 3 32 7 3" xfId="7830"/>
    <cellStyle name="Normal 3 32 8" xfId="7831"/>
    <cellStyle name="Normal 3 32 8 2" xfId="7832"/>
    <cellStyle name="Normal 3 32 8 2 2" xfId="7833"/>
    <cellStyle name="Normal 3 32 8 3" xfId="7834"/>
    <cellStyle name="Normal 3 32 9" xfId="7835"/>
    <cellStyle name="Normal 3 32 9 2" xfId="7836"/>
    <cellStyle name="Normal 3 32 9 2 2" xfId="7837"/>
    <cellStyle name="Normal 3 32 9 3" xfId="7838"/>
    <cellStyle name="Normal 3 33" xfId="7839"/>
    <cellStyle name="Normal 3 33 10" xfId="7840"/>
    <cellStyle name="Normal 3 33 10 2" xfId="7841"/>
    <cellStyle name="Normal 3 33 10 2 2" xfId="7842"/>
    <cellStyle name="Normal 3 33 10 3" xfId="7843"/>
    <cellStyle name="Normal 3 33 11" xfId="7844"/>
    <cellStyle name="Normal 3 33 11 2" xfId="7845"/>
    <cellStyle name="Normal 3 33 11 2 2" xfId="7846"/>
    <cellStyle name="Normal 3 33 11 3" xfId="7847"/>
    <cellStyle name="Normal 3 33 12" xfId="7848"/>
    <cellStyle name="Normal 3 33 12 2" xfId="7849"/>
    <cellStyle name="Normal 3 33 12 2 2" xfId="7850"/>
    <cellStyle name="Normal 3 33 12 3" xfId="7851"/>
    <cellStyle name="Normal 3 33 13" xfId="7852"/>
    <cellStyle name="Normal 3 33 13 2" xfId="7853"/>
    <cellStyle name="Normal 3 33 13 2 2" xfId="7854"/>
    <cellStyle name="Normal 3 33 13 3" xfId="7855"/>
    <cellStyle name="Normal 3 33 14" xfId="7856"/>
    <cellStyle name="Normal 3 33 14 2" xfId="7857"/>
    <cellStyle name="Normal 3 33 14 2 2" xfId="7858"/>
    <cellStyle name="Normal 3 33 14 3" xfId="7859"/>
    <cellStyle name="Normal 3 33 15" xfId="7860"/>
    <cellStyle name="Normal 3 33 15 2" xfId="7861"/>
    <cellStyle name="Normal 3 33 15 2 2" xfId="7862"/>
    <cellStyle name="Normal 3 33 15 3" xfId="7863"/>
    <cellStyle name="Normal 3 33 16" xfId="7864"/>
    <cellStyle name="Normal 3 33 16 2" xfId="7865"/>
    <cellStyle name="Normal 3 33 16 2 2" xfId="7866"/>
    <cellStyle name="Normal 3 33 16 3" xfId="7867"/>
    <cellStyle name="Normal 3 33 17" xfId="7868"/>
    <cellStyle name="Normal 3 33 17 2" xfId="7869"/>
    <cellStyle name="Normal 3 33 17 2 2" xfId="7870"/>
    <cellStyle name="Normal 3 33 17 3" xfId="7871"/>
    <cellStyle name="Normal 3 33 18" xfId="7872"/>
    <cellStyle name="Normal 3 33 18 2" xfId="7873"/>
    <cellStyle name="Normal 3 33 18 2 2" xfId="7874"/>
    <cellStyle name="Normal 3 33 18 3" xfId="7875"/>
    <cellStyle name="Normal 3 33 19" xfId="7876"/>
    <cellStyle name="Normal 3 33 19 2" xfId="7877"/>
    <cellStyle name="Normal 3 33 19 2 2" xfId="7878"/>
    <cellStyle name="Normal 3 33 19 3" xfId="7879"/>
    <cellStyle name="Normal 3 33 2" xfId="7880"/>
    <cellStyle name="Normal 3 33 2 2" xfId="7881"/>
    <cellStyle name="Normal 3 33 2 2 2" xfId="7882"/>
    <cellStyle name="Normal 3 33 2 3" xfId="7883"/>
    <cellStyle name="Normal 3 33 20" xfId="7884"/>
    <cellStyle name="Normal 3 33 20 2" xfId="7885"/>
    <cellStyle name="Normal 3 33 20 2 2" xfId="7886"/>
    <cellStyle name="Normal 3 33 20 3" xfId="7887"/>
    <cellStyle name="Normal 3 33 21" xfId="7888"/>
    <cellStyle name="Normal 3 33 21 2" xfId="7889"/>
    <cellStyle name="Normal 3 33 21 2 2" xfId="7890"/>
    <cellStyle name="Normal 3 33 21 3" xfId="7891"/>
    <cellStyle name="Normal 3 33 22" xfId="7892"/>
    <cellStyle name="Normal 3 33 22 2" xfId="7893"/>
    <cellStyle name="Normal 3 33 22 2 2" xfId="7894"/>
    <cellStyle name="Normal 3 33 22 3" xfId="7895"/>
    <cellStyle name="Normal 3 33 23" xfId="7896"/>
    <cellStyle name="Normal 3 33 23 2" xfId="7897"/>
    <cellStyle name="Normal 3 33 23 2 2" xfId="7898"/>
    <cellStyle name="Normal 3 33 23 3" xfId="7899"/>
    <cellStyle name="Normal 3 33 24" xfId="7900"/>
    <cellStyle name="Normal 3 33 24 2" xfId="7901"/>
    <cellStyle name="Normal 3 33 25" xfId="7902"/>
    <cellStyle name="Normal 3 33 3" xfId="7903"/>
    <cellStyle name="Normal 3 33 3 2" xfId="7904"/>
    <cellStyle name="Normal 3 33 3 2 2" xfId="7905"/>
    <cellStyle name="Normal 3 33 3 3" xfId="7906"/>
    <cellStyle name="Normal 3 33 4" xfId="7907"/>
    <cellStyle name="Normal 3 33 4 2" xfId="7908"/>
    <cellStyle name="Normal 3 33 4 2 2" xfId="7909"/>
    <cellStyle name="Normal 3 33 4 3" xfId="7910"/>
    <cellStyle name="Normal 3 33 5" xfId="7911"/>
    <cellStyle name="Normal 3 33 5 2" xfId="7912"/>
    <cellStyle name="Normal 3 33 5 2 2" xfId="7913"/>
    <cellStyle name="Normal 3 33 5 3" xfId="7914"/>
    <cellStyle name="Normal 3 33 6" xfId="7915"/>
    <cellStyle name="Normal 3 33 6 2" xfId="7916"/>
    <cellStyle name="Normal 3 33 6 2 2" xfId="7917"/>
    <cellStyle name="Normal 3 33 6 3" xfId="7918"/>
    <cellStyle name="Normal 3 33 7" xfId="7919"/>
    <cellStyle name="Normal 3 33 7 2" xfId="7920"/>
    <cellStyle name="Normal 3 33 7 2 2" xfId="7921"/>
    <cellStyle name="Normal 3 33 7 3" xfId="7922"/>
    <cellStyle name="Normal 3 33 8" xfId="7923"/>
    <cellStyle name="Normal 3 33 8 2" xfId="7924"/>
    <cellStyle name="Normal 3 33 8 2 2" xfId="7925"/>
    <cellStyle name="Normal 3 33 8 3" xfId="7926"/>
    <cellStyle name="Normal 3 33 9" xfId="7927"/>
    <cellStyle name="Normal 3 33 9 2" xfId="7928"/>
    <cellStyle name="Normal 3 33 9 2 2" xfId="7929"/>
    <cellStyle name="Normal 3 33 9 3" xfId="7930"/>
    <cellStyle name="Normal 3 34" xfId="7931"/>
    <cellStyle name="Normal 3 34 2" xfId="7932"/>
    <cellStyle name="Normal 3 34 2 2" xfId="7933"/>
    <cellStyle name="Normal 3 34 3" xfId="7934"/>
    <cellStyle name="Normal 3 35" xfId="7935"/>
    <cellStyle name="Normal 3 35 2" xfId="7936"/>
    <cellStyle name="Normal 3 35 2 2" xfId="7937"/>
    <cellStyle name="Normal 3 35 3" xfId="7938"/>
    <cellStyle name="Normal 3 36" xfId="7939"/>
    <cellStyle name="Normal 3 36 2" xfId="7940"/>
    <cellStyle name="Normal 3 36 2 2" xfId="7941"/>
    <cellStyle name="Normal 3 36 3" xfId="7942"/>
    <cellStyle name="Normal 3 37" xfId="7943"/>
    <cellStyle name="Normal 3 37 2" xfId="7944"/>
    <cellStyle name="Normal 3 37 2 2" xfId="7945"/>
    <cellStyle name="Normal 3 37 3" xfId="7946"/>
    <cellStyle name="Normal 3 38" xfId="7947"/>
    <cellStyle name="Normal 3 38 2" xfId="7948"/>
    <cellStyle name="Normal 3 38 2 2" xfId="7949"/>
    <cellStyle name="Normal 3 38 3" xfId="7950"/>
    <cellStyle name="Normal 3 39" xfId="7951"/>
    <cellStyle name="Normal 3 39 2" xfId="7952"/>
    <cellStyle name="Normal 3 39 2 2" xfId="7953"/>
    <cellStyle name="Normal 3 39 3" xfId="7954"/>
    <cellStyle name="Normal 3 4" xfId="214"/>
    <cellStyle name="Normal 3 4 10" xfId="7955"/>
    <cellStyle name="Normal 3 4 10 2" xfId="7956"/>
    <cellStyle name="Normal 3 4 10 2 2" xfId="7957"/>
    <cellStyle name="Normal 3 4 10 3" xfId="7958"/>
    <cellStyle name="Normal 3 4 11" xfId="7959"/>
    <cellStyle name="Normal 3 4 11 2" xfId="7960"/>
    <cellStyle name="Normal 3 4 11 2 2" xfId="7961"/>
    <cellStyle name="Normal 3 4 11 3" xfId="7962"/>
    <cellStyle name="Normal 3 4 12" xfId="7963"/>
    <cellStyle name="Normal 3 4 12 2" xfId="7964"/>
    <cellStyle name="Normal 3 4 12 2 2" xfId="7965"/>
    <cellStyle name="Normal 3 4 12 3" xfId="7966"/>
    <cellStyle name="Normal 3 4 13" xfId="7967"/>
    <cellStyle name="Normal 3 4 13 2" xfId="7968"/>
    <cellStyle name="Normal 3 4 13 2 2" xfId="7969"/>
    <cellStyle name="Normal 3 4 13 3" xfId="7970"/>
    <cellStyle name="Normal 3 4 14" xfId="7971"/>
    <cellStyle name="Normal 3 4 14 2" xfId="7972"/>
    <cellStyle name="Normal 3 4 14 2 2" xfId="7973"/>
    <cellStyle name="Normal 3 4 14 3" xfId="7974"/>
    <cellStyle name="Normal 3 4 15" xfId="7975"/>
    <cellStyle name="Normal 3 4 15 2" xfId="7976"/>
    <cellStyle name="Normal 3 4 15 2 2" xfId="7977"/>
    <cellStyle name="Normal 3 4 15 3" xfId="7978"/>
    <cellStyle name="Normal 3 4 16" xfId="7979"/>
    <cellStyle name="Normal 3 4 16 2" xfId="7980"/>
    <cellStyle name="Normal 3 4 16 2 2" xfId="7981"/>
    <cellStyle name="Normal 3 4 16 3" xfId="7982"/>
    <cellStyle name="Normal 3 4 17" xfId="7983"/>
    <cellStyle name="Normal 3 4 17 2" xfId="7984"/>
    <cellStyle name="Normal 3 4 17 2 2" xfId="7985"/>
    <cellStyle name="Normal 3 4 17 3" xfId="7986"/>
    <cellStyle name="Normal 3 4 18" xfId="7987"/>
    <cellStyle name="Normal 3 4 18 2" xfId="7988"/>
    <cellStyle name="Normal 3 4 18 2 2" xfId="7989"/>
    <cellStyle name="Normal 3 4 18 3" xfId="7990"/>
    <cellStyle name="Normal 3 4 19" xfId="7991"/>
    <cellStyle name="Normal 3 4 19 2" xfId="7992"/>
    <cellStyle name="Normal 3 4 19 2 2" xfId="7993"/>
    <cellStyle name="Normal 3 4 19 3" xfId="7994"/>
    <cellStyle name="Normal 3 4 2" xfId="215"/>
    <cellStyle name="Normal 3 4 2 2" xfId="7995"/>
    <cellStyle name="Normal 3 4 2 2 2" xfId="7996"/>
    <cellStyle name="Normal 3 4 2 3" xfId="7997"/>
    <cellStyle name="Normal 3 4 20" xfId="7998"/>
    <cellStyle name="Normal 3 4 20 2" xfId="7999"/>
    <cellStyle name="Normal 3 4 20 2 2" xfId="8000"/>
    <cellStyle name="Normal 3 4 20 3" xfId="8001"/>
    <cellStyle name="Normal 3 4 21" xfId="8002"/>
    <cellStyle name="Normal 3 4 21 2" xfId="8003"/>
    <cellStyle name="Normal 3 4 21 2 2" xfId="8004"/>
    <cellStyle name="Normal 3 4 21 3" xfId="8005"/>
    <cellStyle name="Normal 3 4 22" xfId="8006"/>
    <cellStyle name="Normal 3 4 22 2" xfId="8007"/>
    <cellStyle name="Normal 3 4 22 2 2" xfId="8008"/>
    <cellStyle name="Normal 3 4 22 3" xfId="8009"/>
    <cellStyle name="Normal 3 4 23" xfId="8010"/>
    <cellStyle name="Normal 3 4 23 2" xfId="8011"/>
    <cellStyle name="Normal 3 4 23 2 2" xfId="8012"/>
    <cellStyle name="Normal 3 4 23 3" xfId="8013"/>
    <cellStyle name="Normal 3 4 24" xfId="8014"/>
    <cellStyle name="Normal 3 4 24 2" xfId="8015"/>
    <cellStyle name="Normal 3 4 25" xfId="8016"/>
    <cellStyle name="Normal 3 4 3" xfId="8017"/>
    <cellStyle name="Normal 3 4 3 2" xfId="8018"/>
    <cellStyle name="Normal 3 4 3 2 2" xfId="8019"/>
    <cellStyle name="Normal 3 4 3 3" xfId="8020"/>
    <cellStyle name="Normal 3 4 4" xfId="8021"/>
    <cellStyle name="Normal 3 4 4 2" xfId="8022"/>
    <cellStyle name="Normal 3 4 4 2 2" xfId="8023"/>
    <cellStyle name="Normal 3 4 4 3" xfId="8024"/>
    <cellStyle name="Normal 3 4 5" xfId="8025"/>
    <cellStyle name="Normal 3 4 5 2" xfId="8026"/>
    <cellStyle name="Normal 3 4 5 2 2" xfId="8027"/>
    <cellStyle name="Normal 3 4 5 3" xfId="8028"/>
    <cellStyle name="Normal 3 4 6" xfId="8029"/>
    <cellStyle name="Normal 3 4 6 2" xfId="8030"/>
    <cellStyle name="Normal 3 4 6 2 2" xfId="8031"/>
    <cellStyle name="Normal 3 4 6 3" xfId="8032"/>
    <cellStyle name="Normal 3 4 7" xfId="8033"/>
    <cellStyle name="Normal 3 4 7 2" xfId="8034"/>
    <cellStyle name="Normal 3 4 7 2 2" xfId="8035"/>
    <cellStyle name="Normal 3 4 7 3" xfId="8036"/>
    <cellStyle name="Normal 3 4 8" xfId="8037"/>
    <cellStyle name="Normal 3 4 8 2" xfId="8038"/>
    <cellStyle name="Normal 3 4 8 2 2" xfId="8039"/>
    <cellStyle name="Normal 3 4 8 3" xfId="8040"/>
    <cellStyle name="Normal 3 4 9" xfId="8041"/>
    <cellStyle name="Normal 3 4 9 2" xfId="8042"/>
    <cellStyle name="Normal 3 4 9 2 2" xfId="8043"/>
    <cellStyle name="Normal 3 4 9 3" xfId="8044"/>
    <cellStyle name="Normal 3 40" xfId="8045"/>
    <cellStyle name="Normal 3 40 2" xfId="8046"/>
    <cellStyle name="Normal 3 40 2 2" xfId="8047"/>
    <cellStyle name="Normal 3 40 3" xfId="8048"/>
    <cellStyle name="Normal 3 41" xfId="8049"/>
    <cellStyle name="Normal 3 41 2" xfId="8050"/>
    <cellStyle name="Normal 3 41 2 2" xfId="8051"/>
    <cellStyle name="Normal 3 41 3" xfId="8052"/>
    <cellStyle name="Normal 3 42" xfId="8053"/>
    <cellStyle name="Normal 3 42 2" xfId="8054"/>
    <cellStyle name="Normal 3 42 2 2" xfId="8055"/>
    <cellStyle name="Normal 3 42 3" xfId="8056"/>
    <cellStyle name="Normal 3 43" xfId="8057"/>
    <cellStyle name="Normal 3 43 2" xfId="8058"/>
    <cellStyle name="Normal 3 43 2 2" xfId="8059"/>
    <cellStyle name="Normal 3 43 3" xfId="8060"/>
    <cellStyle name="Normal 3 44" xfId="8061"/>
    <cellStyle name="Normal 3 44 2" xfId="8062"/>
    <cellStyle name="Normal 3 44 2 2" xfId="8063"/>
    <cellStyle name="Normal 3 44 3" xfId="8064"/>
    <cellStyle name="Normal 3 45" xfId="8065"/>
    <cellStyle name="Normal 3 45 2" xfId="8066"/>
    <cellStyle name="Normal 3 45 2 2" xfId="8067"/>
    <cellStyle name="Normal 3 45 3" xfId="8068"/>
    <cellStyle name="Normal 3 46" xfId="8069"/>
    <cellStyle name="Normal 3 46 2" xfId="8070"/>
    <cellStyle name="Normal 3 46 2 2" xfId="8071"/>
    <cellStyle name="Normal 3 46 3" xfId="8072"/>
    <cellStyle name="Normal 3 47" xfId="8073"/>
    <cellStyle name="Normal 3 47 2" xfId="8074"/>
    <cellStyle name="Normal 3 47 2 2" xfId="8075"/>
    <cellStyle name="Normal 3 47 3" xfId="8076"/>
    <cellStyle name="Normal 3 48" xfId="8077"/>
    <cellStyle name="Normal 3 48 2" xfId="8078"/>
    <cellStyle name="Normal 3 48 2 2" xfId="8079"/>
    <cellStyle name="Normal 3 48 3" xfId="8080"/>
    <cellStyle name="Normal 3 49" xfId="8081"/>
    <cellStyle name="Normal 3 49 2" xfId="8082"/>
    <cellStyle name="Normal 3 49 2 2" xfId="8083"/>
    <cellStyle name="Normal 3 49 3" xfId="8084"/>
    <cellStyle name="Normal 3 5" xfId="216"/>
    <cellStyle name="Normal 3 5 10" xfId="8085"/>
    <cellStyle name="Normal 3 5 10 2" xfId="8086"/>
    <cellStyle name="Normal 3 5 10 2 2" xfId="8087"/>
    <cellStyle name="Normal 3 5 10 3" xfId="8088"/>
    <cellStyle name="Normal 3 5 11" xfId="8089"/>
    <cellStyle name="Normal 3 5 11 2" xfId="8090"/>
    <cellStyle name="Normal 3 5 11 2 2" xfId="8091"/>
    <cellStyle name="Normal 3 5 11 3" xfId="8092"/>
    <cellStyle name="Normal 3 5 12" xfId="8093"/>
    <cellStyle name="Normal 3 5 12 2" xfId="8094"/>
    <cellStyle name="Normal 3 5 12 2 2" xfId="8095"/>
    <cellStyle name="Normal 3 5 12 3" xfId="8096"/>
    <cellStyle name="Normal 3 5 13" xfId="8097"/>
    <cellStyle name="Normal 3 5 13 2" xfId="8098"/>
    <cellStyle name="Normal 3 5 13 2 2" xfId="8099"/>
    <cellStyle name="Normal 3 5 13 3" xfId="8100"/>
    <cellStyle name="Normal 3 5 14" xfId="8101"/>
    <cellStyle name="Normal 3 5 14 2" xfId="8102"/>
    <cellStyle name="Normal 3 5 14 2 2" xfId="8103"/>
    <cellStyle name="Normal 3 5 14 3" xfId="8104"/>
    <cellStyle name="Normal 3 5 15" xfId="8105"/>
    <cellStyle name="Normal 3 5 15 2" xfId="8106"/>
    <cellStyle name="Normal 3 5 15 2 2" xfId="8107"/>
    <cellStyle name="Normal 3 5 15 3" xfId="8108"/>
    <cellStyle name="Normal 3 5 16" xfId="8109"/>
    <cellStyle name="Normal 3 5 16 2" xfId="8110"/>
    <cellStyle name="Normal 3 5 16 2 2" xfId="8111"/>
    <cellStyle name="Normal 3 5 16 3" xfId="8112"/>
    <cellStyle name="Normal 3 5 17" xfId="8113"/>
    <cellStyle name="Normal 3 5 17 2" xfId="8114"/>
    <cellStyle name="Normal 3 5 17 2 2" xfId="8115"/>
    <cellStyle name="Normal 3 5 17 3" xfId="8116"/>
    <cellStyle name="Normal 3 5 18" xfId="8117"/>
    <cellStyle name="Normal 3 5 18 2" xfId="8118"/>
    <cellStyle name="Normal 3 5 18 2 2" xfId="8119"/>
    <cellStyle name="Normal 3 5 18 3" xfId="8120"/>
    <cellStyle name="Normal 3 5 19" xfId="8121"/>
    <cellStyle name="Normal 3 5 19 2" xfId="8122"/>
    <cellStyle name="Normal 3 5 19 2 2" xfId="8123"/>
    <cellStyle name="Normal 3 5 19 3" xfId="8124"/>
    <cellStyle name="Normal 3 5 2" xfId="8125"/>
    <cellStyle name="Normal 3 5 2 2" xfId="8126"/>
    <cellStyle name="Normal 3 5 2 2 2" xfId="8127"/>
    <cellStyle name="Normal 3 5 2 3" xfId="8128"/>
    <cellStyle name="Normal 3 5 20" xfId="8129"/>
    <cellStyle name="Normal 3 5 20 2" xfId="8130"/>
    <cellStyle name="Normal 3 5 20 2 2" xfId="8131"/>
    <cellStyle name="Normal 3 5 20 3" xfId="8132"/>
    <cellStyle name="Normal 3 5 21" xfId="8133"/>
    <cellStyle name="Normal 3 5 21 2" xfId="8134"/>
    <cellStyle name="Normal 3 5 21 2 2" xfId="8135"/>
    <cellStyle name="Normal 3 5 21 3" xfId="8136"/>
    <cellStyle name="Normal 3 5 22" xfId="8137"/>
    <cellStyle name="Normal 3 5 22 2" xfId="8138"/>
    <cellStyle name="Normal 3 5 22 2 2" xfId="8139"/>
    <cellStyle name="Normal 3 5 22 3" xfId="8140"/>
    <cellStyle name="Normal 3 5 23" xfId="8141"/>
    <cellStyle name="Normal 3 5 23 2" xfId="8142"/>
    <cellStyle name="Normal 3 5 23 2 2" xfId="8143"/>
    <cellStyle name="Normal 3 5 23 3" xfId="8144"/>
    <cellStyle name="Normal 3 5 24" xfId="8145"/>
    <cellStyle name="Normal 3 5 24 2" xfId="8146"/>
    <cellStyle name="Normal 3 5 25" xfId="8147"/>
    <cellStyle name="Normal 3 5 3" xfId="8148"/>
    <cellStyle name="Normal 3 5 3 2" xfId="8149"/>
    <cellStyle name="Normal 3 5 3 2 2" xfId="8150"/>
    <cellStyle name="Normal 3 5 3 3" xfId="8151"/>
    <cellStyle name="Normal 3 5 4" xfId="8152"/>
    <cellStyle name="Normal 3 5 4 2" xfId="8153"/>
    <cellStyle name="Normal 3 5 4 2 2" xfId="8154"/>
    <cellStyle name="Normal 3 5 4 3" xfId="8155"/>
    <cellStyle name="Normal 3 5 5" xfId="8156"/>
    <cellStyle name="Normal 3 5 5 2" xfId="8157"/>
    <cellStyle name="Normal 3 5 5 2 2" xfId="8158"/>
    <cellStyle name="Normal 3 5 5 3" xfId="8159"/>
    <cellStyle name="Normal 3 5 6" xfId="8160"/>
    <cellStyle name="Normal 3 5 6 2" xfId="8161"/>
    <cellStyle name="Normal 3 5 6 2 2" xfId="8162"/>
    <cellStyle name="Normal 3 5 6 3" xfId="8163"/>
    <cellStyle name="Normal 3 5 7" xfId="8164"/>
    <cellStyle name="Normal 3 5 7 2" xfId="8165"/>
    <cellStyle name="Normal 3 5 7 2 2" xfId="8166"/>
    <cellStyle name="Normal 3 5 7 3" xfId="8167"/>
    <cellStyle name="Normal 3 5 8" xfId="8168"/>
    <cellStyle name="Normal 3 5 8 2" xfId="8169"/>
    <cellStyle name="Normal 3 5 8 2 2" xfId="8170"/>
    <cellStyle name="Normal 3 5 8 3" xfId="8171"/>
    <cellStyle name="Normal 3 5 9" xfId="8172"/>
    <cellStyle name="Normal 3 5 9 2" xfId="8173"/>
    <cellStyle name="Normal 3 5 9 2 2" xfId="8174"/>
    <cellStyle name="Normal 3 5 9 3" xfId="8175"/>
    <cellStyle name="Normal 3 50" xfId="8176"/>
    <cellStyle name="Normal 3 50 2" xfId="8177"/>
    <cellStyle name="Normal 3 50 2 2" xfId="8178"/>
    <cellStyle name="Normal 3 50 3" xfId="8179"/>
    <cellStyle name="Normal 3 51" xfId="8180"/>
    <cellStyle name="Normal 3 51 2" xfId="8181"/>
    <cellStyle name="Normal 3 51 2 2" xfId="8182"/>
    <cellStyle name="Normal 3 51 3" xfId="8183"/>
    <cellStyle name="Normal 3 52" xfId="8184"/>
    <cellStyle name="Normal 3 52 2" xfId="8185"/>
    <cellStyle name="Normal 3 52 2 2" xfId="8186"/>
    <cellStyle name="Normal 3 52 3" xfId="8187"/>
    <cellStyle name="Normal 3 53" xfId="8188"/>
    <cellStyle name="Normal 3 53 2" xfId="8189"/>
    <cellStyle name="Normal 3 53 2 2" xfId="8190"/>
    <cellStyle name="Normal 3 53 3" xfId="8191"/>
    <cellStyle name="Normal 3 54" xfId="8192"/>
    <cellStyle name="Normal 3 54 2" xfId="8193"/>
    <cellStyle name="Normal 3 54 2 2" xfId="8194"/>
    <cellStyle name="Normal 3 54 3" xfId="8195"/>
    <cellStyle name="Normal 3 55" xfId="8196"/>
    <cellStyle name="Normal 3 55 2" xfId="8197"/>
    <cellStyle name="Normal 3 55 2 2" xfId="8198"/>
    <cellStyle name="Normal 3 55 3" xfId="8199"/>
    <cellStyle name="Normal 3 56" xfId="8200"/>
    <cellStyle name="Normal 3 56 2" xfId="8201"/>
    <cellStyle name="Normal 3 56 2 2" xfId="8202"/>
    <cellStyle name="Normal 3 56 3" xfId="8203"/>
    <cellStyle name="Normal 3 57" xfId="8204"/>
    <cellStyle name="Normal 3 57 2" xfId="8205"/>
    <cellStyle name="Normal 3 57 2 2" xfId="8206"/>
    <cellStyle name="Normal 3 57 3" xfId="8207"/>
    <cellStyle name="Normal 3 58" xfId="8208"/>
    <cellStyle name="Normal 3 58 2" xfId="8209"/>
    <cellStyle name="Normal 3 58 2 2" xfId="8210"/>
    <cellStyle name="Normal 3 58 3" xfId="8211"/>
    <cellStyle name="Normal 3 59" xfId="8212"/>
    <cellStyle name="Normal 3 59 2" xfId="8213"/>
    <cellStyle name="Normal 3 59 2 2" xfId="8214"/>
    <cellStyle name="Normal 3 59 3" xfId="8215"/>
    <cellStyle name="Normal 3 6" xfId="1157"/>
    <cellStyle name="Normal 3 6 10" xfId="8216"/>
    <cellStyle name="Normal 3 6 10 2" xfId="8217"/>
    <cellStyle name="Normal 3 6 10 2 2" xfId="8218"/>
    <cellStyle name="Normal 3 6 10 3" xfId="8219"/>
    <cellStyle name="Normal 3 6 11" xfId="8220"/>
    <cellStyle name="Normal 3 6 11 2" xfId="8221"/>
    <cellStyle name="Normal 3 6 11 2 2" xfId="8222"/>
    <cellStyle name="Normal 3 6 11 3" xfId="8223"/>
    <cellStyle name="Normal 3 6 12" xfId="8224"/>
    <cellStyle name="Normal 3 6 12 2" xfId="8225"/>
    <cellStyle name="Normal 3 6 12 2 2" xfId="8226"/>
    <cellStyle name="Normal 3 6 12 3" xfId="8227"/>
    <cellStyle name="Normal 3 6 13" xfId="8228"/>
    <cellStyle name="Normal 3 6 13 2" xfId="8229"/>
    <cellStyle name="Normal 3 6 13 2 2" xfId="8230"/>
    <cellStyle name="Normal 3 6 13 3" xfId="8231"/>
    <cellStyle name="Normal 3 6 14" xfId="8232"/>
    <cellStyle name="Normal 3 6 14 2" xfId="8233"/>
    <cellStyle name="Normal 3 6 14 2 2" xfId="8234"/>
    <cellStyle name="Normal 3 6 14 3" xfId="8235"/>
    <cellStyle name="Normal 3 6 15" xfId="8236"/>
    <cellStyle name="Normal 3 6 15 2" xfId="8237"/>
    <cellStyle name="Normal 3 6 15 2 2" xfId="8238"/>
    <cellStyle name="Normal 3 6 15 3" xfId="8239"/>
    <cellStyle name="Normal 3 6 16" xfId="8240"/>
    <cellStyle name="Normal 3 6 16 2" xfId="8241"/>
    <cellStyle name="Normal 3 6 16 2 2" xfId="8242"/>
    <cellStyle name="Normal 3 6 16 3" xfId="8243"/>
    <cellStyle name="Normal 3 6 17" xfId="8244"/>
    <cellStyle name="Normal 3 6 17 2" xfId="8245"/>
    <cellStyle name="Normal 3 6 17 2 2" xfId="8246"/>
    <cellStyle name="Normal 3 6 17 3" xfId="8247"/>
    <cellStyle name="Normal 3 6 18" xfId="8248"/>
    <cellStyle name="Normal 3 6 18 2" xfId="8249"/>
    <cellStyle name="Normal 3 6 18 2 2" xfId="8250"/>
    <cellStyle name="Normal 3 6 18 3" xfId="8251"/>
    <cellStyle name="Normal 3 6 19" xfId="8252"/>
    <cellStyle name="Normal 3 6 19 2" xfId="8253"/>
    <cellStyle name="Normal 3 6 19 2 2" xfId="8254"/>
    <cellStyle name="Normal 3 6 19 3" xfId="8255"/>
    <cellStyle name="Normal 3 6 2" xfId="8256"/>
    <cellStyle name="Normal 3 6 2 2" xfId="8257"/>
    <cellStyle name="Normal 3 6 2 2 2" xfId="8258"/>
    <cellStyle name="Normal 3 6 2 3" xfId="8259"/>
    <cellStyle name="Normal 3 6 20" xfId="8260"/>
    <cellStyle name="Normal 3 6 20 2" xfId="8261"/>
    <cellStyle name="Normal 3 6 20 2 2" xfId="8262"/>
    <cellStyle name="Normal 3 6 20 3" xfId="8263"/>
    <cellStyle name="Normal 3 6 21" xfId="8264"/>
    <cellStyle name="Normal 3 6 21 2" xfId="8265"/>
    <cellStyle name="Normal 3 6 21 2 2" xfId="8266"/>
    <cellStyle name="Normal 3 6 21 3" xfId="8267"/>
    <cellStyle name="Normal 3 6 22" xfId="8268"/>
    <cellStyle name="Normal 3 6 22 2" xfId="8269"/>
    <cellStyle name="Normal 3 6 22 2 2" xfId="8270"/>
    <cellStyle name="Normal 3 6 22 3" xfId="8271"/>
    <cellStyle name="Normal 3 6 23" xfId="8272"/>
    <cellStyle name="Normal 3 6 23 2" xfId="8273"/>
    <cellStyle name="Normal 3 6 23 2 2" xfId="8274"/>
    <cellStyle name="Normal 3 6 23 3" xfId="8275"/>
    <cellStyle name="Normal 3 6 24" xfId="8276"/>
    <cellStyle name="Normal 3 6 24 2" xfId="8277"/>
    <cellStyle name="Normal 3 6 25" xfId="8278"/>
    <cellStyle name="Normal 3 6 3" xfId="8279"/>
    <cellStyle name="Normal 3 6 3 2" xfId="8280"/>
    <cellStyle name="Normal 3 6 3 2 2" xfId="8281"/>
    <cellStyle name="Normal 3 6 3 3" xfId="8282"/>
    <cellStyle name="Normal 3 6 4" xfId="8283"/>
    <cellStyle name="Normal 3 6 4 2" xfId="8284"/>
    <cellStyle name="Normal 3 6 4 2 2" xfId="8285"/>
    <cellStyle name="Normal 3 6 4 3" xfId="8286"/>
    <cellStyle name="Normal 3 6 5" xfId="8287"/>
    <cellStyle name="Normal 3 6 5 2" xfId="8288"/>
    <cellStyle name="Normal 3 6 5 2 2" xfId="8289"/>
    <cellStyle name="Normal 3 6 5 3" xfId="8290"/>
    <cellStyle name="Normal 3 6 6" xfId="8291"/>
    <cellStyle name="Normal 3 6 6 2" xfId="8292"/>
    <cellStyle name="Normal 3 6 6 2 2" xfId="8293"/>
    <cellStyle name="Normal 3 6 6 3" xfId="8294"/>
    <cellStyle name="Normal 3 6 7" xfId="8295"/>
    <cellStyle name="Normal 3 6 7 2" xfId="8296"/>
    <cellStyle name="Normal 3 6 7 2 2" xfId="8297"/>
    <cellStyle name="Normal 3 6 7 3" xfId="8298"/>
    <cellStyle name="Normal 3 6 8" xfId="8299"/>
    <cellStyle name="Normal 3 6 8 2" xfId="8300"/>
    <cellStyle name="Normal 3 6 8 2 2" xfId="8301"/>
    <cellStyle name="Normal 3 6 8 3" xfId="8302"/>
    <cellStyle name="Normal 3 6 9" xfId="8303"/>
    <cellStyle name="Normal 3 6 9 2" xfId="8304"/>
    <cellStyle name="Normal 3 6 9 2 2" xfId="8305"/>
    <cellStyle name="Normal 3 6 9 3" xfId="8306"/>
    <cellStyle name="Normal 3 60" xfId="8307"/>
    <cellStyle name="Normal 3 60 2" xfId="8308"/>
    <cellStyle name="Normal 3 60 2 2" xfId="8309"/>
    <cellStyle name="Normal 3 60 3" xfId="8310"/>
    <cellStyle name="Normal 3 61" xfId="8311"/>
    <cellStyle name="Normal 3 61 2" xfId="8312"/>
    <cellStyle name="Normal 3 61 2 2" xfId="8313"/>
    <cellStyle name="Normal 3 61 3" xfId="8314"/>
    <cellStyle name="Normal 3 62" xfId="8315"/>
    <cellStyle name="Normal 3 62 2" xfId="8316"/>
    <cellStyle name="Normal 3 62 2 2" xfId="8317"/>
    <cellStyle name="Normal 3 62 3" xfId="8318"/>
    <cellStyle name="Normal 3 63" xfId="8319"/>
    <cellStyle name="Normal 3 63 2" xfId="8320"/>
    <cellStyle name="Normal 3 63 2 2" xfId="8321"/>
    <cellStyle name="Normal 3 63 3" xfId="8322"/>
    <cellStyle name="Normal 3 64" xfId="8323"/>
    <cellStyle name="Normal 3 64 2" xfId="8324"/>
    <cellStyle name="Normal 3 64 2 2" xfId="8325"/>
    <cellStyle name="Normal 3 64 3" xfId="8326"/>
    <cellStyle name="Normal 3 65" xfId="8327"/>
    <cellStyle name="Normal 3 65 2" xfId="8328"/>
    <cellStyle name="Normal 3 65 2 2" xfId="8329"/>
    <cellStyle name="Normal 3 65 3" xfId="8330"/>
    <cellStyle name="Normal 3 66" xfId="406"/>
    <cellStyle name="Normal 3 67" xfId="8331"/>
    <cellStyle name="Normal 3 68" xfId="8332"/>
    <cellStyle name="Normal 3 7" xfId="8333"/>
    <cellStyle name="Normal 3 7 10" xfId="8334"/>
    <cellStyle name="Normal 3 7 10 2" xfId="8335"/>
    <cellStyle name="Normal 3 7 10 2 2" xfId="8336"/>
    <cellStyle name="Normal 3 7 10 3" xfId="8337"/>
    <cellStyle name="Normal 3 7 11" xfId="8338"/>
    <cellStyle name="Normal 3 7 11 2" xfId="8339"/>
    <cellStyle name="Normal 3 7 11 2 2" xfId="8340"/>
    <cellStyle name="Normal 3 7 11 3" xfId="8341"/>
    <cellStyle name="Normal 3 7 12" xfId="8342"/>
    <cellStyle name="Normal 3 7 12 2" xfId="8343"/>
    <cellStyle name="Normal 3 7 12 2 2" xfId="8344"/>
    <cellStyle name="Normal 3 7 12 3" xfId="8345"/>
    <cellStyle name="Normal 3 7 13" xfId="8346"/>
    <cellStyle name="Normal 3 7 13 2" xfId="8347"/>
    <cellStyle name="Normal 3 7 13 2 2" xfId="8348"/>
    <cellStyle name="Normal 3 7 13 3" xfId="8349"/>
    <cellStyle name="Normal 3 7 14" xfId="8350"/>
    <cellStyle name="Normal 3 7 14 2" xfId="8351"/>
    <cellStyle name="Normal 3 7 14 2 2" xfId="8352"/>
    <cellStyle name="Normal 3 7 14 3" xfId="8353"/>
    <cellStyle name="Normal 3 7 15" xfId="8354"/>
    <cellStyle name="Normal 3 7 15 2" xfId="8355"/>
    <cellStyle name="Normal 3 7 15 2 2" xfId="8356"/>
    <cellStyle name="Normal 3 7 15 3" xfId="8357"/>
    <cellStyle name="Normal 3 7 16" xfId="8358"/>
    <cellStyle name="Normal 3 7 16 2" xfId="8359"/>
    <cellStyle name="Normal 3 7 16 2 2" xfId="8360"/>
    <cellStyle name="Normal 3 7 16 3" xfId="8361"/>
    <cellStyle name="Normal 3 7 17" xfId="8362"/>
    <cellStyle name="Normal 3 7 17 2" xfId="8363"/>
    <cellStyle name="Normal 3 7 17 2 2" xfId="8364"/>
    <cellStyle name="Normal 3 7 17 3" xfId="8365"/>
    <cellStyle name="Normal 3 7 18" xfId="8366"/>
    <cellStyle name="Normal 3 7 18 2" xfId="8367"/>
    <cellStyle name="Normal 3 7 18 2 2" xfId="8368"/>
    <cellStyle name="Normal 3 7 18 3" xfId="8369"/>
    <cellStyle name="Normal 3 7 19" xfId="8370"/>
    <cellStyle name="Normal 3 7 19 2" xfId="8371"/>
    <cellStyle name="Normal 3 7 19 2 2" xfId="8372"/>
    <cellStyle name="Normal 3 7 19 3" xfId="8373"/>
    <cellStyle name="Normal 3 7 2" xfId="8374"/>
    <cellStyle name="Normal 3 7 2 2" xfId="8375"/>
    <cellStyle name="Normal 3 7 2 2 2" xfId="8376"/>
    <cellStyle name="Normal 3 7 2 3" xfId="8377"/>
    <cellStyle name="Normal 3 7 20" xfId="8378"/>
    <cellStyle name="Normal 3 7 20 2" xfId="8379"/>
    <cellStyle name="Normal 3 7 20 2 2" xfId="8380"/>
    <cellStyle name="Normal 3 7 20 3" xfId="8381"/>
    <cellStyle name="Normal 3 7 21" xfId="8382"/>
    <cellStyle name="Normal 3 7 21 2" xfId="8383"/>
    <cellStyle name="Normal 3 7 21 2 2" xfId="8384"/>
    <cellStyle name="Normal 3 7 21 3" xfId="8385"/>
    <cellStyle name="Normal 3 7 22" xfId="8386"/>
    <cellStyle name="Normal 3 7 22 2" xfId="8387"/>
    <cellStyle name="Normal 3 7 22 2 2" xfId="8388"/>
    <cellStyle name="Normal 3 7 22 3" xfId="8389"/>
    <cellStyle name="Normal 3 7 23" xfId="8390"/>
    <cellStyle name="Normal 3 7 23 2" xfId="8391"/>
    <cellStyle name="Normal 3 7 23 2 2" xfId="8392"/>
    <cellStyle name="Normal 3 7 23 3" xfId="8393"/>
    <cellStyle name="Normal 3 7 24" xfId="8394"/>
    <cellStyle name="Normal 3 7 24 2" xfId="8395"/>
    <cellStyle name="Normal 3 7 25" xfId="8396"/>
    <cellStyle name="Normal 3 7 3" xfId="8397"/>
    <cellStyle name="Normal 3 7 3 2" xfId="8398"/>
    <cellStyle name="Normal 3 7 3 2 2" xfId="8399"/>
    <cellStyle name="Normal 3 7 3 3" xfId="8400"/>
    <cellStyle name="Normal 3 7 4" xfId="8401"/>
    <cellStyle name="Normal 3 7 4 2" xfId="8402"/>
    <cellStyle name="Normal 3 7 4 2 2" xfId="8403"/>
    <cellStyle name="Normal 3 7 4 3" xfId="8404"/>
    <cellStyle name="Normal 3 7 5" xfId="8405"/>
    <cellStyle name="Normal 3 7 5 2" xfId="8406"/>
    <cellStyle name="Normal 3 7 5 2 2" xfId="8407"/>
    <cellStyle name="Normal 3 7 5 3" xfId="8408"/>
    <cellStyle name="Normal 3 7 6" xfId="8409"/>
    <cellStyle name="Normal 3 7 6 2" xfId="8410"/>
    <cellStyle name="Normal 3 7 6 2 2" xfId="8411"/>
    <cellStyle name="Normal 3 7 6 3" xfId="8412"/>
    <cellStyle name="Normal 3 7 7" xfId="8413"/>
    <cellStyle name="Normal 3 7 7 2" xfId="8414"/>
    <cellStyle name="Normal 3 7 7 2 2" xfId="8415"/>
    <cellStyle name="Normal 3 7 7 3" xfId="8416"/>
    <cellStyle name="Normal 3 7 8" xfId="8417"/>
    <cellStyle name="Normal 3 7 8 2" xfId="8418"/>
    <cellStyle name="Normal 3 7 8 2 2" xfId="8419"/>
    <cellStyle name="Normal 3 7 8 3" xfId="8420"/>
    <cellStyle name="Normal 3 7 9" xfId="8421"/>
    <cellStyle name="Normal 3 7 9 2" xfId="8422"/>
    <cellStyle name="Normal 3 7 9 2 2" xfId="8423"/>
    <cellStyle name="Normal 3 7 9 3" xfId="8424"/>
    <cellStyle name="Normal 3 8" xfId="8425"/>
    <cellStyle name="Normal 3 8 10" xfId="8426"/>
    <cellStyle name="Normal 3 8 10 2" xfId="8427"/>
    <cellStyle name="Normal 3 8 10 2 2" xfId="8428"/>
    <cellStyle name="Normal 3 8 10 3" xfId="8429"/>
    <cellStyle name="Normal 3 8 11" xfId="8430"/>
    <cellStyle name="Normal 3 8 11 2" xfId="8431"/>
    <cellStyle name="Normal 3 8 11 2 2" xfId="8432"/>
    <cellStyle name="Normal 3 8 11 3" xfId="8433"/>
    <cellStyle name="Normal 3 8 12" xfId="8434"/>
    <cellStyle name="Normal 3 8 12 2" xfId="8435"/>
    <cellStyle name="Normal 3 8 12 2 2" xfId="8436"/>
    <cellStyle name="Normal 3 8 12 3" xfId="8437"/>
    <cellStyle name="Normal 3 8 13" xfId="8438"/>
    <cellStyle name="Normal 3 8 13 2" xfId="8439"/>
    <cellStyle name="Normal 3 8 13 2 2" xfId="8440"/>
    <cellStyle name="Normal 3 8 13 3" xfId="8441"/>
    <cellStyle name="Normal 3 8 14" xfId="8442"/>
    <cellStyle name="Normal 3 8 14 2" xfId="8443"/>
    <cellStyle name="Normal 3 8 14 2 2" xfId="8444"/>
    <cellStyle name="Normal 3 8 14 3" xfId="8445"/>
    <cellStyle name="Normal 3 8 15" xfId="8446"/>
    <cellStyle name="Normal 3 8 15 2" xfId="8447"/>
    <cellStyle name="Normal 3 8 15 2 2" xfId="8448"/>
    <cellStyle name="Normal 3 8 15 3" xfId="8449"/>
    <cellStyle name="Normal 3 8 16" xfId="8450"/>
    <cellStyle name="Normal 3 8 16 2" xfId="8451"/>
    <cellStyle name="Normal 3 8 16 2 2" xfId="8452"/>
    <cellStyle name="Normal 3 8 16 3" xfId="8453"/>
    <cellStyle name="Normal 3 8 17" xfId="8454"/>
    <cellStyle name="Normal 3 8 17 2" xfId="8455"/>
    <cellStyle name="Normal 3 8 17 2 2" xfId="8456"/>
    <cellStyle name="Normal 3 8 17 3" xfId="8457"/>
    <cellStyle name="Normal 3 8 18" xfId="8458"/>
    <cellStyle name="Normal 3 8 18 2" xfId="8459"/>
    <cellStyle name="Normal 3 8 18 2 2" xfId="8460"/>
    <cellStyle name="Normal 3 8 18 3" xfId="8461"/>
    <cellStyle name="Normal 3 8 19" xfId="8462"/>
    <cellStyle name="Normal 3 8 19 2" xfId="8463"/>
    <cellStyle name="Normal 3 8 19 2 2" xfId="8464"/>
    <cellStyle name="Normal 3 8 19 3" xfId="8465"/>
    <cellStyle name="Normal 3 8 2" xfId="8466"/>
    <cellStyle name="Normal 3 8 2 2" xfId="8467"/>
    <cellStyle name="Normal 3 8 2 2 2" xfId="8468"/>
    <cellStyle name="Normal 3 8 2 3" xfId="8469"/>
    <cellStyle name="Normal 3 8 20" xfId="8470"/>
    <cellStyle name="Normal 3 8 20 2" xfId="8471"/>
    <cellStyle name="Normal 3 8 20 2 2" xfId="8472"/>
    <cellStyle name="Normal 3 8 20 3" xfId="8473"/>
    <cellStyle name="Normal 3 8 21" xfId="8474"/>
    <cellStyle name="Normal 3 8 21 2" xfId="8475"/>
    <cellStyle name="Normal 3 8 21 2 2" xfId="8476"/>
    <cellStyle name="Normal 3 8 21 3" xfId="8477"/>
    <cellStyle name="Normal 3 8 22" xfId="8478"/>
    <cellStyle name="Normal 3 8 22 2" xfId="8479"/>
    <cellStyle name="Normal 3 8 22 2 2" xfId="8480"/>
    <cellStyle name="Normal 3 8 22 3" xfId="8481"/>
    <cellStyle name="Normal 3 8 23" xfId="8482"/>
    <cellStyle name="Normal 3 8 23 2" xfId="8483"/>
    <cellStyle name="Normal 3 8 23 2 2" xfId="8484"/>
    <cellStyle name="Normal 3 8 23 3" xfId="8485"/>
    <cellStyle name="Normal 3 8 24" xfId="8486"/>
    <cellStyle name="Normal 3 8 24 2" xfId="8487"/>
    <cellStyle name="Normal 3 8 25" xfId="8488"/>
    <cellStyle name="Normal 3 8 3" xfId="8489"/>
    <cellStyle name="Normal 3 8 3 2" xfId="8490"/>
    <cellStyle name="Normal 3 8 3 2 2" xfId="8491"/>
    <cellStyle name="Normal 3 8 3 3" xfId="8492"/>
    <cellStyle name="Normal 3 8 4" xfId="8493"/>
    <cellStyle name="Normal 3 8 4 2" xfId="8494"/>
    <cellStyle name="Normal 3 8 4 2 2" xfId="8495"/>
    <cellStyle name="Normal 3 8 4 3" xfId="8496"/>
    <cellStyle name="Normal 3 8 5" xfId="8497"/>
    <cellStyle name="Normal 3 8 5 2" xfId="8498"/>
    <cellStyle name="Normal 3 8 5 2 2" xfId="8499"/>
    <cellStyle name="Normal 3 8 5 3" xfId="8500"/>
    <cellStyle name="Normal 3 8 6" xfId="8501"/>
    <cellStyle name="Normal 3 8 6 2" xfId="8502"/>
    <cellStyle name="Normal 3 8 6 2 2" xfId="8503"/>
    <cellStyle name="Normal 3 8 6 3" xfId="8504"/>
    <cellStyle name="Normal 3 8 7" xfId="8505"/>
    <cellStyle name="Normal 3 8 7 2" xfId="8506"/>
    <cellStyle name="Normal 3 8 7 2 2" xfId="8507"/>
    <cellStyle name="Normal 3 8 7 3" xfId="8508"/>
    <cellStyle name="Normal 3 8 8" xfId="8509"/>
    <cellStyle name="Normal 3 8 8 2" xfId="8510"/>
    <cellStyle name="Normal 3 8 8 2 2" xfId="8511"/>
    <cellStyle name="Normal 3 8 8 3" xfId="8512"/>
    <cellStyle name="Normal 3 8 9" xfId="8513"/>
    <cellStyle name="Normal 3 8 9 2" xfId="8514"/>
    <cellStyle name="Normal 3 8 9 2 2" xfId="8515"/>
    <cellStyle name="Normal 3 8 9 3" xfId="8516"/>
    <cellStyle name="Normal 3 9" xfId="8517"/>
    <cellStyle name="Normal 3 9 10" xfId="8518"/>
    <cellStyle name="Normal 3 9 10 2" xfId="8519"/>
    <cellStyle name="Normal 3 9 10 2 2" xfId="8520"/>
    <cellStyle name="Normal 3 9 10 3" xfId="8521"/>
    <cellStyle name="Normal 3 9 11" xfId="8522"/>
    <cellStyle name="Normal 3 9 11 2" xfId="8523"/>
    <cellStyle name="Normal 3 9 11 2 2" xfId="8524"/>
    <cellStyle name="Normal 3 9 11 3" xfId="8525"/>
    <cellStyle name="Normal 3 9 12" xfId="8526"/>
    <cellStyle name="Normal 3 9 12 2" xfId="8527"/>
    <cellStyle name="Normal 3 9 12 2 2" xfId="8528"/>
    <cellStyle name="Normal 3 9 12 3" xfId="8529"/>
    <cellStyle name="Normal 3 9 13" xfId="8530"/>
    <cellStyle name="Normal 3 9 13 2" xfId="8531"/>
    <cellStyle name="Normal 3 9 13 2 2" xfId="8532"/>
    <cellStyle name="Normal 3 9 13 3" xfId="8533"/>
    <cellStyle name="Normal 3 9 14" xfId="8534"/>
    <cellStyle name="Normal 3 9 14 2" xfId="8535"/>
    <cellStyle name="Normal 3 9 14 2 2" xfId="8536"/>
    <cellStyle name="Normal 3 9 14 3" xfId="8537"/>
    <cellStyle name="Normal 3 9 15" xfId="8538"/>
    <cellStyle name="Normal 3 9 15 2" xfId="8539"/>
    <cellStyle name="Normal 3 9 15 2 2" xfId="8540"/>
    <cellStyle name="Normal 3 9 15 3" xfId="8541"/>
    <cellStyle name="Normal 3 9 16" xfId="8542"/>
    <cellStyle name="Normal 3 9 16 2" xfId="8543"/>
    <cellStyle name="Normal 3 9 16 2 2" xfId="8544"/>
    <cellStyle name="Normal 3 9 16 3" xfId="8545"/>
    <cellStyle name="Normal 3 9 17" xfId="8546"/>
    <cellStyle name="Normal 3 9 17 2" xfId="8547"/>
    <cellStyle name="Normal 3 9 17 2 2" xfId="8548"/>
    <cellStyle name="Normal 3 9 17 3" xfId="8549"/>
    <cellStyle name="Normal 3 9 18" xfId="8550"/>
    <cellStyle name="Normal 3 9 18 2" xfId="8551"/>
    <cellStyle name="Normal 3 9 18 2 2" xfId="8552"/>
    <cellStyle name="Normal 3 9 18 3" xfId="8553"/>
    <cellStyle name="Normal 3 9 19" xfId="8554"/>
    <cellStyle name="Normal 3 9 19 2" xfId="8555"/>
    <cellStyle name="Normal 3 9 19 2 2" xfId="8556"/>
    <cellStyle name="Normal 3 9 19 3" xfId="8557"/>
    <cellStyle name="Normal 3 9 2" xfId="8558"/>
    <cellStyle name="Normal 3 9 2 2" xfId="8559"/>
    <cellStyle name="Normal 3 9 2 2 2" xfId="8560"/>
    <cellStyle name="Normal 3 9 2 3" xfId="8561"/>
    <cellStyle name="Normal 3 9 20" xfId="8562"/>
    <cellStyle name="Normal 3 9 20 2" xfId="8563"/>
    <cellStyle name="Normal 3 9 20 2 2" xfId="8564"/>
    <cellStyle name="Normal 3 9 20 3" xfId="8565"/>
    <cellStyle name="Normal 3 9 21" xfId="8566"/>
    <cellStyle name="Normal 3 9 21 2" xfId="8567"/>
    <cellStyle name="Normal 3 9 21 2 2" xfId="8568"/>
    <cellStyle name="Normal 3 9 21 3" xfId="8569"/>
    <cellStyle name="Normal 3 9 22" xfId="8570"/>
    <cellStyle name="Normal 3 9 22 2" xfId="8571"/>
    <cellStyle name="Normal 3 9 22 2 2" xfId="8572"/>
    <cellStyle name="Normal 3 9 22 3" xfId="8573"/>
    <cellStyle name="Normal 3 9 23" xfId="8574"/>
    <cellStyle name="Normal 3 9 23 2" xfId="8575"/>
    <cellStyle name="Normal 3 9 23 2 2" xfId="8576"/>
    <cellStyle name="Normal 3 9 23 3" xfId="8577"/>
    <cellStyle name="Normal 3 9 24" xfId="8578"/>
    <cellStyle name="Normal 3 9 24 2" xfId="8579"/>
    <cellStyle name="Normal 3 9 25" xfId="8580"/>
    <cellStyle name="Normal 3 9 3" xfId="8581"/>
    <cellStyle name="Normal 3 9 3 2" xfId="8582"/>
    <cellStyle name="Normal 3 9 3 2 2" xfId="8583"/>
    <cellStyle name="Normal 3 9 3 3" xfId="8584"/>
    <cellStyle name="Normal 3 9 4" xfId="8585"/>
    <cellStyle name="Normal 3 9 4 2" xfId="8586"/>
    <cellStyle name="Normal 3 9 4 2 2" xfId="8587"/>
    <cellStyle name="Normal 3 9 4 3" xfId="8588"/>
    <cellStyle name="Normal 3 9 5" xfId="8589"/>
    <cellStyle name="Normal 3 9 5 2" xfId="8590"/>
    <cellStyle name="Normal 3 9 5 2 2" xfId="8591"/>
    <cellStyle name="Normal 3 9 5 3" xfId="8592"/>
    <cellStyle name="Normal 3 9 6" xfId="8593"/>
    <cellStyle name="Normal 3 9 6 2" xfId="8594"/>
    <cellStyle name="Normal 3 9 6 2 2" xfId="8595"/>
    <cellStyle name="Normal 3 9 6 3" xfId="8596"/>
    <cellStyle name="Normal 3 9 7" xfId="8597"/>
    <cellStyle name="Normal 3 9 7 2" xfId="8598"/>
    <cellStyle name="Normal 3 9 7 2 2" xfId="8599"/>
    <cellStyle name="Normal 3 9 7 3" xfId="8600"/>
    <cellStyle name="Normal 3 9 8" xfId="8601"/>
    <cellStyle name="Normal 3 9 8 2" xfId="8602"/>
    <cellStyle name="Normal 3 9 8 2 2" xfId="8603"/>
    <cellStyle name="Normal 3 9 8 3" xfId="8604"/>
    <cellStyle name="Normal 3 9 9" xfId="8605"/>
    <cellStyle name="Normal 3 9 9 2" xfId="8606"/>
    <cellStyle name="Normal 3 9 9 2 2" xfId="8607"/>
    <cellStyle name="Normal 3 9 9 3" xfId="8608"/>
    <cellStyle name="Normal 30" xfId="471"/>
    <cellStyle name="Normal 31" xfId="472"/>
    <cellStyle name="Normal 32" xfId="473"/>
    <cellStyle name="Normal 33" xfId="474"/>
    <cellStyle name="Normal 34" xfId="475"/>
    <cellStyle name="Normal 35" xfId="476"/>
    <cellStyle name="Normal 36" xfId="477"/>
    <cellStyle name="Normal 37" xfId="478"/>
    <cellStyle name="Normal 38" xfId="479"/>
    <cellStyle name="Normal 39" xfId="480"/>
    <cellStyle name="Normal 4" xfId="217"/>
    <cellStyle name="Normal 4 2" xfId="218"/>
    <cellStyle name="Normal 4 2 2" xfId="219"/>
    <cellStyle name="Normal 4 2 3" xfId="8609"/>
    <cellStyle name="Normal 4 2 3 2" xfId="8610"/>
    <cellStyle name="Normal 4 2 4" xfId="8611"/>
    <cellStyle name="Normal 4 3" xfId="220"/>
    <cellStyle name="Normal 4 3 2" xfId="407"/>
    <cellStyle name="Normal 4 3 2 2" xfId="408"/>
    <cellStyle name="Normal 4 3 2 2 2" xfId="1158"/>
    <cellStyle name="Normal 4 3 2 3" xfId="409"/>
    <cellStyle name="Normal 4 3 2 3 2" xfId="1159"/>
    <cellStyle name="Normal 4 3 2 4" xfId="1160"/>
    <cellStyle name="Normal 4 3 2 5" xfId="1161"/>
    <cellStyle name="Normal 4 3 3" xfId="410"/>
    <cellStyle name="Normal 4 3 3 2" xfId="1162"/>
    <cellStyle name="Normal 4 3 4" xfId="1163"/>
    <cellStyle name="Normal 4 3 4 2" xfId="1164"/>
    <cellStyle name="Normal 4 3 5" xfId="1165"/>
    <cellStyle name="Normal 4 3 5 2" xfId="1166"/>
    <cellStyle name="Normal 4 3 6" xfId="1167"/>
    <cellStyle name="Normal 4 3 7" xfId="1168"/>
    <cellStyle name="Normal 4 4" xfId="221"/>
    <cellStyle name="Normal 4 4 2" xfId="411"/>
    <cellStyle name="Normal 4 4 2 2" xfId="1169"/>
    <cellStyle name="Normal 4 4 2 3" xfId="1170"/>
    <cellStyle name="Normal 4 4 3" xfId="412"/>
    <cellStyle name="Normal 4 4 3 2" xfId="1171"/>
    <cellStyle name="Normal 4 4 4" xfId="1172"/>
    <cellStyle name="Normal 4 4 5" xfId="1173"/>
    <cellStyle name="Normal 4 5" xfId="413"/>
    <cellStyle name="Normal 4 5 2" xfId="414"/>
    <cellStyle name="Normal 4 5 2 2" xfId="1174"/>
    <cellStyle name="Normal 4 5 3" xfId="481"/>
    <cellStyle name="Normal 4 5 3 2" xfId="1175"/>
    <cellStyle name="Normal 4 5 4" xfId="1176"/>
    <cellStyle name="Normal 4 5 5" xfId="1177"/>
    <cellStyle name="Normal 4 6" xfId="482"/>
    <cellStyle name="Normal 4 6 2" xfId="1178"/>
    <cellStyle name="Normal 4 7" xfId="483"/>
    <cellStyle name="Normal 4 7 2" xfId="1179"/>
    <cellStyle name="Normal 4 8" xfId="1180"/>
    <cellStyle name="Normal 4 8 2" xfId="1181"/>
    <cellStyle name="Normal 4 9" xfId="1182"/>
    <cellStyle name="Normal 40" xfId="484"/>
    <cellStyle name="Normal 41" xfId="485"/>
    <cellStyle name="Normal 42" xfId="486"/>
    <cellStyle name="Normal 43" xfId="487"/>
    <cellStyle name="Normal 44" xfId="488"/>
    <cellStyle name="Normal 45" xfId="489"/>
    <cellStyle name="Normal 46" xfId="490"/>
    <cellStyle name="Normal 47" xfId="491"/>
    <cellStyle name="Normal 48" xfId="492"/>
    <cellStyle name="Normal 48 2" xfId="493"/>
    <cellStyle name="Normal 49" xfId="494"/>
    <cellStyle name="Normal 5" xfId="222"/>
    <cellStyle name="Normal 5 10" xfId="8612"/>
    <cellStyle name="Normal 5 10 2" xfId="8613"/>
    <cellStyle name="Normal 5 10 2 2" xfId="8614"/>
    <cellStyle name="Normal 5 10 3" xfId="8615"/>
    <cellStyle name="Normal 5 11" xfId="8616"/>
    <cellStyle name="Normal 5 11 2" xfId="8617"/>
    <cellStyle name="Normal 5 11 2 2" xfId="8618"/>
    <cellStyle name="Normal 5 11 3" xfId="8619"/>
    <cellStyle name="Normal 5 12" xfId="8620"/>
    <cellStyle name="Normal 5 12 2" xfId="8621"/>
    <cellStyle name="Normal 5 12 2 2" xfId="8622"/>
    <cellStyle name="Normal 5 12 3" xfId="8623"/>
    <cellStyle name="Normal 5 13" xfId="8624"/>
    <cellStyle name="Normal 5 13 2" xfId="8625"/>
    <cellStyle name="Normal 5 13 2 2" xfId="8626"/>
    <cellStyle name="Normal 5 13 3" xfId="8627"/>
    <cellStyle name="Normal 5 14" xfId="8628"/>
    <cellStyle name="Normal 5 14 2" xfId="8629"/>
    <cellStyle name="Normal 5 14 2 2" xfId="8630"/>
    <cellStyle name="Normal 5 14 3" xfId="8631"/>
    <cellStyle name="Normal 5 15" xfId="8632"/>
    <cellStyle name="Normal 5 15 2" xfId="8633"/>
    <cellStyle name="Normal 5 15 2 2" xfId="8634"/>
    <cellStyle name="Normal 5 15 3" xfId="8635"/>
    <cellStyle name="Normal 5 16" xfId="8636"/>
    <cellStyle name="Normal 5 16 2" xfId="8637"/>
    <cellStyle name="Normal 5 16 2 2" xfId="8638"/>
    <cellStyle name="Normal 5 16 3" xfId="8639"/>
    <cellStyle name="Normal 5 17" xfId="8640"/>
    <cellStyle name="Normal 5 17 2" xfId="8641"/>
    <cellStyle name="Normal 5 17 2 2" xfId="8642"/>
    <cellStyle name="Normal 5 17 3" xfId="8643"/>
    <cellStyle name="Normal 5 18" xfId="8644"/>
    <cellStyle name="Normal 5 18 2" xfId="8645"/>
    <cellStyle name="Normal 5 18 2 2" xfId="8646"/>
    <cellStyle name="Normal 5 18 3" xfId="8647"/>
    <cellStyle name="Normal 5 19" xfId="8648"/>
    <cellStyle name="Normal 5 19 2" xfId="8649"/>
    <cellStyle name="Normal 5 19 2 2" xfId="8650"/>
    <cellStyle name="Normal 5 19 3" xfId="8651"/>
    <cellStyle name="Normal 5 2" xfId="223"/>
    <cellStyle name="Normal 5 2 10" xfId="8652"/>
    <cellStyle name="Normal 5 2 10 2" xfId="8653"/>
    <cellStyle name="Normal 5 2 10 2 2" xfId="8654"/>
    <cellStyle name="Normal 5 2 10 3" xfId="8655"/>
    <cellStyle name="Normal 5 2 11" xfId="8656"/>
    <cellStyle name="Normal 5 2 11 2" xfId="8657"/>
    <cellStyle name="Normal 5 2 11 2 2" xfId="8658"/>
    <cellStyle name="Normal 5 2 11 3" xfId="8659"/>
    <cellStyle name="Normal 5 2 12" xfId="8660"/>
    <cellStyle name="Normal 5 2 12 2" xfId="8661"/>
    <cellStyle name="Normal 5 2 12 2 2" xfId="8662"/>
    <cellStyle name="Normal 5 2 12 3" xfId="8663"/>
    <cellStyle name="Normal 5 2 13" xfId="8664"/>
    <cellStyle name="Normal 5 2 13 2" xfId="8665"/>
    <cellStyle name="Normal 5 2 13 2 2" xfId="8666"/>
    <cellStyle name="Normal 5 2 13 3" xfId="8667"/>
    <cellStyle name="Normal 5 2 14" xfId="8668"/>
    <cellStyle name="Normal 5 2 14 2" xfId="8669"/>
    <cellStyle name="Normal 5 2 14 2 2" xfId="8670"/>
    <cellStyle name="Normal 5 2 14 3" xfId="8671"/>
    <cellStyle name="Normal 5 2 15" xfId="8672"/>
    <cellStyle name="Normal 5 2 15 2" xfId="8673"/>
    <cellStyle name="Normal 5 2 15 2 2" xfId="8674"/>
    <cellStyle name="Normal 5 2 15 3" xfId="8675"/>
    <cellStyle name="Normal 5 2 16" xfId="8676"/>
    <cellStyle name="Normal 5 2 16 2" xfId="8677"/>
    <cellStyle name="Normal 5 2 16 2 2" xfId="8678"/>
    <cellStyle name="Normal 5 2 16 3" xfId="8679"/>
    <cellStyle name="Normal 5 2 17" xfId="8680"/>
    <cellStyle name="Normal 5 2 17 2" xfId="8681"/>
    <cellStyle name="Normal 5 2 17 2 2" xfId="8682"/>
    <cellStyle name="Normal 5 2 17 3" xfId="8683"/>
    <cellStyle name="Normal 5 2 18" xfId="8684"/>
    <cellStyle name="Normal 5 2 18 2" xfId="8685"/>
    <cellStyle name="Normal 5 2 18 2 2" xfId="8686"/>
    <cellStyle name="Normal 5 2 18 3" xfId="8687"/>
    <cellStyle name="Normal 5 2 19" xfId="8688"/>
    <cellStyle name="Normal 5 2 19 2" xfId="8689"/>
    <cellStyle name="Normal 5 2 19 2 2" xfId="8690"/>
    <cellStyle name="Normal 5 2 19 3" xfId="8691"/>
    <cellStyle name="Normal 5 2 2" xfId="224"/>
    <cellStyle name="Normal 5 2 2 2" xfId="8692"/>
    <cellStyle name="Normal 5 2 2 2 2" xfId="8693"/>
    <cellStyle name="Normal 5 2 2 3" xfId="8694"/>
    <cellStyle name="Normal 5 2 20" xfId="8695"/>
    <cellStyle name="Normal 5 2 20 2" xfId="8696"/>
    <cellStyle name="Normal 5 2 20 2 2" xfId="8697"/>
    <cellStyle name="Normal 5 2 20 3" xfId="8698"/>
    <cellStyle name="Normal 5 2 21" xfId="8699"/>
    <cellStyle name="Normal 5 2 21 2" xfId="8700"/>
    <cellStyle name="Normal 5 2 21 2 2" xfId="8701"/>
    <cellStyle name="Normal 5 2 21 3" xfId="8702"/>
    <cellStyle name="Normal 5 2 22" xfId="8703"/>
    <cellStyle name="Normal 5 2 22 2" xfId="8704"/>
    <cellStyle name="Normal 5 2 22 2 2" xfId="8705"/>
    <cellStyle name="Normal 5 2 22 3" xfId="8706"/>
    <cellStyle name="Normal 5 2 23" xfId="8707"/>
    <cellStyle name="Normal 5 2 23 2" xfId="8708"/>
    <cellStyle name="Normal 5 2 23 2 2" xfId="8709"/>
    <cellStyle name="Normal 5 2 23 3" xfId="8710"/>
    <cellStyle name="Normal 5 2 24" xfId="8711"/>
    <cellStyle name="Normal 5 2 25" xfId="8712"/>
    <cellStyle name="Normal 5 2 25 2" xfId="8713"/>
    <cellStyle name="Normal 5 2 26" xfId="8714"/>
    <cellStyle name="Normal 5 2 3" xfId="8715"/>
    <cellStyle name="Normal 5 2 3 2" xfId="8716"/>
    <cellStyle name="Normal 5 2 3 2 2" xfId="8717"/>
    <cellStyle name="Normal 5 2 3 3" xfId="8718"/>
    <cellStyle name="Normal 5 2 4" xfId="8719"/>
    <cellStyle name="Normal 5 2 4 2" xfId="8720"/>
    <cellStyle name="Normal 5 2 4 2 2" xfId="8721"/>
    <cellStyle name="Normal 5 2 4 3" xfId="8722"/>
    <cellStyle name="Normal 5 2 5" xfId="8723"/>
    <cellStyle name="Normal 5 2 5 2" xfId="8724"/>
    <cellStyle name="Normal 5 2 5 2 2" xfId="8725"/>
    <cellStyle name="Normal 5 2 5 3" xfId="8726"/>
    <cellStyle name="Normal 5 2 6" xfId="8727"/>
    <cellStyle name="Normal 5 2 6 2" xfId="8728"/>
    <cellStyle name="Normal 5 2 6 2 2" xfId="8729"/>
    <cellStyle name="Normal 5 2 6 3" xfId="8730"/>
    <cellStyle name="Normal 5 2 7" xfId="8731"/>
    <cellStyle name="Normal 5 2 7 2" xfId="8732"/>
    <cellStyle name="Normal 5 2 7 2 2" xfId="8733"/>
    <cellStyle name="Normal 5 2 7 3" xfId="8734"/>
    <cellStyle name="Normal 5 2 8" xfId="8735"/>
    <cellStyle name="Normal 5 2 8 2" xfId="8736"/>
    <cellStyle name="Normal 5 2 8 2 2" xfId="8737"/>
    <cellStyle name="Normal 5 2 8 3" xfId="8738"/>
    <cellStyle name="Normal 5 2 9" xfId="8739"/>
    <cellStyle name="Normal 5 2 9 2" xfId="8740"/>
    <cellStyle name="Normal 5 2 9 2 2" xfId="8741"/>
    <cellStyle name="Normal 5 2 9 3" xfId="8742"/>
    <cellStyle name="Normal 5 20" xfId="8743"/>
    <cellStyle name="Normal 5 20 2" xfId="8744"/>
    <cellStyle name="Normal 5 20 2 2" xfId="8745"/>
    <cellStyle name="Normal 5 20 3" xfId="8746"/>
    <cellStyle name="Normal 5 21" xfId="8747"/>
    <cellStyle name="Normal 5 21 2" xfId="8748"/>
    <cellStyle name="Normal 5 21 2 2" xfId="8749"/>
    <cellStyle name="Normal 5 21 3" xfId="8750"/>
    <cellStyle name="Normal 5 22" xfId="8751"/>
    <cellStyle name="Normal 5 22 2" xfId="8752"/>
    <cellStyle name="Normal 5 22 2 2" xfId="8753"/>
    <cellStyle name="Normal 5 22 3" xfId="8754"/>
    <cellStyle name="Normal 5 23" xfId="8755"/>
    <cellStyle name="Normal 5 23 2" xfId="8756"/>
    <cellStyle name="Normal 5 23 2 2" xfId="8757"/>
    <cellStyle name="Normal 5 23 3" xfId="8758"/>
    <cellStyle name="Normal 5 24" xfId="8759"/>
    <cellStyle name="Normal 5 24 2" xfId="8760"/>
    <cellStyle name="Normal 5 24 2 2" xfId="8761"/>
    <cellStyle name="Normal 5 24 3" xfId="8762"/>
    <cellStyle name="Normal 5 25" xfId="8763"/>
    <cellStyle name="Normal 5 26" xfId="8764"/>
    <cellStyle name="Normal 5 26 2" xfId="8765"/>
    <cellStyle name="Normal 5 27" xfId="8766"/>
    <cellStyle name="Normal 5 28" xfId="8767"/>
    <cellStyle name="Normal 5 3" xfId="225"/>
    <cellStyle name="Normal 5 3 2" xfId="226"/>
    <cellStyle name="Normal 5 3 2 2" xfId="1183"/>
    <cellStyle name="Normal 5 3 2 2 2" xfId="1184"/>
    <cellStyle name="Normal 5 3 2 3" xfId="1185"/>
    <cellStyle name="Normal 5 3 2 3 2" xfId="1186"/>
    <cellStyle name="Normal 5 3 2 4" xfId="1187"/>
    <cellStyle name="Normal 5 3 3" xfId="1188"/>
    <cellStyle name="Normal 5 3 3 2" xfId="1189"/>
    <cellStyle name="Normal 5 3 4" xfId="1190"/>
    <cellStyle name="Normal 5 3 4 2" xfId="1191"/>
    <cellStyle name="Normal 5 3 5" xfId="1192"/>
    <cellStyle name="Normal 5 4" xfId="227"/>
    <cellStyle name="Normal 5 4 2" xfId="228"/>
    <cellStyle name="Normal 5 4 2 2" xfId="1193"/>
    <cellStyle name="Normal 5 4 2 2 2" xfId="1194"/>
    <cellStyle name="Normal 5 4 2 3" xfId="1195"/>
    <cellStyle name="Normal 5 4 2 3 2" xfId="1196"/>
    <cellStyle name="Normal 5 4 2 4" xfId="1197"/>
    <cellStyle name="Normal 5 4 3" xfId="1198"/>
    <cellStyle name="Normal 5 4 3 2" xfId="1199"/>
    <cellStyle name="Normal 5 4 4" xfId="1200"/>
    <cellStyle name="Normal 5 4 4 2" xfId="1201"/>
    <cellStyle name="Normal 5 4 5" xfId="1202"/>
    <cellStyle name="Normal 5 5" xfId="229"/>
    <cellStyle name="Normal 5 5 2" xfId="230"/>
    <cellStyle name="Normal 5 5 2 2" xfId="1203"/>
    <cellStyle name="Normal 5 5 2 2 2" xfId="1204"/>
    <cellStyle name="Normal 5 5 2 3" xfId="1205"/>
    <cellStyle name="Normal 5 5 2 3 2" xfId="1206"/>
    <cellStyle name="Normal 5 5 2 4" xfId="1207"/>
    <cellStyle name="Normal 5 5 3" xfId="1208"/>
    <cellStyle name="Normal 5 5 3 2" xfId="1209"/>
    <cellStyle name="Normal 5 5 4" xfId="1210"/>
    <cellStyle name="Normal 5 5 4 2" xfId="1211"/>
    <cellStyle name="Normal 5 5 5" xfId="1212"/>
    <cellStyle name="Normal 5 6" xfId="231"/>
    <cellStyle name="Normal 5 6 2" xfId="232"/>
    <cellStyle name="Normal 5 6 2 2" xfId="1213"/>
    <cellStyle name="Normal 5 6 2 2 2" xfId="1214"/>
    <cellStyle name="Normal 5 6 2 3" xfId="1215"/>
    <cellStyle name="Normal 5 6 2 3 2" xfId="1216"/>
    <cellStyle name="Normal 5 6 2 4" xfId="1217"/>
    <cellStyle name="Normal 5 6 3" xfId="1218"/>
    <cellStyle name="Normal 5 6 3 2" xfId="1219"/>
    <cellStyle name="Normal 5 6 4" xfId="1220"/>
    <cellStyle name="Normal 5 6 4 2" xfId="1221"/>
    <cellStyle name="Normal 5 6 5" xfId="1222"/>
    <cellStyle name="Normal 5 7" xfId="233"/>
    <cellStyle name="Normal 5 7 2" xfId="8768"/>
    <cellStyle name="Normal 5 7 2 2" xfId="8769"/>
    <cellStyle name="Normal 5 7 3" xfId="8770"/>
    <cellStyle name="Normal 5 8" xfId="8771"/>
    <cellStyle name="Normal 5 8 2" xfId="8772"/>
    <cellStyle name="Normal 5 8 2 2" xfId="8773"/>
    <cellStyle name="Normal 5 8 3" xfId="8774"/>
    <cellStyle name="Normal 5 9" xfId="8775"/>
    <cellStyle name="Normal 5 9 2" xfId="8776"/>
    <cellStyle name="Normal 5 9 2 2" xfId="8777"/>
    <cellStyle name="Normal 5 9 3" xfId="8778"/>
    <cellStyle name="Normal 50" xfId="495"/>
    <cellStyle name="Normal 51" xfId="8779"/>
    <cellStyle name="Normal 6" xfId="234"/>
    <cellStyle name="Normal 6 2" xfId="8780"/>
    <cellStyle name="Normal 6 3" xfId="8781"/>
    <cellStyle name="Normal 6 3 2" xfId="8782"/>
    <cellStyle name="Normal 6 4" xfId="8783"/>
    <cellStyle name="Normal 6 5" xfId="8784"/>
    <cellStyle name="Normal 7" xfId="235"/>
    <cellStyle name="Normal 7 10" xfId="8785"/>
    <cellStyle name="Normal 7 10 2" xfId="8786"/>
    <cellStyle name="Normal 7 10 2 2" xfId="8787"/>
    <cellStyle name="Normal 7 10 3" xfId="8788"/>
    <cellStyle name="Normal 7 11" xfId="8789"/>
    <cellStyle name="Normal 7 11 2" xfId="8790"/>
    <cellStyle name="Normal 7 11 2 2" xfId="8791"/>
    <cellStyle name="Normal 7 11 3" xfId="8792"/>
    <cellStyle name="Normal 7 12" xfId="8793"/>
    <cellStyle name="Normal 7 12 2" xfId="8794"/>
    <cellStyle name="Normal 7 12 2 2" xfId="8795"/>
    <cellStyle name="Normal 7 12 3" xfId="8796"/>
    <cellStyle name="Normal 7 13" xfId="8797"/>
    <cellStyle name="Normal 7 13 2" xfId="8798"/>
    <cellStyle name="Normal 7 13 2 2" xfId="8799"/>
    <cellStyle name="Normal 7 13 3" xfId="8800"/>
    <cellStyle name="Normal 7 14" xfId="8801"/>
    <cellStyle name="Normal 7 14 2" xfId="8802"/>
    <cellStyle name="Normal 7 14 2 2" xfId="8803"/>
    <cellStyle name="Normal 7 14 3" xfId="8804"/>
    <cellStyle name="Normal 7 15" xfId="8805"/>
    <cellStyle name="Normal 7 15 2" xfId="8806"/>
    <cellStyle name="Normal 7 15 2 2" xfId="8807"/>
    <cellStyle name="Normal 7 15 3" xfId="8808"/>
    <cellStyle name="Normal 7 16" xfId="8809"/>
    <cellStyle name="Normal 7 16 2" xfId="8810"/>
    <cellStyle name="Normal 7 16 2 2" xfId="8811"/>
    <cellStyle name="Normal 7 16 3" xfId="8812"/>
    <cellStyle name="Normal 7 17" xfId="8813"/>
    <cellStyle name="Normal 7 17 2" xfId="8814"/>
    <cellStyle name="Normal 7 17 2 2" xfId="8815"/>
    <cellStyle name="Normal 7 17 3" xfId="8816"/>
    <cellStyle name="Normal 7 18" xfId="8817"/>
    <cellStyle name="Normal 7 18 2" xfId="8818"/>
    <cellStyle name="Normal 7 18 2 2" xfId="8819"/>
    <cellStyle name="Normal 7 18 3" xfId="8820"/>
    <cellStyle name="Normal 7 19" xfId="8821"/>
    <cellStyle name="Normal 7 19 2" xfId="8822"/>
    <cellStyle name="Normal 7 19 2 2" xfId="8823"/>
    <cellStyle name="Normal 7 19 3" xfId="8824"/>
    <cellStyle name="Normal 7 2" xfId="236"/>
    <cellStyle name="Normal 7 2 10" xfId="8825"/>
    <cellStyle name="Normal 7 2 10 2" xfId="8826"/>
    <cellStyle name="Normal 7 2 10 2 2" xfId="8827"/>
    <cellStyle name="Normal 7 2 10 3" xfId="8828"/>
    <cellStyle name="Normal 7 2 11" xfId="8829"/>
    <cellStyle name="Normal 7 2 11 2" xfId="8830"/>
    <cellStyle name="Normal 7 2 11 2 2" xfId="8831"/>
    <cellStyle name="Normal 7 2 11 3" xfId="8832"/>
    <cellStyle name="Normal 7 2 12" xfId="8833"/>
    <cellStyle name="Normal 7 2 12 2" xfId="8834"/>
    <cellStyle name="Normal 7 2 12 2 2" xfId="8835"/>
    <cellStyle name="Normal 7 2 12 3" xfId="8836"/>
    <cellStyle name="Normal 7 2 13" xfId="8837"/>
    <cellStyle name="Normal 7 2 13 2" xfId="8838"/>
    <cellStyle name="Normal 7 2 13 2 2" xfId="8839"/>
    <cellStyle name="Normal 7 2 13 3" xfId="8840"/>
    <cellStyle name="Normal 7 2 14" xfId="8841"/>
    <cellStyle name="Normal 7 2 14 2" xfId="8842"/>
    <cellStyle name="Normal 7 2 14 2 2" xfId="8843"/>
    <cellStyle name="Normal 7 2 14 3" xfId="8844"/>
    <cellStyle name="Normal 7 2 15" xfId="8845"/>
    <cellStyle name="Normal 7 2 15 2" xfId="8846"/>
    <cellStyle name="Normal 7 2 15 2 2" xfId="8847"/>
    <cellStyle name="Normal 7 2 15 3" xfId="8848"/>
    <cellStyle name="Normal 7 2 16" xfId="8849"/>
    <cellStyle name="Normal 7 2 16 2" xfId="8850"/>
    <cellStyle name="Normal 7 2 16 2 2" xfId="8851"/>
    <cellStyle name="Normal 7 2 16 3" xfId="8852"/>
    <cellStyle name="Normal 7 2 17" xfId="8853"/>
    <cellStyle name="Normal 7 2 17 2" xfId="8854"/>
    <cellStyle name="Normal 7 2 17 2 2" xfId="8855"/>
    <cellStyle name="Normal 7 2 17 3" xfId="8856"/>
    <cellStyle name="Normal 7 2 18" xfId="8857"/>
    <cellStyle name="Normal 7 2 18 2" xfId="8858"/>
    <cellStyle name="Normal 7 2 18 2 2" xfId="8859"/>
    <cellStyle name="Normal 7 2 18 3" xfId="8860"/>
    <cellStyle name="Normal 7 2 19" xfId="8861"/>
    <cellStyle name="Normal 7 2 19 2" xfId="8862"/>
    <cellStyle name="Normal 7 2 19 2 2" xfId="8863"/>
    <cellStyle name="Normal 7 2 19 3" xfId="8864"/>
    <cellStyle name="Normal 7 2 2" xfId="237"/>
    <cellStyle name="Normal 7 2 2 2" xfId="8865"/>
    <cellStyle name="Normal 7 2 2 2 2" xfId="8866"/>
    <cellStyle name="Normal 7 2 2 3" xfId="8867"/>
    <cellStyle name="Normal 7 2 20" xfId="8868"/>
    <cellStyle name="Normal 7 2 20 2" xfId="8869"/>
    <cellStyle name="Normal 7 2 20 2 2" xfId="8870"/>
    <cellStyle name="Normal 7 2 20 3" xfId="8871"/>
    <cellStyle name="Normal 7 2 21" xfId="8872"/>
    <cellStyle name="Normal 7 2 21 2" xfId="8873"/>
    <cellStyle name="Normal 7 2 21 2 2" xfId="8874"/>
    <cellStyle name="Normal 7 2 21 3" xfId="8875"/>
    <cellStyle name="Normal 7 2 22" xfId="8876"/>
    <cellStyle name="Normal 7 2 22 2" xfId="8877"/>
    <cellStyle name="Normal 7 2 22 2 2" xfId="8878"/>
    <cellStyle name="Normal 7 2 22 3" xfId="8879"/>
    <cellStyle name="Normal 7 2 23" xfId="8880"/>
    <cellStyle name="Normal 7 2 23 2" xfId="8881"/>
    <cellStyle name="Normal 7 2 23 2 2" xfId="8882"/>
    <cellStyle name="Normal 7 2 23 3" xfId="8883"/>
    <cellStyle name="Normal 7 2 24" xfId="8884"/>
    <cellStyle name="Normal 7 2 25" xfId="8885"/>
    <cellStyle name="Normal 7 2 25 2" xfId="8886"/>
    <cellStyle name="Normal 7 2 26" xfId="8887"/>
    <cellStyle name="Normal 7 2 3" xfId="8888"/>
    <cellStyle name="Normal 7 2 3 2" xfId="8889"/>
    <cellStyle name="Normal 7 2 3 2 2" xfId="8890"/>
    <cellStyle name="Normal 7 2 3 3" xfId="8891"/>
    <cellStyle name="Normal 7 2 4" xfId="8892"/>
    <cellStyle name="Normal 7 2 4 2" xfId="8893"/>
    <cellStyle name="Normal 7 2 4 2 2" xfId="8894"/>
    <cellStyle name="Normal 7 2 4 3" xfId="8895"/>
    <cellStyle name="Normal 7 2 5" xfId="8896"/>
    <cellStyle name="Normal 7 2 5 2" xfId="8897"/>
    <cellStyle name="Normal 7 2 5 2 2" xfId="8898"/>
    <cellStyle name="Normal 7 2 5 3" xfId="8899"/>
    <cellStyle name="Normal 7 2 6" xfId="8900"/>
    <cellStyle name="Normal 7 2 6 2" xfId="8901"/>
    <cellStyle name="Normal 7 2 6 2 2" xfId="8902"/>
    <cellStyle name="Normal 7 2 6 3" xfId="8903"/>
    <cellStyle name="Normal 7 2 7" xfId="8904"/>
    <cellStyle name="Normal 7 2 7 2" xfId="8905"/>
    <cellStyle name="Normal 7 2 7 2 2" xfId="8906"/>
    <cellStyle name="Normal 7 2 7 3" xfId="8907"/>
    <cellStyle name="Normal 7 2 8" xfId="8908"/>
    <cellStyle name="Normal 7 2 8 2" xfId="8909"/>
    <cellStyle name="Normal 7 2 8 2 2" xfId="8910"/>
    <cellStyle name="Normal 7 2 8 3" xfId="8911"/>
    <cellStyle name="Normal 7 2 9" xfId="8912"/>
    <cellStyle name="Normal 7 2 9 2" xfId="8913"/>
    <cellStyle name="Normal 7 2 9 2 2" xfId="8914"/>
    <cellStyle name="Normal 7 2 9 3" xfId="8915"/>
    <cellStyle name="Normal 7 20" xfId="8916"/>
    <cellStyle name="Normal 7 20 2" xfId="8917"/>
    <cellStyle name="Normal 7 20 2 2" xfId="8918"/>
    <cellStyle name="Normal 7 20 3" xfId="8919"/>
    <cellStyle name="Normal 7 21" xfId="8920"/>
    <cellStyle name="Normal 7 21 2" xfId="8921"/>
    <cellStyle name="Normal 7 21 2 2" xfId="8922"/>
    <cellStyle name="Normal 7 21 3" xfId="8923"/>
    <cellStyle name="Normal 7 22" xfId="8924"/>
    <cellStyle name="Normal 7 22 2" xfId="8925"/>
    <cellStyle name="Normal 7 22 2 2" xfId="8926"/>
    <cellStyle name="Normal 7 22 3" xfId="8927"/>
    <cellStyle name="Normal 7 23" xfId="8928"/>
    <cellStyle name="Normal 7 23 2" xfId="8929"/>
    <cellStyle name="Normal 7 23 2 2" xfId="8930"/>
    <cellStyle name="Normal 7 23 3" xfId="8931"/>
    <cellStyle name="Normal 7 24" xfId="8932"/>
    <cellStyle name="Normal 7 24 2" xfId="8933"/>
    <cellStyle name="Normal 7 24 2 2" xfId="8934"/>
    <cellStyle name="Normal 7 24 3" xfId="8935"/>
    <cellStyle name="Normal 7 25" xfId="8936"/>
    <cellStyle name="Normal 7 26" xfId="8937"/>
    <cellStyle name="Normal 7 26 2" xfId="8938"/>
    <cellStyle name="Normal 7 27" xfId="8939"/>
    <cellStyle name="Normal 7 3" xfId="238"/>
    <cellStyle name="Normal 7 3 2" xfId="8940"/>
    <cellStyle name="Normal 7 3 2 2" xfId="8941"/>
    <cellStyle name="Normal 7 3 3" xfId="8942"/>
    <cellStyle name="Normal 7 4" xfId="8943"/>
    <cellStyle name="Normal 7 4 2" xfId="8944"/>
    <cellStyle name="Normal 7 4 2 2" xfId="8945"/>
    <cellStyle name="Normal 7 4 3" xfId="8946"/>
    <cellStyle name="Normal 7 5" xfId="8947"/>
    <cellStyle name="Normal 7 5 2" xfId="8948"/>
    <cellStyle name="Normal 7 5 2 2" xfId="8949"/>
    <cellStyle name="Normal 7 5 3" xfId="8950"/>
    <cellStyle name="Normal 7 6" xfId="8951"/>
    <cellStyle name="Normal 7 6 2" xfId="8952"/>
    <cellStyle name="Normal 7 6 2 2" xfId="8953"/>
    <cellStyle name="Normal 7 6 3" xfId="8954"/>
    <cellStyle name="Normal 7 7" xfId="8955"/>
    <cellStyle name="Normal 7 7 2" xfId="8956"/>
    <cellStyle name="Normal 7 7 2 2" xfId="8957"/>
    <cellStyle name="Normal 7 7 3" xfId="8958"/>
    <cellStyle name="Normal 7 8" xfId="8959"/>
    <cellStyle name="Normal 7 8 2" xfId="8960"/>
    <cellStyle name="Normal 7 8 2 2" xfId="8961"/>
    <cellStyle name="Normal 7 8 3" xfId="8962"/>
    <cellStyle name="Normal 7 9" xfId="8963"/>
    <cellStyle name="Normal 7 9 2" xfId="8964"/>
    <cellStyle name="Normal 7 9 2 2" xfId="8965"/>
    <cellStyle name="Normal 7 9 3" xfId="8966"/>
    <cellStyle name="Normal 8" xfId="239"/>
    <cellStyle name="Normal 8 2" xfId="240"/>
    <cellStyle name="Normal 8 2 2" xfId="241"/>
    <cellStyle name="Normal 8 3" xfId="242"/>
    <cellStyle name="Normal 8 3 2" xfId="8967"/>
    <cellStyle name="Normal 8 3 3" xfId="8968"/>
    <cellStyle name="Normal 8 4" xfId="8969"/>
    <cellStyle name="Normal 8 4 2" xfId="8970"/>
    <cellStyle name="Normal 8 4 3" xfId="8971"/>
    <cellStyle name="Normal 8 5" xfId="8972"/>
    <cellStyle name="Normal 8 6" xfId="8973"/>
    <cellStyle name="Normal 8 7" xfId="8974"/>
    <cellStyle name="Normal 8 8" xfId="8975"/>
    <cellStyle name="Normal 9" xfId="243"/>
    <cellStyle name="Normal 9 2" xfId="244"/>
    <cellStyle name="Normal 9 2 2" xfId="1223"/>
    <cellStyle name="Normal 9 3" xfId="245"/>
    <cellStyle name="Normal 9 4" xfId="1224"/>
    <cellStyle name="Normal 9 5" xfId="8976"/>
    <cellStyle name="Normal_EStarCFLBulbs&amp;Fixtures_NewFY08v1_0" xfId="1225"/>
    <cellStyle name="Normal_EStarCFLBulbs&amp;FixturesFY07v1_4" xfId="1226"/>
    <cellStyle name="Normal_EStarWASHERResTiersFY07v1_3_postJan07" xfId="246"/>
    <cellStyle name="Normal_MTDUCT" xfId="247"/>
    <cellStyle name="Normal_New Home LPD Inputs" xfId="1227"/>
    <cellStyle name="Note 2" xfId="248"/>
    <cellStyle name="Note 2 2" xfId="249"/>
    <cellStyle name="Note 2 2 2" xfId="250"/>
    <cellStyle name="Note 2 2 2 2" xfId="1228"/>
    <cellStyle name="Note 2 2 2 2 2" xfId="1229"/>
    <cellStyle name="Note 2 2 2 3" xfId="1230"/>
    <cellStyle name="Note 2 2 2 3 2" xfId="1231"/>
    <cellStyle name="Note 2 2 2 4" xfId="1232"/>
    <cellStyle name="Note 2 2 3" xfId="1233"/>
    <cellStyle name="Note 2 2 3 2" xfId="1234"/>
    <cellStyle name="Note 2 2 4" xfId="1235"/>
    <cellStyle name="Note 2 2 4 2" xfId="1236"/>
    <cellStyle name="Note 2 2 5" xfId="1237"/>
    <cellStyle name="Note 2 2 6" xfId="1238"/>
    <cellStyle name="Note 2 3" xfId="251"/>
    <cellStyle name="Note 2 3 2" xfId="252"/>
    <cellStyle name="Note 2 3 2 2" xfId="1239"/>
    <cellStyle name="Note 2 3 2 2 2" xfId="1240"/>
    <cellStyle name="Note 2 3 2 3" xfId="1241"/>
    <cellStyle name="Note 2 3 2 3 2" xfId="1242"/>
    <cellStyle name="Note 2 3 2 4" xfId="1243"/>
    <cellStyle name="Note 2 3 3" xfId="1244"/>
    <cellStyle name="Note 2 3 3 2" xfId="1245"/>
    <cellStyle name="Note 2 3 4" xfId="1246"/>
    <cellStyle name="Note 2 3 4 2" xfId="1247"/>
    <cellStyle name="Note 2 3 5" xfId="1248"/>
    <cellStyle name="Note 2 4" xfId="253"/>
    <cellStyle name="Note 2 4 2" xfId="254"/>
    <cellStyle name="Note 2 4 2 2" xfId="1249"/>
    <cellStyle name="Note 2 4 2 2 2" xfId="1250"/>
    <cellStyle name="Note 2 4 2 3" xfId="1251"/>
    <cellStyle name="Note 2 4 2 3 2" xfId="1252"/>
    <cellStyle name="Note 2 4 2 4" xfId="1253"/>
    <cellStyle name="Note 2 4 3" xfId="1254"/>
    <cellStyle name="Note 2 4 3 2" xfId="1255"/>
    <cellStyle name="Note 2 4 4" xfId="1256"/>
    <cellStyle name="Note 2 4 4 2" xfId="1257"/>
    <cellStyle name="Note 2 4 5" xfId="1258"/>
    <cellStyle name="Note 2 5" xfId="255"/>
    <cellStyle name="Note 2 5 2" xfId="1259"/>
    <cellStyle name="Note 2 5 2 2" xfId="1260"/>
    <cellStyle name="Note 2 5 3" xfId="1261"/>
    <cellStyle name="Note 2 5 3 2" xfId="1262"/>
    <cellStyle name="Note 2 5 4" xfId="1263"/>
    <cellStyle name="Note 2 6" xfId="1264"/>
    <cellStyle name="Note 2 6 2" xfId="1265"/>
    <cellStyle name="Note 2 7" xfId="1266"/>
    <cellStyle name="Note 2 7 2" xfId="1267"/>
    <cellStyle name="Note 2 8" xfId="1268"/>
    <cellStyle name="Note 2 8 2" xfId="1269"/>
    <cellStyle name="Note 3" xfId="415"/>
    <cellStyle name="Note 4" xfId="8977"/>
    <cellStyle name="Note 5" xfId="8978"/>
    <cellStyle name="Note 5 2" xfId="8979"/>
    <cellStyle name="Output 2" xfId="416"/>
    <cellStyle name="Output 2 2" xfId="496"/>
    <cellStyle name="Output 3" xfId="497"/>
    <cellStyle name="Percent" xfId="423" builtinId="5"/>
    <cellStyle name="Percent 2" xfId="256"/>
    <cellStyle name="Percent 2 10" xfId="257"/>
    <cellStyle name="Percent 2 2" xfId="258"/>
    <cellStyle name="Percent 2 2 2" xfId="259"/>
    <cellStyle name="Percent 2 2 2 2" xfId="260"/>
    <cellStyle name="Percent 2 2 2 2 2" xfId="1270"/>
    <cellStyle name="Percent 2 2 2 3" xfId="261"/>
    <cellStyle name="Percent 2 2 2 4" xfId="1271"/>
    <cellStyle name="Percent 2 2 3" xfId="262"/>
    <cellStyle name="Percent 2 2 3 2" xfId="1272"/>
    <cellStyle name="Percent 2 2 4" xfId="263"/>
    <cellStyle name="Percent 2 2 4 2" xfId="8980"/>
    <cellStyle name="Percent 2 2 5" xfId="8981"/>
    <cellStyle name="Percent 2 2 6" xfId="8982"/>
    <cellStyle name="Percent 2 2 7" xfId="8983"/>
    <cellStyle name="Percent 2 2 8" xfId="8984"/>
    <cellStyle name="Percent 2 3" xfId="4"/>
    <cellStyle name="Percent 2 3 2" xfId="264"/>
    <cellStyle name="Percent 2 3 2 10" xfId="1273"/>
    <cellStyle name="Percent 2 3 2 2" xfId="265"/>
    <cellStyle name="Percent 2 3 2 2 2" xfId="266"/>
    <cellStyle name="Percent 2 3 2 2 2 2" xfId="1274"/>
    <cellStyle name="Percent 2 3 2 2 2 2 2" xfId="1275"/>
    <cellStyle name="Percent 2 3 2 2 2 3" xfId="1276"/>
    <cellStyle name="Percent 2 3 2 2 2 3 2" xfId="1277"/>
    <cellStyle name="Percent 2 3 2 2 2 4" xfId="1278"/>
    <cellStyle name="Percent 2 3 2 2 3" xfId="1279"/>
    <cellStyle name="Percent 2 3 2 2 3 2" xfId="1280"/>
    <cellStyle name="Percent 2 3 2 2 4" xfId="1281"/>
    <cellStyle name="Percent 2 3 2 2 4 2" xfId="1282"/>
    <cellStyle name="Percent 2 3 2 2 5" xfId="1283"/>
    <cellStyle name="Percent 2 3 2 3" xfId="267"/>
    <cellStyle name="Percent 2 3 2 3 2" xfId="268"/>
    <cellStyle name="Percent 2 3 2 3 2 2" xfId="1284"/>
    <cellStyle name="Percent 2 3 2 3 2 2 2" xfId="1285"/>
    <cellStyle name="Percent 2 3 2 3 2 3" xfId="1286"/>
    <cellStyle name="Percent 2 3 2 3 2 3 2" xfId="1287"/>
    <cellStyle name="Percent 2 3 2 3 2 4" xfId="1288"/>
    <cellStyle name="Percent 2 3 2 3 3" xfId="1289"/>
    <cellStyle name="Percent 2 3 2 3 3 2" xfId="1290"/>
    <cellStyle name="Percent 2 3 2 3 4" xfId="1291"/>
    <cellStyle name="Percent 2 3 2 3 4 2" xfId="1292"/>
    <cellStyle name="Percent 2 3 2 3 5" xfId="1293"/>
    <cellStyle name="Percent 2 3 2 4" xfId="269"/>
    <cellStyle name="Percent 2 3 2 4 2" xfId="270"/>
    <cellStyle name="Percent 2 3 2 4 2 2" xfId="1294"/>
    <cellStyle name="Percent 2 3 2 4 2 2 2" xfId="1295"/>
    <cellStyle name="Percent 2 3 2 4 2 3" xfId="1296"/>
    <cellStyle name="Percent 2 3 2 4 2 3 2" xfId="1297"/>
    <cellStyle name="Percent 2 3 2 4 2 4" xfId="1298"/>
    <cellStyle name="Percent 2 3 2 4 3" xfId="1299"/>
    <cellStyle name="Percent 2 3 2 4 3 2" xfId="1300"/>
    <cellStyle name="Percent 2 3 2 4 4" xfId="1301"/>
    <cellStyle name="Percent 2 3 2 4 4 2" xfId="1302"/>
    <cellStyle name="Percent 2 3 2 4 5" xfId="1303"/>
    <cellStyle name="Percent 2 3 2 5" xfId="271"/>
    <cellStyle name="Percent 2 3 2 5 2" xfId="1304"/>
    <cellStyle name="Percent 2 3 2 5 2 2" xfId="1305"/>
    <cellStyle name="Percent 2 3 2 5 3" xfId="1306"/>
    <cellStyle name="Percent 2 3 2 5 3 2" xfId="1307"/>
    <cellStyle name="Percent 2 3 2 5 4" xfId="1308"/>
    <cellStyle name="Percent 2 3 2 6" xfId="272"/>
    <cellStyle name="Percent 2 3 2 6 2" xfId="1309"/>
    <cellStyle name="Percent 2 3 2 6 2 2" xfId="1310"/>
    <cellStyle name="Percent 2 3 2 6 3" xfId="1311"/>
    <cellStyle name="Percent 2 3 2 6 3 2" xfId="1312"/>
    <cellStyle name="Percent 2 3 2 6 4" xfId="1313"/>
    <cellStyle name="Percent 2 3 2 7" xfId="1314"/>
    <cellStyle name="Percent 2 3 2 7 2" xfId="1315"/>
    <cellStyle name="Percent 2 3 2 8" xfId="1316"/>
    <cellStyle name="Percent 2 3 2 8 2" xfId="1317"/>
    <cellStyle name="Percent 2 3 2 9" xfId="1318"/>
    <cellStyle name="Percent 2 3 3" xfId="498"/>
    <cellStyle name="Percent 2 4" xfId="273"/>
    <cellStyle name="Percent 2 4 2" xfId="274"/>
    <cellStyle name="Percent 2 4 2 2" xfId="1319"/>
    <cellStyle name="Percent 2 4 2 2 2" xfId="1320"/>
    <cellStyle name="Percent 2 4 2 3" xfId="1321"/>
    <cellStyle name="Percent 2 4 2 3 2" xfId="1322"/>
    <cellStyle name="Percent 2 4 2 4" xfId="1323"/>
    <cellStyle name="Percent 2 4 3" xfId="275"/>
    <cellStyle name="Percent 2 4 3 2" xfId="1324"/>
    <cellStyle name="Percent 2 4 3 2 2" xfId="1325"/>
    <cellStyle name="Percent 2 4 3 3" xfId="1326"/>
    <cellStyle name="Percent 2 4 3 3 2" xfId="1327"/>
    <cellStyle name="Percent 2 4 3 4" xfId="1328"/>
    <cellStyle name="Percent 2 5" xfId="276"/>
    <cellStyle name="Percent 2 5 2" xfId="277"/>
    <cellStyle name="Percent 2 5 2 2" xfId="1329"/>
    <cellStyle name="Percent 2 5 2 2 2" xfId="1330"/>
    <cellStyle name="Percent 2 5 2 3" xfId="1331"/>
    <cellStyle name="Percent 2 5 2 3 2" xfId="1332"/>
    <cellStyle name="Percent 2 5 2 4" xfId="1333"/>
    <cellStyle name="Percent 2 5 3" xfId="1334"/>
    <cellStyle name="Percent 2 5 3 2" xfId="1335"/>
    <cellStyle name="Percent 2 5 4" xfId="1336"/>
    <cellStyle name="Percent 2 5 4 2" xfId="1337"/>
    <cellStyle name="Percent 2 5 5" xfId="1338"/>
    <cellStyle name="Percent 2 6" xfId="278"/>
    <cellStyle name="Percent 2 6 2" xfId="279"/>
    <cellStyle name="Percent 2 6 2 2" xfId="1339"/>
    <cellStyle name="Percent 2 6 2 2 2" xfId="1340"/>
    <cellStyle name="Percent 2 6 2 3" xfId="1341"/>
    <cellStyle name="Percent 2 6 2 3 2" xfId="1342"/>
    <cellStyle name="Percent 2 6 2 4" xfId="1343"/>
    <cellStyle name="Percent 2 6 3" xfId="1344"/>
    <cellStyle name="Percent 2 6 3 2" xfId="1345"/>
    <cellStyle name="Percent 2 6 4" xfId="1346"/>
    <cellStyle name="Percent 2 6 4 2" xfId="1347"/>
    <cellStyle name="Percent 2 6 5" xfId="1348"/>
    <cellStyle name="Percent 2 7" xfId="280"/>
    <cellStyle name="Percent 2 7 2" xfId="281"/>
    <cellStyle name="Percent 2 7 2 2" xfId="1349"/>
    <cellStyle name="Percent 2 7 2 2 2" xfId="1350"/>
    <cellStyle name="Percent 2 7 2 3" xfId="1351"/>
    <cellStyle name="Percent 2 7 2 3 2" xfId="1352"/>
    <cellStyle name="Percent 2 7 2 4" xfId="1353"/>
    <cellStyle name="Percent 2 7 3" xfId="1354"/>
    <cellStyle name="Percent 2 7 3 2" xfId="1355"/>
    <cellStyle name="Percent 2 7 4" xfId="1356"/>
    <cellStyle name="Percent 2 7 4 2" xfId="1357"/>
    <cellStyle name="Percent 2 7 5" xfId="1358"/>
    <cellStyle name="Percent 2 8" xfId="282"/>
    <cellStyle name="Percent 2 8 2" xfId="1359"/>
    <cellStyle name="Percent 2 8 2 2" xfId="1360"/>
    <cellStyle name="Percent 2 8 3" xfId="1361"/>
    <cellStyle name="Percent 2 8 3 2" xfId="1362"/>
    <cellStyle name="Percent 2 8 4" xfId="1363"/>
    <cellStyle name="Percent 2 9" xfId="283"/>
    <cellStyle name="Percent 3" xfId="284"/>
    <cellStyle name="Percent 3 2" xfId="285"/>
    <cellStyle name="Percent 3 2 2" xfId="286"/>
    <cellStyle name="Percent 3 2 2 2" xfId="287"/>
    <cellStyle name="Percent 3 2 2 2 2" xfId="1364"/>
    <cellStyle name="Percent 3 2 2 2 2 2" xfId="1365"/>
    <cellStyle name="Percent 3 2 2 2 3" xfId="1366"/>
    <cellStyle name="Percent 3 2 2 2 3 2" xfId="1367"/>
    <cellStyle name="Percent 3 2 2 2 4" xfId="1368"/>
    <cellStyle name="Percent 3 2 2 2 5" xfId="1369"/>
    <cellStyle name="Percent 3 2 3" xfId="288"/>
    <cellStyle name="Percent 3 2 3 2" xfId="289"/>
    <cellStyle name="Percent 3 2 3 2 2" xfId="1370"/>
    <cellStyle name="Percent 3 2 3 2 2 2" xfId="1371"/>
    <cellStyle name="Percent 3 2 3 2 3" xfId="1372"/>
    <cellStyle name="Percent 3 2 3 2 3 2" xfId="1373"/>
    <cellStyle name="Percent 3 2 3 2 4" xfId="1374"/>
    <cellStyle name="Percent 3 2 3 3" xfId="1375"/>
    <cellStyle name="Percent 3 2 3 3 2" xfId="1376"/>
    <cellStyle name="Percent 3 2 3 4" xfId="1377"/>
    <cellStyle name="Percent 3 2 3 4 2" xfId="1378"/>
    <cellStyle name="Percent 3 2 3 5" xfId="1379"/>
    <cellStyle name="Percent 3 2 3 6" xfId="1380"/>
    <cellStyle name="Percent 3 2 4" xfId="290"/>
    <cellStyle name="Percent 3 2 4 2" xfId="291"/>
    <cellStyle name="Percent 3 2 4 2 2" xfId="1381"/>
    <cellStyle name="Percent 3 2 4 2 2 2" xfId="1382"/>
    <cellStyle name="Percent 3 2 4 2 3" xfId="1383"/>
    <cellStyle name="Percent 3 2 4 2 3 2" xfId="1384"/>
    <cellStyle name="Percent 3 2 4 2 4" xfId="1385"/>
    <cellStyle name="Percent 3 2 4 3" xfId="1386"/>
    <cellStyle name="Percent 3 2 4 3 2" xfId="1387"/>
    <cellStyle name="Percent 3 2 4 4" xfId="1388"/>
    <cellStyle name="Percent 3 2 4 4 2" xfId="1389"/>
    <cellStyle name="Percent 3 2 4 5" xfId="1390"/>
    <cellStyle name="Percent 3 2 5" xfId="292"/>
    <cellStyle name="Percent 3 2 5 2" xfId="293"/>
    <cellStyle name="Percent 3 2 5 2 2" xfId="1391"/>
    <cellStyle name="Percent 3 2 5 2 2 2" xfId="1392"/>
    <cellStyle name="Percent 3 2 5 2 3" xfId="1393"/>
    <cellStyle name="Percent 3 2 5 2 3 2" xfId="1394"/>
    <cellStyle name="Percent 3 2 5 2 4" xfId="1395"/>
    <cellStyle name="Percent 3 2 5 3" xfId="1396"/>
    <cellStyle name="Percent 3 2 5 3 2" xfId="1397"/>
    <cellStyle name="Percent 3 2 5 4" xfId="1398"/>
    <cellStyle name="Percent 3 2 5 4 2" xfId="1399"/>
    <cellStyle name="Percent 3 2 5 5" xfId="1400"/>
    <cellStyle name="Percent 3 2 6" xfId="294"/>
    <cellStyle name="Percent 3 2 7" xfId="295"/>
    <cellStyle name="Percent 3 2 7 2" xfId="1401"/>
    <cellStyle name="Percent 3 2 7 2 2" xfId="1402"/>
    <cellStyle name="Percent 3 2 7 3" xfId="1403"/>
    <cellStyle name="Percent 3 2 7 3 2" xfId="1404"/>
    <cellStyle name="Percent 3 2 7 4" xfId="1405"/>
    <cellStyle name="Percent 3 2 8" xfId="296"/>
    <cellStyle name="Percent 3 2 9" xfId="1406"/>
    <cellStyle name="Percent 3 3" xfId="297"/>
    <cellStyle name="Percent 3 3 2" xfId="1407"/>
    <cellStyle name="Percent 3 4" xfId="298"/>
    <cellStyle name="Percent 3 4 2" xfId="8985"/>
    <cellStyle name="Percent 3 5" xfId="299"/>
    <cellStyle name="Percent 3 6" xfId="1408"/>
    <cellStyle name="Percent 4" xfId="300"/>
    <cellStyle name="Percent 4 2" xfId="301"/>
    <cellStyle name="Percent 4 2 2" xfId="302"/>
    <cellStyle name="Percent 4 3" xfId="303"/>
    <cellStyle name="Percent 4 4" xfId="8986"/>
    <cellStyle name="Percent 4 4 2" xfId="8987"/>
    <cellStyle name="Percent 4 5" xfId="8988"/>
    <cellStyle name="Percent 5" xfId="304"/>
    <cellStyle name="Percent 5 2" xfId="305"/>
    <cellStyle name="Percent 5 3" xfId="8989"/>
    <cellStyle name="Percent 6" xfId="306"/>
    <cellStyle name="Percent 6 2" xfId="417"/>
    <cellStyle name="Percent 6 3" xfId="8990"/>
    <cellStyle name="Percent 7" xfId="307"/>
    <cellStyle name="Percent 8" xfId="308"/>
    <cellStyle name="Percent 9" xfId="1409"/>
    <cellStyle name="Sheet Title" xfId="418"/>
    <cellStyle name="Style 1" xfId="309"/>
    <cellStyle name="Style 1 2" xfId="419"/>
    <cellStyle name="Style 28" xfId="499"/>
    <cellStyle name="Title 2" xfId="420"/>
    <cellStyle name="Title 2 2" xfId="500"/>
    <cellStyle name="Title 3" xfId="501"/>
    <cellStyle name="Total 2" xfId="421"/>
    <cellStyle name="Total 2 2" xfId="502"/>
    <cellStyle name="Total 3" xfId="503"/>
    <cellStyle name="Warning Text 2" xfId="422"/>
    <cellStyle name="Warning Text 3" xfId="504"/>
    <cellStyle name="표준 2_WP-1 보고자료 (2009.06.03)" xfId="505"/>
    <cellStyle name="표준_ENERGY CONSUMP" xfId="310"/>
    <cellStyle name="常规_海外市场服务网站资料操作BOM" xfId="311"/>
  </cellStyles>
  <dxfs count="2">
    <dxf>
      <fill>
        <patternFill>
          <bgColor rgb="FFFFFF00"/>
        </patternFill>
      </fill>
    </dxf>
    <dxf>
      <fill>
        <patternFill>
          <bgColor rgb="FFFFC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504825</xdr:colOff>
      <xdr:row>2</xdr:row>
      <xdr:rowOff>104775</xdr:rowOff>
    </xdr:from>
    <xdr:to>
      <xdr:col>22</xdr:col>
      <xdr:colOff>19050</xdr:colOff>
      <xdr:row>21</xdr:row>
      <xdr:rowOff>95250</xdr:rowOff>
    </xdr:to>
    <xdr:pic>
      <xdr:nvPicPr>
        <xdr:cNvPr id="2355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162425" y="428625"/>
          <a:ext cx="9267825" cy="3067050"/>
        </a:xfrm>
        <a:prstGeom prst="rect">
          <a:avLst/>
        </a:prstGeom>
        <a:noFill/>
        <a:ln w="1">
          <a:noFill/>
          <a:miter lim="800000"/>
          <a:headEnd/>
          <a:tailEnd type="none" w="med" len="med"/>
        </a:ln>
        <a:effectLst/>
      </xdr:spPr>
    </xdr:pic>
    <xdr:clientData/>
  </xdr:twoCellAnchor>
  <xdr:twoCellAnchor editAs="oneCell">
    <xdr:from>
      <xdr:col>7</xdr:col>
      <xdr:colOff>361950</xdr:colOff>
      <xdr:row>24</xdr:row>
      <xdr:rowOff>152400</xdr:rowOff>
    </xdr:from>
    <xdr:to>
      <xdr:col>20</xdr:col>
      <xdr:colOff>57150</xdr:colOff>
      <xdr:row>39</xdr:row>
      <xdr:rowOff>76200</xdr:rowOff>
    </xdr:to>
    <xdr:pic>
      <xdr:nvPicPr>
        <xdr:cNvPr id="2355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629150" y="4038600"/>
          <a:ext cx="7620000" cy="23526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276225</xdr:colOff>
      <xdr:row>4</xdr:row>
      <xdr:rowOff>85725</xdr:rowOff>
    </xdr:from>
    <xdr:to>
      <xdr:col>21</xdr:col>
      <xdr:colOff>218320</xdr:colOff>
      <xdr:row>32</xdr:row>
      <xdr:rowOff>46977</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9372600" y="1752600"/>
          <a:ext cx="6038095" cy="4857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352425</xdr:colOff>
      <xdr:row>42</xdr:row>
      <xdr:rowOff>28575</xdr:rowOff>
    </xdr:from>
    <xdr:to>
      <xdr:col>22</xdr:col>
      <xdr:colOff>475283</xdr:colOff>
      <xdr:row>66</xdr:row>
      <xdr:rowOff>154784</xdr:rowOff>
    </xdr:to>
    <xdr:pic>
      <xdr:nvPicPr>
        <xdr:cNvPr id="2" name="Picture 1"/>
        <xdr:cNvPicPr>
          <a:picLocks noChangeAspect="1"/>
        </xdr:cNvPicPr>
      </xdr:nvPicPr>
      <xdr:blipFill rotWithShape="1">
        <a:blip xmlns:r="http://schemas.openxmlformats.org/officeDocument/2006/relationships" r:embed="rId1" cstate="print"/>
        <a:srcRect l="6701" t="42303" r="19671"/>
        <a:stretch/>
      </xdr:blipFill>
      <xdr:spPr>
        <a:xfrm>
          <a:off x="7934325" y="7296150"/>
          <a:ext cx="6828458" cy="48220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37</xdr:row>
      <xdr:rowOff>123825</xdr:rowOff>
    </xdr:from>
    <xdr:to>
      <xdr:col>5</xdr:col>
      <xdr:colOff>117964</xdr:colOff>
      <xdr:row>44</xdr:row>
      <xdr:rowOff>437826</xdr:rowOff>
    </xdr:to>
    <xdr:pic>
      <xdr:nvPicPr>
        <xdr:cNvPr id="2" name="Picture 316"/>
        <xdr:cNvPicPr>
          <a:picLocks noChangeAspect="1" noChangeArrowheads="1"/>
        </xdr:cNvPicPr>
      </xdr:nvPicPr>
      <xdr:blipFill>
        <a:blip xmlns:r="http://schemas.openxmlformats.org/officeDocument/2006/relationships" r:embed="rId1" cstate="print"/>
        <a:srcRect l="13345" t="24524" r="10550"/>
        <a:stretch>
          <a:fillRect/>
        </a:stretch>
      </xdr:blipFill>
      <xdr:spPr bwMode="auto">
        <a:xfrm>
          <a:off x="1866900" y="8772525"/>
          <a:ext cx="3575539" cy="2733351"/>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400050</xdr:colOff>
      <xdr:row>8</xdr:row>
      <xdr:rowOff>28575</xdr:rowOff>
    </xdr:to>
    <xdr:pic>
      <xdr:nvPicPr>
        <xdr:cNvPr id="2457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753600" cy="166687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 val="7P Forecasts D2"/>
      <sheetName val="Pop Forecast (High Case)"/>
      <sheetName val="Pop Forecast (Low Case)"/>
    </sheetNames>
    <sheetDataSet>
      <sheetData sheetId="0"/>
      <sheetData sheetId="1">
        <row r="3">
          <cell r="H3" t="str">
            <v>Base</v>
          </cell>
        </row>
      </sheetData>
      <sheetData sheetId="2"/>
      <sheetData sheetId="3"/>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row>
        <row r="23">
          <cell r="D23" t="str">
            <v>WASHINGTON</v>
          </cell>
          <cell r="E23"/>
          <cell r="F23"/>
          <cell r="G23"/>
          <cell r="BD23"/>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row>
        <row r="33">
          <cell r="D33" t="str">
            <v>IDAHO</v>
          </cell>
          <cell r="E33"/>
          <cell r="F33"/>
          <cell r="G33"/>
          <cell r="BD33"/>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row>
        <row r="43">
          <cell r="D43" t="str">
            <v>MONTANA</v>
          </cell>
          <cell r="E43">
            <v>0.56999999999999995</v>
          </cell>
          <cell r="F43" t="str">
            <v>Western MT portion of state</v>
          </cell>
          <cell r="G43"/>
          <cell r="BD43"/>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cell r="F53"/>
          <cell r="G53"/>
          <cell r="BD53"/>
        </row>
        <row r="54">
          <cell r="C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C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C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C58"/>
          <cell r="D58" t="str">
            <v>Single Family</v>
          </cell>
          <cell r="E58" t="str">
            <v>Existing</v>
          </cell>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C59"/>
          <cell r="D59" t="str">
            <v>Multifamily - Low Rise</v>
          </cell>
          <cell r="E59" t="str">
            <v>Existing</v>
          </cell>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C61"/>
          <cell r="D61" t="str">
            <v>Manufactured</v>
          </cell>
          <cell r="E61" t="str">
            <v>Existing</v>
          </cell>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energystar.gov/index.cfm?c=cfls.pr_crit_cfl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bpa.gov/energy/n/reports/evaluation/pdf/Residential_CFL_Final.pdf" TargetMode="External"/><Relationship Id="rId2" Type="http://schemas.openxmlformats.org/officeDocument/2006/relationships/hyperlink" Target="http://neea.org/docs/default-source/reports/residential-building-stock-assessment-single-family-characteristics-and-energy-use.pdf?sfvrsn=10" TargetMode="External"/><Relationship Id="rId1" Type="http://schemas.openxmlformats.org/officeDocument/2006/relationships/hyperlink" Target="http://neea.org/docs/reports/energy-star-consumer-products-market-progress-evaluation-report-e07-174.pdf?sfvrsn=7" TargetMode="External"/><Relationship Id="rId5" Type="http://schemas.openxmlformats.org/officeDocument/2006/relationships/drawing" Target="../drawings/drawing4.xml"/><Relationship Id="rId4" Type="http://schemas.openxmlformats.org/officeDocument/2006/relationships/hyperlink" Target="http://neea.org/docs/default-source/reports/2012-2013-northwest-residential-lighting-market-tracking-study.pdf?sfvrsn=10" TargetMode="External"/></Relationships>
</file>

<file path=xl/worksheets/sheet1.xml><?xml version="1.0" encoding="utf-8"?>
<worksheet xmlns="http://schemas.openxmlformats.org/spreadsheetml/2006/main" xmlns:r="http://schemas.openxmlformats.org/officeDocument/2006/relationships">
  <dimension ref="B2:F19"/>
  <sheetViews>
    <sheetView workbookViewId="0">
      <selection activeCell="F39" sqref="F39"/>
    </sheetView>
  </sheetViews>
  <sheetFormatPr defaultRowHeight="12.75"/>
  <cols>
    <col min="2" max="2" width="54.140625" customWidth="1"/>
  </cols>
  <sheetData>
    <row r="2" spans="2:6">
      <c r="B2" t="s">
        <v>354</v>
      </c>
      <c r="C2" t="s">
        <v>99</v>
      </c>
      <c r="E2" t="s">
        <v>357</v>
      </c>
    </row>
    <row r="3" spans="2:6">
      <c r="B3" s="16" t="s">
        <v>339</v>
      </c>
      <c r="C3" s="314">
        <f>'Summary Tables'!H49</f>
        <v>8.1081096380314688E-2</v>
      </c>
      <c r="D3" s="314"/>
      <c r="E3" s="337">
        <v>14.586273128172119</v>
      </c>
      <c r="F3" s="314"/>
    </row>
    <row r="4" spans="2:6">
      <c r="B4" s="16" t="s">
        <v>340</v>
      </c>
      <c r="C4" s="314">
        <f>'Summary Tables'!H50</f>
        <v>2.2238302428260096E-2</v>
      </c>
      <c r="D4" s="314"/>
      <c r="E4" s="337">
        <v>26.421082363791715</v>
      </c>
      <c r="F4" s="314"/>
    </row>
    <row r="5" spans="2:6">
      <c r="B5" s="16" t="s">
        <v>341</v>
      </c>
      <c r="C5" s="314">
        <f>'Summary Tables'!H51</f>
        <v>4.3690429447174121E-4</v>
      </c>
      <c r="D5" s="314"/>
      <c r="E5" s="337">
        <v>22.965427755930161</v>
      </c>
      <c r="F5" s="314"/>
    </row>
    <row r="6" spans="2:6">
      <c r="B6" s="16" t="s">
        <v>342</v>
      </c>
      <c r="C6" s="314">
        <f>'Summary Tables'!H52</f>
        <v>6.7706707657562287E-2</v>
      </c>
      <c r="D6" s="315"/>
      <c r="E6" s="337">
        <v>1.786930875529545</v>
      </c>
      <c r="F6" s="315"/>
    </row>
    <row r="7" spans="2:6">
      <c r="B7" s="16" t="s">
        <v>343</v>
      </c>
      <c r="C7" s="314">
        <f>'Summary Tables'!H53</f>
        <v>0.52245631623218058</v>
      </c>
      <c r="D7" s="315"/>
      <c r="E7" s="337">
        <v>6.9745193151439029</v>
      </c>
      <c r="F7" s="315"/>
    </row>
    <row r="8" spans="2:6">
      <c r="B8" s="16" t="s">
        <v>344</v>
      </c>
      <c r="C8" s="314">
        <f>'Summary Tables'!H54</f>
        <v>5.2089564583772424E-2</v>
      </c>
      <c r="D8" s="315"/>
      <c r="E8" s="337">
        <v>13.031573228896434</v>
      </c>
      <c r="F8" s="315"/>
    </row>
    <row r="9" spans="2:6">
      <c r="B9" s="16" t="s">
        <v>345</v>
      </c>
      <c r="C9" s="314">
        <f>'Summary Tables'!H55</f>
        <v>4.4519699203299436E-2</v>
      </c>
      <c r="D9" s="314"/>
      <c r="E9" s="337">
        <v>9.5276209768126652</v>
      </c>
      <c r="F9" s="314"/>
    </row>
    <row r="10" spans="2:6">
      <c r="B10" s="16" t="s">
        <v>346</v>
      </c>
      <c r="C10" s="314">
        <f>'Summary Tables'!H56</f>
        <v>2.7146974784998612E-2</v>
      </c>
      <c r="D10" s="314"/>
      <c r="E10" s="337">
        <v>13.284196599978246</v>
      </c>
      <c r="F10" s="314"/>
    </row>
    <row r="11" spans="2:6">
      <c r="B11" s="16" t="s">
        <v>347</v>
      </c>
      <c r="C11" s="314">
        <f>'Summary Tables'!H57</f>
        <v>2.0455466875122243E-3</v>
      </c>
      <c r="D11" s="314"/>
      <c r="E11" s="337">
        <v>31.047305266523942</v>
      </c>
      <c r="F11" s="314"/>
    </row>
    <row r="12" spans="2:6">
      <c r="B12" s="16" t="s">
        <v>348</v>
      </c>
      <c r="C12" s="314">
        <f>'Summary Tables'!H58</f>
        <v>1.4160782440713806E-2</v>
      </c>
      <c r="D12" s="314"/>
      <c r="E12" s="337">
        <v>17.834555869383941</v>
      </c>
      <c r="F12" s="314"/>
    </row>
    <row r="13" spans="2:6">
      <c r="B13" s="16" t="s">
        <v>349</v>
      </c>
      <c r="C13" s="314">
        <f>'Summary Tables'!H59</f>
        <v>0.14309044911569505</v>
      </c>
      <c r="D13" s="314"/>
      <c r="E13" s="337">
        <v>30.760348216951932</v>
      </c>
      <c r="F13" s="314"/>
    </row>
    <row r="14" spans="2:6">
      <c r="B14" s="16" t="s">
        <v>350</v>
      </c>
      <c r="C14" s="314">
        <f>'Summary Tables'!H60</f>
        <v>1.1758790054771059E-2</v>
      </c>
      <c r="D14" s="314"/>
      <c r="E14" s="337">
        <v>70.63583297352767</v>
      </c>
      <c r="F14" s="314"/>
    </row>
    <row r="15" spans="2:6">
      <c r="B15" s="16" t="s">
        <v>351</v>
      </c>
      <c r="C15" s="314">
        <f>'Summary Tables'!H61</f>
        <v>1.8451136646785988E-4</v>
      </c>
      <c r="D15" s="314"/>
      <c r="E15" s="337">
        <v>15.966949235764652</v>
      </c>
      <c r="F15" s="314"/>
    </row>
    <row r="16" spans="2:6">
      <c r="B16" s="16" t="s">
        <v>352</v>
      </c>
      <c r="C16" s="314">
        <f>'Summary Tables'!H62</f>
        <v>2.2775014342185534E-3</v>
      </c>
      <c r="D16" s="314"/>
      <c r="E16" s="337">
        <v>27.768118813395134</v>
      </c>
      <c r="F16" s="314"/>
    </row>
    <row r="17" spans="2:6">
      <c r="B17" s="16" t="s">
        <v>353</v>
      </c>
      <c r="C17" s="314">
        <f>'Summary Tables'!H63</f>
        <v>8.8068533357615695E-3</v>
      </c>
      <c r="D17" s="314"/>
      <c r="E17" s="337">
        <v>60.368172650236723</v>
      </c>
      <c r="F17" s="314"/>
    </row>
    <row r="19" spans="2:6">
      <c r="C19" s="315">
        <f>SUM(C3:C17)</f>
        <v>1.0000000000000002</v>
      </c>
      <c r="E19">
        <f>SUMPRODUCT(E3:E17,C3:C17)</f>
        <v>13.154740758551007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3:S59"/>
  <sheetViews>
    <sheetView topLeftCell="A9" workbookViewId="0">
      <selection activeCell="S28" sqref="S28"/>
    </sheetView>
  </sheetViews>
  <sheetFormatPr defaultRowHeight="12.75"/>
  <cols>
    <col min="1" max="1" width="21.42578125" customWidth="1"/>
    <col min="16" max="16" width="21.140625" customWidth="1"/>
    <col min="17" max="17" width="32.140625" customWidth="1"/>
    <col min="28" max="28" width="15.7109375" customWidth="1"/>
  </cols>
  <sheetData>
    <row r="3" spans="1:19">
      <c r="Q3" t="s">
        <v>381</v>
      </c>
    </row>
    <row r="4" spans="1:19">
      <c r="Q4" t="s">
        <v>382</v>
      </c>
    </row>
    <row r="6" spans="1:19">
      <c r="P6" t="s">
        <v>394</v>
      </c>
    </row>
    <row r="7" spans="1:19">
      <c r="P7" t="s">
        <v>385</v>
      </c>
      <c r="Q7" t="s">
        <v>395</v>
      </c>
    </row>
    <row r="8" spans="1:19" ht="15" thickBot="1">
      <c r="P8" s="40" t="s">
        <v>30</v>
      </c>
      <c r="Q8" s="341" t="s">
        <v>363</v>
      </c>
    </row>
    <row r="9" spans="1:19" ht="15" thickBot="1">
      <c r="P9" s="40" t="s">
        <v>33</v>
      </c>
      <c r="Q9" s="341" t="s">
        <v>362</v>
      </c>
      <c r="R9" s="341" t="s">
        <v>361</v>
      </c>
    </row>
    <row r="10" spans="1:19" ht="15.75" thickBot="1">
      <c r="A10" s="338"/>
      <c r="P10" s="40" t="s">
        <v>35</v>
      </c>
      <c r="Q10" s="341" t="s">
        <v>360</v>
      </c>
    </row>
    <row r="11" spans="1:19" ht="15.75" thickBot="1">
      <c r="A11" s="338"/>
    </row>
    <row r="12" spans="1:19" ht="15" thickBot="1">
      <c r="A12" s="430" t="s">
        <v>358</v>
      </c>
      <c r="B12" s="431"/>
      <c r="C12" s="431"/>
      <c r="D12" s="431"/>
      <c r="E12" s="431"/>
      <c r="F12" s="431"/>
      <c r="G12" s="431"/>
      <c r="H12" s="431"/>
      <c r="I12" s="432"/>
      <c r="J12" s="339"/>
      <c r="K12" s="339"/>
    </row>
    <row r="13" spans="1:19" ht="15" thickBot="1">
      <c r="A13" s="340" t="s">
        <v>359</v>
      </c>
      <c r="B13" s="341" t="s">
        <v>360</v>
      </c>
      <c r="C13" s="341" t="s">
        <v>361</v>
      </c>
      <c r="D13" s="341" t="s">
        <v>362</v>
      </c>
      <c r="E13" s="341" t="s">
        <v>363</v>
      </c>
      <c r="F13" s="341" t="s">
        <v>364</v>
      </c>
      <c r="G13" s="341" t="s">
        <v>365</v>
      </c>
      <c r="H13" s="341" t="s">
        <v>366</v>
      </c>
      <c r="I13" s="341" t="s">
        <v>367</v>
      </c>
      <c r="J13" s="342"/>
      <c r="K13" s="342"/>
    </row>
    <row r="14" spans="1:19" ht="15" thickBot="1">
      <c r="A14" s="340" t="s">
        <v>368</v>
      </c>
      <c r="B14" s="343">
        <v>37</v>
      </c>
      <c r="C14" s="344">
        <v>39</v>
      </c>
      <c r="D14" s="343">
        <v>23</v>
      </c>
      <c r="E14" s="343">
        <v>30</v>
      </c>
      <c r="F14" s="343">
        <v>27</v>
      </c>
      <c r="G14" s="343">
        <v>173</v>
      </c>
      <c r="H14" s="343">
        <v>91</v>
      </c>
      <c r="I14" s="343">
        <v>62</v>
      </c>
      <c r="J14" s="342"/>
      <c r="K14" s="342"/>
      <c r="R14" t="s">
        <v>385</v>
      </c>
      <c r="S14" t="s">
        <v>386</v>
      </c>
    </row>
    <row r="15" spans="1:19" ht="15" thickBot="1">
      <c r="A15" s="340" t="s">
        <v>369</v>
      </c>
      <c r="B15" s="343">
        <v>37</v>
      </c>
      <c r="C15" s="344">
        <v>84</v>
      </c>
      <c r="D15" s="343">
        <v>23</v>
      </c>
      <c r="E15" s="343">
        <v>37</v>
      </c>
      <c r="F15" s="343">
        <v>21</v>
      </c>
      <c r="G15" s="343">
        <v>60</v>
      </c>
      <c r="H15" s="343" t="s">
        <v>370</v>
      </c>
      <c r="I15" s="343">
        <v>21</v>
      </c>
      <c r="J15" s="342"/>
      <c r="K15" s="342"/>
      <c r="P15" s="56" t="s">
        <v>25</v>
      </c>
      <c r="Q15" s="56" t="s">
        <v>46</v>
      </c>
      <c r="R15" s="56" t="s">
        <v>101</v>
      </c>
    </row>
    <row r="16" spans="1:19" ht="15" thickBot="1">
      <c r="A16" s="340" t="s">
        <v>179</v>
      </c>
      <c r="B16" s="343">
        <v>92</v>
      </c>
      <c r="C16" s="343">
        <v>40</v>
      </c>
      <c r="D16" s="343">
        <v>31</v>
      </c>
      <c r="E16" s="344">
        <v>38</v>
      </c>
      <c r="F16" s="343">
        <v>30</v>
      </c>
      <c r="G16" s="343" t="s">
        <v>370</v>
      </c>
      <c r="H16" s="343" t="s">
        <v>370</v>
      </c>
      <c r="I16" s="343">
        <v>85</v>
      </c>
      <c r="J16" s="342"/>
      <c r="K16" s="342"/>
      <c r="P16" s="93" t="s">
        <v>29</v>
      </c>
      <c r="Q16" s="93" t="s">
        <v>30</v>
      </c>
      <c r="R16" s="95">
        <v>30.293604175298391</v>
      </c>
      <c r="S16" s="87">
        <f>E15</f>
        <v>37</v>
      </c>
    </row>
    <row r="17" spans="1:19" ht="14.25">
      <c r="A17" s="342"/>
      <c r="B17" s="342"/>
      <c r="C17" s="342"/>
      <c r="D17" s="342"/>
      <c r="E17" s="342"/>
      <c r="F17" s="342"/>
      <c r="G17" s="342"/>
      <c r="H17" s="342"/>
      <c r="I17" s="342"/>
      <c r="J17" s="342"/>
      <c r="K17" s="342"/>
      <c r="P17" s="93" t="s">
        <v>29</v>
      </c>
      <c r="Q17" s="93" t="s">
        <v>33</v>
      </c>
      <c r="R17" s="95">
        <v>49.93809837039052</v>
      </c>
      <c r="S17" s="87">
        <f>(D15*H53)+(C15*H52)</f>
        <v>31.100271002710024</v>
      </c>
    </row>
    <row r="18" spans="1:19">
      <c r="A18" s="433" t="s">
        <v>371</v>
      </c>
      <c r="B18" s="433"/>
      <c r="C18" s="435"/>
      <c r="D18" s="435"/>
      <c r="E18" s="435"/>
      <c r="F18" s="435"/>
      <c r="G18" s="435"/>
      <c r="H18" s="435"/>
      <c r="I18" s="435"/>
      <c r="J18" s="435"/>
      <c r="K18" s="435"/>
      <c r="P18" s="93" t="s">
        <v>29</v>
      </c>
      <c r="Q18" s="93" t="s">
        <v>35</v>
      </c>
      <c r="R18" s="95">
        <v>65.288335524774709</v>
      </c>
      <c r="S18" s="87">
        <f>B15</f>
        <v>37</v>
      </c>
    </row>
    <row r="19" spans="1:19" ht="13.5" thickBot="1">
      <c r="A19" s="434"/>
      <c r="B19" s="434"/>
      <c r="C19" s="436"/>
      <c r="D19" s="436"/>
      <c r="E19" s="436"/>
      <c r="F19" s="436"/>
      <c r="G19" s="436"/>
      <c r="H19" s="436"/>
      <c r="I19" s="436"/>
      <c r="J19" s="436"/>
      <c r="K19" s="436"/>
      <c r="P19" s="93" t="s">
        <v>32</v>
      </c>
      <c r="Q19" s="93" t="str">
        <f>Q16</f>
        <v>250 to 664 lumens</v>
      </c>
      <c r="R19" s="95">
        <v>26.990239958864436</v>
      </c>
      <c r="S19" s="87">
        <f>E14</f>
        <v>30</v>
      </c>
    </row>
    <row r="20" spans="1:19" ht="15" thickBot="1">
      <c r="A20" s="437" t="s">
        <v>368</v>
      </c>
      <c r="B20" s="438"/>
      <c r="C20" s="438"/>
      <c r="D20" s="438"/>
      <c r="E20" s="438"/>
      <c r="F20" s="438"/>
      <c r="G20" s="438"/>
      <c r="H20" s="438"/>
      <c r="I20" s="438"/>
      <c r="J20" s="438"/>
      <c r="K20" s="439"/>
      <c r="P20" s="93" t="s">
        <v>32</v>
      </c>
      <c r="Q20" s="93" t="str">
        <f t="shared" ref="Q20:Q30" si="0">Q17</f>
        <v>665 to 1439 lumens</v>
      </c>
      <c r="R20" s="95">
        <v>31.966570701812959</v>
      </c>
      <c r="S20" s="87">
        <f>D14*I53+C14*I52</f>
        <v>28.108457226419695</v>
      </c>
    </row>
    <row r="21" spans="1:19" ht="15" thickBot="1">
      <c r="A21" s="345" t="s">
        <v>119</v>
      </c>
      <c r="B21" s="346" t="s">
        <v>360</v>
      </c>
      <c r="C21" s="346" t="s">
        <v>361</v>
      </c>
      <c r="D21" s="346" t="s">
        <v>362</v>
      </c>
      <c r="E21" s="346" t="s">
        <v>363</v>
      </c>
      <c r="F21" s="347" t="s">
        <v>372</v>
      </c>
      <c r="G21" s="347" t="s">
        <v>373</v>
      </c>
      <c r="H21" s="347" t="s">
        <v>366</v>
      </c>
      <c r="I21" s="347" t="s">
        <v>374</v>
      </c>
      <c r="J21" s="347" t="s">
        <v>375</v>
      </c>
      <c r="K21" s="347" t="s">
        <v>376</v>
      </c>
      <c r="P21" s="93" t="s">
        <v>32</v>
      </c>
      <c r="Q21" s="93" t="str">
        <f t="shared" si="0"/>
        <v>1440 to 2600 lumens</v>
      </c>
      <c r="R21" s="95">
        <v>55.043951003536229</v>
      </c>
      <c r="S21" s="87">
        <f>B14</f>
        <v>37</v>
      </c>
    </row>
    <row r="22" spans="1:19" ht="17.25" thickBot="1">
      <c r="A22" s="348" t="s">
        <v>377</v>
      </c>
      <c r="B22" s="349">
        <v>0.62</v>
      </c>
      <c r="C22" s="349">
        <v>0.38</v>
      </c>
      <c r="D22" s="349">
        <v>0.52</v>
      </c>
      <c r="E22" s="349">
        <v>0.15</v>
      </c>
      <c r="F22" s="349">
        <v>0.06</v>
      </c>
      <c r="G22" s="349">
        <v>0.15</v>
      </c>
      <c r="H22" s="349">
        <v>0.11</v>
      </c>
      <c r="I22" s="349">
        <v>0.19</v>
      </c>
      <c r="J22" s="350">
        <v>0.39</v>
      </c>
      <c r="K22" s="350">
        <v>0.35</v>
      </c>
      <c r="P22" s="93" t="s">
        <v>34</v>
      </c>
      <c r="Q22" s="93" t="str">
        <f t="shared" si="0"/>
        <v>250 to 664 lumens</v>
      </c>
      <c r="R22" s="95">
        <v>27.628408307061477</v>
      </c>
      <c r="S22" s="87">
        <f>S16</f>
        <v>37</v>
      </c>
    </row>
    <row r="23" spans="1:19" ht="17.25" thickBot="1">
      <c r="A23" s="348" t="s">
        <v>378</v>
      </c>
      <c r="B23" s="349">
        <v>0.31</v>
      </c>
      <c r="C23" s="349">
        <v>0.51</v>
      </c>
      <c r="D23" s="349">
        <v>0.28000000000000003</v>
      </c>
      <c r="E23" s="349">
        <v>0.38</v>
      </c>
      <c r="F23" s="349">
        <v>0.05</v>
      </c>
      <c r="G23" s="349">
        <v>0</v>
      </c>
      <c r="H23" s="349">
        <v>0.05</v>
      </c>
      <c r="I23" s="349">
        <v>0.01</v>
      </c>
      <c r="J23" s="350">
        <v>0.35</v>
      </c>
      <c r="K23" s="350">
        <v>0.31</v>
      </c>
      <c r="P23" s="93" t="s">
        <v>34</v>
      </c>
      <c r="Q23" s="93" t="str">
        <f t="shared" si="0"/>
        <v>665 to 1439 lumens</v>
      </c>
      <c r="R23" s="95">
        <v>38.693179151043701</v>
      </c>
      <c r="S23" s="87">
        <f>S17</f>
        <v>31.100271002710024</v>
      </c>
    </row>
    <row r="24" spans="1:19" ht="17.25" thickBot="1">
      <c r="A24" s="348" t="s">
        <v>379</v>
      </c>
      <c r="B24" s="349">
        <v>0.02</v>
      </c>
      <c r="C24" s="349">
        <v>0.06</v>
      </c>
      <c r="D24" s="349">
        <v>7.0000000000000007E-2</v>
      </c>
      <c r="E24" s="349">
        <v>0.35</v>
      </c>
      <c r="F24" s="349">
        <v>0.81</v>
      </c>
      <c r="G24" s="349">
        <v>0.85</v>
      </c>
      <c r="H24" s="349">
        <v>0.82</v>
      </c>
      <c r="I24" s="349">
        <v>0.67</v>
      </c>
      <c r="J24" s="350">
        <v>0.15</v>
      </c>
      <c r="K24" s="350">
        <v>0.25</v>
      </c>
      <c r="P24" s="93" t="s">
        <v>34</v>
      </c>
      <c r="Q24" s="93" t="str">
        <f t="shared" si="0"/>
        <v>1440 to 2600 lumens</v>
      </c>
      <c r="R24" s="95">
        <v>68.147315547336973</v>
      </c>
      <c r="S24" s="87">
        <f>S18</f>
        <v>37</v>
      </c>
    </row>
    <row r="25" spans="1:19" ht="17.25" thickBot="1">
      <c r="A25" s="351" t="s">
        <v>1</v>
      </c>
      <c r="B25" s="352">
        <v>0.05</v>
      </c>
      <c r="C25" s="352">
        <v>0.05</v>
      </c>
      <c r="D25" s="352">
        <v>0.13</v>
      </c>
      <c r="E25" s="352">
        <v>0.12</v>
      </c>
      <c r="F25" s="352">
        <v>0.08</v>
      </c>
      <c r="G25" s="352">
        <v>0</v>
      </c>
      <c r="H25" s="352">
        <v>0.02</v>
      </c>
      <c r="I25" s="352">
        <v>0.12</v>
      </c>
      <c r="J25" s="353">
        <v>0.1</v>
      </c>
      <c r="K25" s="353">
        <v>0.1</v>
      </c>
      <c r="P25" s="93" t="s">
        <v>36</v>
      </c>
      <c r="Q25" s="93" t="str">
        <f t="shared" si="0"/>
        <v>250 to 664 lumens</v>
      </c>
      <c r="R25" s="95">
        <v>35.027427475412054</v>
      </c>
      <c r="S25" s="87">
        <f>E16</f>
        <v>38</v>
      </c>
    </row>
    <row r="26" spans="1:19" ht="15.75" thickTop="1" thickBot="1">
      <c r="A26" s="354" t="s">
        <v>23</v>
      </c>
      <c r="B26" s="355">
        <v>1</v>
      </c>
      <c r="C26" s="355">
        <v>1</v>
      </c>
      <c r="D26" s="355">
        <v>1</v>
      </c>
      <c r="E26" s="355">
        <v>1</v>
      </c>
      <c r="F26" s="355">
        <v>1</v>
      </c>
      <c r="G26" s="355">
        <v>1</v>
      </c>
      <c r="H26" s="355">
        <v>1</v>
      </c>
      <c r="I26" s="355">
        <v>1</v>
      </c>
      <c r="J26" s="356">
        <v>1</v>
      </c>
      <c r="K26" s="356">
        <v>1</v>
      </c>
      <c r="P26" s="93" t="s">
        <v>36</v>
      </c>
      <c r="Q26" s="93" t="str">
        <f t="shared" si="0"/>
        <v>665 to 1439 lumens</v>
      </c>
      <c r="R26" s="95">
        <v>53.74057672131584</v>
      </c>
      <c r="S26" s="87">
        <f>D16*J53+C16*J52</f>
        <v>33.801608579088473</v>
      </c>
    </row>
    <row r="27" spans="1:19" ht="15" thickBot="1">
      <c r="A27" s="440" t="s">
        <v>369</v>
      </c>
      <c r="B27" s="441"/>
      <c r="C27" s="441"/>
      <c r="D27" s="441"/>
      <c r="E27" s="441"/>
      <c r="F27" s="441"/>
      <c r="G27" s="441"/>
      <c r="H27" s="441"/>
      <c r="I27" s="441"/>
      <c r="J27" s="442"/>
      <c r="K27" s="342"/>
      <c r="P27" s="93" t="s">
        <v>36</v>
      </c>
      <c r="Q27" s="93" t="str">
        <f t="shared" si="0"/>
        <v>1440 to 2600 lumens</v>
      </c>
      <c r="R27" s="95">
        <v>83.756241841926268</v>
      </c>
      <c r="S27" s="87">
        <f>B16</f>
        <v>92</v>
      </c>
    </row>
    <row r="28" spans="1:19" ht="15" thickBot="1">
      <c r="A28" s="357" t="s">
        <v>119</v>
      </c>
      <c r="B28" s="358" t="s">
        <v>360</v>
      </c>
      <c r="C28" s="358" t="s">
        <v>361</v>
      </c>
      <c r="D28" s="358" t="s">
        <v>362</v>
      </c>
      <c r="E28" s="358" t="s">
        <v>363</v>
      </c>
      <c r="F28" s="359" t="s">
        <v>372</v>
      </c>
      <c r="G28" s="359" t="s">
        <v>373</v>
      </c>
      <c r="H28" s="360" t="s">
        <v>374</v>
      </c>
      <c r="I28" s="357" t="s">
        <v>375</v>
      </c>
      <c r="J28" s="359" t="s">
        <v>376</v>
      </c>
      <c r="K28" s="342"/>
      <c r="P28" s="93" t="s">
        <v>37</v>
      </c>
      <c r="Q28" s="93" t="str">
        <f t="shared" si="0"/>
        <v>250 to 664 lumens</v>
      </c>
      <c r="R28" s="95">
        <v>35.219500850194486</v>
      </c>
      <c r="S28" s="87">
        <f>H14</f>
        <v>91</v>
      </c>
    </row>
    <row r="29" spans="1:19" ht="15" thickBot="1">
      <c r="A29" s="348" t="s">
        <v>377</v>
      </c>
      <c r="B29" s="349">
        <v>0.81</v>
      </c>
      <c r="C29" s="349">
        <v>0.23</v>
      </c>
      <c r="D29" s="349">
        <v>0.36</v>
      </c>
      <c r="E29" s="349">
        <v>0.09</v>
      </c>
      <c r="F29" s="349">
        <v>0.02</v>
      </c>
      <c r="G29" s="349">
        <v>1</v>
      </c>
      <c r="H29" s="361">
        <v>0.01</v>
      </c>
      <c r="I29" s="362">
        <v>0.12</v>
      </c>
      <c r="J29" s="349">
        <v>0.06</v>
      </c>
      <c r="K29" s="342"/>
      <c r="P29" s="93" t="s">
        <v>37</v>
      </c>
      <c r="Q29" s="93" t="str">
        <f t="shared" si="0"/>
        <v>665 to 1439 lumens</v>
      </c>
      <c r="R29" s="95">
        <v>55.470723505169161</v>
      </c>
      <c r="S29" s="87">
        <f>S28</f>
        <v>91</v>
      </c>
    </row>
    <row r="30" spans="1:19" ht="15" thickBot="1">
      <c r="A30" s="348" t="s">
        <v>378</v>
      </c>
      <c r="B30" s="349">
        <v>0.1</v>
      </c>
      <c r="C30" s="349">
        <v>0</v>
      </c>
      <c r="D30" s="349">
        <v>0.59</v>
      </c>
      <c r="E30" s="349">
        <v>0.05</v>
      </c>
      <c r="F30" s="349">
        <v>0</v>
      </c>
      <c r="G30" s="349">
        <v>0</v>
      </c>
      <c r="H30" s="361">
        <v>0.01</v>
      </c>
      <c r="I30" s="362">
        <v>0.09</v>
      </c>
      <c r="J30" s="349">
        <v>0.04</v>
      </c>
      <c r="K30" s="342"/>
      <c r="P30" s="93" t="s">
        <v>37</v>
      </c>
      <c r="Q30" s="93" t="str">
        <f t="shared" si="0"/>
        <v>1440 to 2600 lumens</v>
      </c>
      <c r="R30" s="95">
        <v>113.19598490746485</v>
      </c>
      <c r="S30" s="87">
        <f>S28</f>
        <v>91</v>
      </c>
    </row>
    <row r="31" spans="1:19" ht="15" thickBot="1">
      <c r="A31" s="348" t="s">
        <v>379</v>
      </c>
      <c r="B31" s="349">
        <v>0.09</v>
      </c>
      <c r="C31" s="349">
        <v>0.77</v>
      </c>
      <c r="D31" s="349">
        <v>0.05</v>
      </c>
      <c r="E31" s="349">
        <v>0.7</v>
      </c>
      <c r="F31" s="349">
        <v>0.86</v>
      </c>
      <c r="G31" s="349">
        <v>0</v>
      </c>
      <c r="H31" s="361">
        <v>0.94</v>
      </c>
      <c r="I31" s="362">
        <v>0.65</v>
      </c>
      <c r="J31" s="349">
        <v>0.79</v>
      </c>
      <c r="K31" s="342"/>
    </row>
    <row r="32" spans="1:19" ht="15" thickBot="1">
      <c r="A32" s="348" t="s">
        <v>1</v>
      </c>
      <c r="B32" s="349">
        <v>0</v>
      </c>
      <c r="C32" s="349">
        <v>0</v>
      </c>
      <c r="D32" s="349">
        <v>0</v>
      </c>
      <c r="E32" s="349">
        <v>0.16</v>
      </c>
      <c r="F32" s="349">
        <v>0.12</v>
      </c>
      <c r="G32" s="349">
        <v>0</v>
      </c>
      <c r="H32" s="361">
        <v>0.04</v>
      </c>
      <c r="I32" s="363">
        <v>0.14000000000000001</v>
      </c>
      <c r="J32" s="364">
        <v>0.11</v>
      </c>
      <c r="K32" s="342"/>
    </row>
    <row r="33" spans="1:11" ht="15" thickBot="1">
      <c r="A33" s="348" t="s">
        <v>380</v>
      </c>
      <c r="B33" s="356">
        <v>1</v>
      </c>
      <c r="C33" s="356">
        <v>1</v>
      </c>
      <c r="D33" s="356">
        <v>1</v>
      </c>
      <c r="E33" s="356">
        <v>1</v>
      </c>
      <c r="F33" s="356">
        <v>1</v>
      </c>
      <c r="G33" s="356">
        <v>1</v>
      </c>
      <c r="H33" s="365">
        <v>1</v>
      </c>
      <c r="I33" s="366">
        <v>1</v>
      </c>
      <c r="J33" s="367"/>
      <c r="K33" s="342"/>
    </row>
    <row r="34" spans="1:11" ht="15" thickBot="1">
      <c r="A34" s="443" t="s">
        <v>179</v>
      </c>
      <c r="B34" s="444"/>
      <c r="C34" s="444"/>
      <c r="D34" s="444"/>
      <c r="E34" s="444"/>
      <c r="F34" s="444"/>
      <c r="G34" s="444"/>
      <c r="H34" s="444"/>
      <c r="I34" s="445"/>
      <c r="J34" s="342"/>
      <c r="K34" s="342"/>
    </row>
    <row r="35" spans="1:11" ht="15" thickBot="1">
      <c r="A35" s="368" t="s">
        <v>119</v>
      </c>
      <c r="B35" s="369" t="s">
        <v>360</v>
      </c>
      <c r="C35" s="369" t="s">
        <v>361</v>
      </c>
      <c r="D35" s="369" t="s">
        <v>362</v>
      </c>
      <c r="E35" s="369" t="s">
        <v>363</v>
      </c>
      <c r="F35" s="370" t="s">
        <v>372</v>
      </c>
      <c r="G35" s="371" t="s">
        <v>374</v>
      </c>
      <c r="H35" s="368" t="s">
        <v>375</v>
      </c>
      <c r="I35" s="370" t="s">
        <v>376</v>
      </c>
      <c r="J35" s="342"/>
      <c r="K35" s="342"/>
    </row>
    <row r="36" spans="1:11" ht="15" thickBot="1">
      <c r="A36" s="348" t="s">
        <v>377</v>
      </c>
      <c r="B36" s="349">
        <v>0</v>
      </c>
      <c r="C36" s="349">
        <v>0.26</v>
      </c>
      <c r="D36" s="349">
        <v>0.22</v>
      </c>
      <c r="E36" s="349">
        <v>0.11</v>
      </c>
      <c r="F36" s="349">
        <v>0</v>
      </c>
      <c r="G36" s="361">
        <v>0</v>
      </c>
      <c r="H36" s="362">
        <v>0.15</v>
      </c>
      <c r="I36" s="349">
        <v>0.12</v>
      </c>
      <c r="J36" s="342"/>
      <c r="K36" s="342"/>
    </row>
    <row r="37" spans="1:11" ht="15" thickBot="1">
      <c r="A37" s="348" t="s">
        <v>378</v>
      </c>
      <c r="B37" s="349">
        <v>0.86</v>
      </c>
      <c r="C37" s="349">
        <v>0.42</v>
      </c>
      <c r="D37" s="349">
        <v>0.11</v>
      </c>
      <c r="E37" s="349">
        <v>0.25</v>
      </c>
      <c r="F37" s="349">
        <v>0.37</v>
      </c>
      <c r="G37" s="361">
        <v>0.32</v>
      </c>
      <c r="H37" s="362">
        <v>0.27</v>
      </c>
      <c r="I37" s="349">
        <v>0.28000000000000003</v>
      </c>
      <c r="J37" s="342"/>
      <c r="K37" s="342"/>
    </row>
    <row r="38" spans="1:11" ht="15" thickBot="1">
      <c r="A38" s="348" t="s">
        <v>379</v>
      </c>
      <c r="B38" s="349">
        <v>0.13</v>
      </c>
      <c r="C38" s="349">
        <v>0.03</v>
      </c>
      <c r="D38" s="349">
        <v>0.12</v>
      </c>
      <c r="E38" s="349">
        <v>0.5</v>
      </c>
      <c r="F38" s="349">
        <v>0.53</v>
      </c>
      <c r="G38" s="361">
        <v>0.68</v>
      </c>
      <c r="H38" s="362">
        <v>0.31</v>
      </c>
      <c r="I38" s="349">
        <v>0.37</v>
      </c>
      <c r="J38" s="342"/>
      <c r="K38" s="342"/>
    </row>
    <row r="39" spans="1:11" ht="15" thickBot="1">
      <c r="A39" s="348" t="s">
        <v>1</v>
      </c>
      <c r="B39" s="349">
        <v>0.01</v>
      </c>
      <c r="C39" s="349">
        <v>0.28999999999999998</v>
      </c>
      <c r="D39" s="349">
        <v>0.54</v>
      </c>
      <c r="E39" s="349">
        <v>0.15</v>
      </c>
      <c r="F39" s="349">
        <v>0.1</v>
      </c>
      <c r="G39" s="361">
        <v>0.01</v>
      </c>
      <c r="H39" s="363">
        <v>0.27</v>
      </c>
      <c r="I39" s="364">
        <v>0.23</v>
      </c>
      <c r="J39" s="342"/>
      <c r="K39" s="342"/>
    </row>
    <row r="40" spans="1:11" ht="15" thickBot="1">
      <c r="A40" s="348" t="s">
        <v>380</v>
      </c>
      <c r="B40" s="356">
        <v>1</v>
      </c>
      <c r="C40" s="356">
        <v>1</v>
      </c>
      <c r="D40" s="356">
        <v>1</v>
      </c>
      <c r="E40" s="356">
        <v>1</v>
      </c>
      <c r="F40" s="356">
        <v>1</v>
      </c>
      <c r="G40" s="365">
        <v>1</v>
      </c>
      <c r="H40" s="366">
        <v>1</v>
      </c>
      <c r="I40" s="356">
        <v>1</v>
      </c>
      <c r="J40" s="342"/>
      <c r="K40" s="342"/>
    </row>
    <row r="41" spans="1:11" ht="15">
      <c r="A41" s="338"/>
    </row>
    <row r="50" spans="1:10" ht="15.75" thickBot="1">
      <c r="A50" s="372" t="s">
        <v>387</v>
      </c>
      <c r="B50" s="373" t="s">
        <v>369</v>
      </c>
      <c r="C50" s="374" t="s">
        <v>368</v>
      </c>
      <c r="D50" s="374" t="s">
        <v>179</v>
      </c>
      <c r="E50" s="372" t="s">
        <v>23</v>
      </c>
      <c r="H50" s="373" t="s">
        <v>369</v>
      </c>
      <c r="I50" s="374" t="s">
        <v>368</v>
      </c>
      <c r="J50" s="374" t="s">
        <v>179</v>
      </c>
    </row>
    <row r="51" spans="1:10" ht="15">
      <c r="A51" s="375" t="s">
        <v>388</v>
      </c>
      <c r="B51" s="376">
        <v>3.7000000000000002E-3</v>
      </c>
      <c r="C51" s="377">
        <v>0.1598</v>
      </c>
      <c r="D51" s="377">
        <v>4.4299999999999999E-2</v>
      </c>
      <c r="E51" s="377">
        <v>9.1800000000000007E-2</v>
      </c>
    </row>
    <row r="52" spans="1:10" ht="15">
      <c r="A52" s="375" t="s">
        <v>389</v>
      </c>
      <c r="B52" s="376">
        <v>4.8999999999999998E-3</v>
      </c>
      <c r="C52" s="377">
        <v>0.13100000000000001</v>
      </c>
      <c r="D52" s="377">
        <v>0.1045</v>
      </c>
      <c r="E52" s="377">
        <v>8.8400000000000006E-2</v>
      </c>
      <c r="G52" s="375" t="s">
        <v>389</v>
      </c>
      <c r="H52" s="314">
        <f>B52/(B$52+B$53)</f>
        <v>0.13279132791327913</v>
      </c>
      <c r="I52" s="314">
        <f>C52/(C$52+C$53)</f>
        <v>0.31927857665123083</v>
      </c>
      <c r="J52" s="314">
        <f>D52/(D$52+D$53)</f>
        <v>0.3112898421209413</v>
      </c>
    </row>
    <row r="53" spans="1:10" ht="15">
      <c r="A53" s="375" t="s">
        <v>390</v>
      </c>
      <c r="B53" s="376">
        <v>3.2000000000000001E-2</v>
      </c>
      <c r="C53" s="377">
        <v>0.27929999999999999</v>
      </c>
      <c r="D53" s="377">
        <v>0.23119999999999999</v>
      </c>
      <c r="E53" s="377">
        <v>0.19639999999999999</v>
      </c>
      <c r="G53" s="375" t="s">
        <v>390</v>
      </c>
      <c r="H53" s="314">
        <f>B53/(B$52+B$53)</f>
        <v>0.86720867208672081</v>
      </c>
      <c r="I53" s="314">
        <f t="shared" ref="I53:J53" si="1">C53/(C$52+C$53)</f>
        <v>0.68072142334876917</v>
      </c>
      <c r="J53" s="314">
        <f t="shared" si="1"/>
        <v>0.68871015787905865</v>
      </c>
    </row>
    <row r="54" spans="1:10" ht="15">
      <c r="A54" s="375" t="s">
        <v>391</v>
      </c>
      <c r="B54" s="376">
        <v>0.37469999999999998</v>
      </c>
      <c r="C54" s="377">
        <v>0.2787</v>
      </c>
      <c r="D54" s="377">
        <v>0.42159999999999997</v>
      </c>
      <c r="E54" s="377">
        <v>0.33360000000000001</v>
      </c>
    </row>
    <row r="55" spans="1:10" ht="15">
      <c r="A55" s="375" t="s">
        <v>392</v>
      </c>
      <c r="B55" s="376">
        <v>0.32169999999999999</v>
      </c>
      <c r="C55" s="377">
        <v>4.2900000000000001E-2</v>
      </c>
      <c r="D55" s="377">
        <v>7.3099999999999998E-2</v>
      </c>
      <c r="E55" s="377">
        <v>0.13189999999999999</v>
      </c>
    </row>
    <row r="56" spans="1:10" ht="15">
      <c r="A56" s="375" t="s">
        <v>393</v>
      </c>
      <c r="B56" s="376">
        <v>4.0000000000000002E-4</v>
      </c>
      <c r="C56" s="377">
        <v>1.9300000000000001E-2</v>
      </c>
      <c r="D56" s="377">
        <v>0</v>
      </c>
      <c r="E56" s="377">
        <v>1.01E-2</v>
      </c>
    </row>
    <row r="57" spans="1:10" ht="15">
      <c r="A57" s="375" t="s">
        <v>366</v>
      </c>
      <c r="B57" s="376">
        <v>0</v>
      </c>
      <c r="C57" s="377">
        <v>4.36E-2</v>
      </c>
      <c r="D57" s="377">
        <v>0</v>
      </c>
      <c r="E57" s="377">
        <v>2.2499999999999999E-2</v>
      </c>
    </row>
    <row r="58" spans="1:10" ht="15.75" thickBot="1">
      <c r="A58" s="375" t="s">
        <v>374</v>
      </c>
      <c r="B58" s="376">
        <v>0.2626</v>
      </c>
      <c r="C58" s="377">
        <v>4.5600000000000002E-2</v>
      </c>
      <c r="D58" s="377">
        <v>0.12529999999999999</v>
      </c>
      <c r="E58" s="377">
        <v>0.12520000000000001</v>
      </c>
    </row>
    <row r="59" spans="1:10" ht="15">
      <c r="A59" s="378" t="s">
        <v>23</v>
      </c>
      <c r="B59" s="379">
        <v>1</v>
      </c>
      <c r="C59" s="380">
        <v>1</v>
      </c>
      <c r="D59" s="380">
        <v>1</v>
      </c>
      <c r="E59" s="380">
        <v>1</v>
      </c>
    </row>
  </sheetData>
  <mergeCells count="14">
    <mergeCell ref="J18:J19"/>
    <mergeCell ref="K18:K19"/>
    <mergeCell ref="A20:K20"/>
    <mergeCell ref="A27:J27"/>
    <mergeCell ref="A34:I34"/>
    <mergeCell ref="A12:I12"/>
    <mergeCell ref="A18:B19"/>
    <mergeCell ref="C18:C19"/>
    <mergeCell ref="D18:D19"/>
    <mergeCell ref="E18:E19"/>
    <mergeCell ref="F18:F19"/>
    <mergeCell ref="G18:G19"/>
    <mergeCell ref="H18:H19"/>
    <mergeCell ref="I18:I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8"/>
  <dimension ref="A1:E23"/>
  <sheetViews>
    <sheetView workbookViewId="0">
      <selection activeCell="G25" sqref="G25"/>
    </sheetView>
  </sheetViews>
  <sheetFormatPr defaultRowHeight="12.75"/>
  <sheetData>
    <row r="1" spans="1:5">
      <c r="A1" t="s">
        <v>355</v>
      </c>
      <c r="E1" t="s">
        <v>356</v>
      </c>
    </row>
    <row r="2" spans="1:5">
      <c r="C2" t="s">
        <v>56</v>
      </c>
      <c r="D2" t="s">
        <v>57</v>
      </c>
    </row>
    <row r="3" spans="1:5">
      <c r="B3">
        <v>2014</v>
      </c>
      <c r="C3" s="314">
        <v>1</v>
      </c>
      <c r="D3" s="314">
        <v>1</v>
      </c>
    </row>
    <row r="4" spans="1:5">
      <c r="B4">
        <v>2015</v>
      </c>
      <c r="C4" s="314">
        <f>C18/$C$17</f>
        <v>1.0657894736842106</v>
      </c>
      <c r="D4" s="314">
        <f>D3*(36/47)</f>
        <v>0.76595744680851063</v>
      </c>
    </row>
    <row r="5" spans="1:5">
      <c r="B5">
        <v>2016</v>
      </c>
      <c r="C5" s="314">
        <f t="shared" ref="C5:C6" si="0">C19/$C$17</f>
        <v>1.131578947368421</v>
      </c>
      <c r="D5" s="314">
        <f>D3*(28/36)*D4</f>
        <v>0.5957446808510638</v>
      </c>
    </row>
    <row r="6" spans="1:5">
      <c r="B6">
        <v>2017</v>
      </c>
      <c r="C6" s="314">
        <f t="shared" si="0"/>
        <v>1.1842105263157894</v>
      </c>
      <c r="D6" s="314">
        <f>D3*(22/28)*D5</f>
        <v>0.46808510638297868</v>
      </c>
    </row>
    <row r="16" spans="1:5">
      <c r="C16" t="s">
        <v>56</v>
      </c>
      <c r="D16" t="s">
        <v>57</v>
      </c>
    </row>
    <row r="17" spans="2:5">
      <c r="B17">
        <v>2014</v>
      </c>
      <c r="C17">
        <v>76</v>
      </c>
      <c r="D17" s="43">
        <v>11.4</v>
      </c>
      <c r="E17" t="s">
        <v>337</v>
      </c>
    </row>
    <row r="18" spans="2:5">
      <c r="B18">
        <v>2015</v>
      </c>
      <c r="C18">
        <v>81</v>
      </c>
      <c r="D18" s="43">
        <f>D17*(36/47)</f>
        <v>8.7319148936170219</v>
      </c>
      <c r="E18" t="s">
        <v>338</v>
      </c>
    </row>
    <row r="19" spans="2:5">
      <c r="B19">
        <v>2016</v>
      </c>
      <c r="C19">
        <v>86</v>
      </c>
      <c r="D19" s="43">
        <f>D18*(28/36)</f>
        <v>6.7914893617021281</v>
      </c>
      <c r="E19" t="s">
        <v>338</v>
      </c>
    </row>
    <row r="20" spans="2:5">
      <c r="B20">
        <v>2017</v>
      </c>
      <c r="C20">
        <v>90</v>
      </c>
      <c r="D20" s="43">
        <f>D19*(22/28)</f>
        <v>5.3361702127659578</v>
      </c>
      <c r="E20" t="s">
        <v>338</v>
      </c>
    </row>
    <row r="21" spans="2:5">
      <c r="B21">
        <v>2018</v>
      </c>
      <c r="C21">
        <v>90</v>
      </c>
      <c r="D21" s="43">
        <f>D20</f>
        <v>5.3361702127659578</v>
      </c>
    </row>
    <row r="22" spans="2:5">
      <c r="B22">
        <v>2019</v>
      </c>
      <c r="C22">
        <v>90</v>
      </c>
      <c r="D22" s="43">
        <f>D21</f>
        <v>5.3361702127659578</v>
      </c>
    </row>
    <row r="23" spans="2:5">
      <c r="B23">
        <v>2020</v>
      </c>
      <c r="C23">
        <v>90</v>
      </c>
      <c r="D23" s="43">
        <f>D22</f>
        <v>5.3361702127659578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11"/>
  <dimension ref="A1:BI234"/>
  <sheetViews>
    <sheetView tabSelected="1" topLeftCell="AF7" workbookViewId="0">
      <selection activeCell="V30" sqref="V30"/>
    </sheetView>
  </sheetViews>
  <sheetFormatPr defaultRowHeight="12.75"/>
  <cols>
    <col min="1" max="1" width="9.140625" style="22"/>
    <col min="2" max="2" width="20.7109375" style="22" customWidth="1"/>
    <col min="3" max="5" width="6" style="22" customWidth="1"/>
    <col min="6" max="7" width="9.140625" style="1"/>
    <col min="8" max="8" width="20.5703125" style="1" customWidth="1"/>
    <col min="9" max="9" width="27.5703125" style="1" customWidth="1"/>
    <col min="10" max="10" width="21.140625" style="1" customWidth="1"/>
    <col min="11" max="11" width="9.140625" style="1"/>
    <col min="12" max="12" width="4.5703125" style="1" customWidth="1"/>
    <col min="13" max="13" width="32" style="1" customWidth="1"/>
    <col min="14" max="14" width="44.140625" style="1" customWidth="1"/>
    <col min="15" max="26" width="9.140625" style="1"/>
    <col min="27" max="27" width="10.28515625" style="1" bestFit="1" customWidth="1"/>
    <col min="28" max="32" width="9.140625" style="1"/>
    <col min="33" max="33" width="20.5703125" style="1" bestFit="1" customWidth="1"/>
    <col min="34" max="43" width="9.140625" style="1"/>
    <col min="44" max="44" width="9.140625" style="1" customWidth="1"/>
    <col min="45" max="60" width="9.140625" style="1"/>
    <col min="62" max="16384" width="9.140625" style="1"/>
  </cols>
  <sheetData>
    <row r="1" spans="1:61">
      <c r="B1" s="23" t="s">
        <v>24</v>
      </c>
      <c r="C1" s="23" t="s">
        <v>21</v>
      </c>
      <c r="D1" s="23" t="s">
        <v>25</v>
      </c>
      <c r="E1" s="23" t="s">
        <v>26</v>
      </c>
      <c r="AQ1" s="24"/>
      <c r="AR1" s="25"/>
    </row>
    <row r="2" spans="1:61" ht="15">
      <c r="B2" s="22" t="s">
        <v>27</v>
      </c>
      <c r="C2" s="22" t="s">
        <v>28</v>
      </c>
      <c r="D2" s="22" t="s">
        <v>29</v>
      </c>
      <c r="E2" s="26" t="s">
        <v>30</v>
      </c>
      <c r="AQ2" s="27"/>
      <c r="AR2" s="28"/>
    </row>
    <row r="3" spans="1:61" ht="15">
      <c r="C3" s="22" t="s">
        <v>31</v>
      </c>
      <c r="D3" s="22" t="s">
        <v>32</v>
      </c>
      <c r="E3" s="29" t="s">
        <v>33</v>
      </c>
      <c r="AQ3" s="30"/>
      <c r="AR3" s="31"/>
    </row>
    <row r="4" spans="1:61" ht="15">
      <c r="D4" s="22" t="s">
        <v>34</v>
      </c>
      <c r="E4" s="29" t="s">
        <v>35</v>
      </c>
      <c r="AQ4" s="32"/>
    </row>
    <row r="5" spans="1:61">
      <c r="D5" s="22" t="s">
        <v>36</v>
      </c>
      <c r="AQ5" s="32"/>
    </row>
    <row r="6" spans="1:61">
      <c r="D6" s="22" t="s">
        <v>37</v>
      </c>
    </row>
    <row r="7" spans="1:61" ht="16.5" customHeight="1">
      <c r="B7" s="22">
        <v>1</v>
      </c>
      <c r="C7" s="22">
        <v>2</v>
      </c>
      <c r="D7" s="22">
        <v>5</v>
      </c>
      <c r="E7" s="22">
        <v>3</v>
      </c>
    </row>
    <row r="8" spans="1:61">
      <c r="B8" s="22">
        <f>B7*C8</f>
        <v>30</v>
      </c>
      <c r="C8" s="22">
        <f>C7*D8</f>
        <v>30</v>
      </c>
      <c r="D8" s="22">
        <f>D7*E8</f>
        <v>15</v>
      </c>
      <c r="E8" s="22">
        <v>3</v>
      </c>
      <c r="T8" s="33" t="s">
        <v>38</v>
      </c>
      <c r="U8" s="34"/>
      <c r="V8" s="34"/>
      <c r="X8" s="35" t="s">
        <v>39</v>
      </c>
      <c r="Y8" s="35"/>
      <c r="Z8" s="35"/>
      <c r="AA8" s="35"/>
      <c r="AB8" s="35"/>
      <c r="AD8" s="36" t="s">
        <v>40</v>
      </c>
      <c r="AE8" s="36"/>
      <c r="AG8" s="37" t="s">
        <v>41</v>
      </c>
      <c r="AH8" s="37"/>
      <c r="AJ8" s="38" t="s">
        <v>42</v>
      </c>
      <c r="AK8" s="39"/>
      <c r="AL8" s="39"/>
      <c r="AM8" s="39"/>
      <c r="AN8" s="39"/>
      <c r="AP8" s="37" t="s">
        <v>43</v>
      </c>
      <c r="AR8" s="3" t="s">
        <v>3</v>
      </c>
      <c r="AS8" s="4"/>
      <c r="AT8" s="4"/>
      <c r="AU8" s="4"/>
      <c r="AV8" s="4"/>
      <c r="AW8" s="4"/>
      <c r="AX8" s="5"/>
      <c r="AY8" s="6"/>
      <c r="AZ8" s="381" t="s">
        <v>4</v>
      </c>
      <c r="BA8" s="382"/>
      <c r="BB8" s="382"/>
      <c r="BC8" s="382"/>
      <c r="BD8" s="382"/>
      <c r="BE8" s="383"/>
      <c r="BF8" s="384" t="s">
        <v>5</v>
      </c>
      <c r="BG8" s="385"/>
    </row>
    <row r="9" spans="1:61" ht="89.25">
      <c r="A9" s="22" t="s">
        <v>44</v>
      </c>
      <c r="G9" s="40" t="s">
        <v>24</v>
      </c>
      <c r="H9" s="40" t="s">
        <v>45</v>
      </c>
      <c r="I9" s="40" t="s">
        <v>25</v>
      </c>
      <c r="J9" s="40" t="s">
        <v>46</v>
      </c>
      <c r="K9" s="40" t="s">
        <v>47</v>
      </c>
      <c r="L9" s="41"/>
      <c r="M9" s="40" t="s">
        <v>48</v>
      </c>
      <c r="N9" s="40" t="s">
        <v>49</v>
      </c>
      <c r="O9" s="40" t="s">
        <v>50</v>
      </c>
      <c r="P9" s="40" t="s">
        <v>51</v>
      </c>
      <c r="Q9" s="40" t="s">
        <v>52</v>
      </c>
      <c r="R9" s="40" t="s">
        <v>53</v>
      </c>
      <c r="S9" s="40"/>
      <c r="T9" s="40" t="s">
        <v>54</v>
      </c>
      <c r="U9" s="40" t="s">
        <v>336</v>
      </c>
      <c r="V9" s="40" t="s">
        <v>55</v>
      </c>
      <c r="W9" s="40"/>
      <c r="X9" s="40" t="s">
        <v>56</v>
      </c>
      <c r="Y9" s="40" t="s">
        <v>54</v>
      </c>
      <c r="Z9" s="40" t="s">
        <v>57</v>
      </c>
      <c r="AA9" s="40" t="s">
        <v>58</v>
      </c>
      <c r="AB9" s="40" t="s">
        <v>55</v>
      </c>
      <c r="AD9" s="40" t="s">
        <v>59</v>
      </c>
      <c r="AE9" s="40" t="s">
        <v>60</v>
      </c>
      <c r="AG9" s="40" t="s">
        <v>61</v>
      </c>
      <c r="AH9" s="40" t="s">
        <v>62</v>
      </c>
      <c r="AJ9" s="40" t="s">
        <v>63</v>
      </c>
      <c r="AK9" s="40" t="s">
        <v>64</v>
      </c>
      <c r="AL9" s="40" t="s">
        <v>65</v>
      </c>
      <c r="AM9" s="40" t="s">
        <v>66</v>
      </c>
      <c r="AN9" s="40" t="s">
        <v>67</v>
      </c>
      <c r="AP9" s="40" t="s">
        <v>68</v>
      </c>
      <c r="AR9" s="7" t="s">
        <v>6</v>
      </c>
      <c r="AS9" s="7" t="s">
        <v>7</v>
      </c>
      <c r="AT9" s="7" t="s">
        <v>8</v>
      </c>
      <c r="AU9" s="7" t="s">
        <v>9</v>
      </c>
      <c r="AV9" s="7" t="s">
        <v>10</v>
      </c>
      <c r="AW9" s="8" t="s">
        <v>11</v>
      </c>
      <c r="AX9" s="7" t="s">
        <v>12</v>
      </c>
      <c r="AY9" s="9" t="s">
        <v>13</v>
      </c>
      <c r="AZ9" s="9" t="s">
        <v>14</v>
      </c>
      <c r="BA9" s="9" t="s">
        <v>15</v>
      </c>
      <c r="BB9" s="9" t="s">
        <v>16</v>
      </c>
      <c r="BC9" s="9" t="s">
        <v>17</v>
      </c>
      <c r="BD9" s="9" t="s">
        <v>18</v>
      </c>
      <c r="BE9" s="9" t="s">
        <v>19</v>
      </c>
      <c r="BF9" s="10" t="s">
        <v>20</v>
      </c>
      <c r="BG9" s="9" t="s">
        <v>12</v>
      </c>
    </row>
    <row r="10" spans="1:61">
      <c r="A10" s="22">
        <v>1</v>
      </c>
      <c r="B10" s="22">
        <f t="shared" ref="B10:D25" si="0">MOD(FLOOR(($A10-1)/C$8,1),B$7)+1</f>
        <v>1</v>
      </c>
      <c r="C10" s="22">
        <f t="shared" si="0"/>
        <v>1</v>
      </c>
      <c r="D10" s="22">
        <f>MOD(FLOOR(($A10-1)/E$8,1),D$7)+1</f>
        <v>1</v>
      </c>
      <c r="E10" s="22">
        <f>MOD($A10-1,E$8)+1</f>
        <v>1</v>
      </c>
      <c r="G10" s="2" t="str">
        <f>INDEX(B$2:B$6,B10)</f>
        <v>Retail</v>
      </c>
      <c r="H10" s="2" t="str">
        <f t="shared" ref="H10:J25" si="1">INDEX(C$2:C$6,C10)</f>
        <v>LED</v>
      </c>
      <c r="I10" s="2" t="str">
        <f t="shared" si="1"/>
        <v>Decorative and Mini-Base</v>
      </c>
      <c r="J10" s="2" t="str">
        <f t="shared" si="1"/>
        <v>250 to 664 lumens</v>
      </c>
      <c r="K10" s="2" t="s">
        <v>69</v>
      </c>
      <c r="M10" s="1" t="str">
        <f>I10&amp;J10</f>
        <v>Decorative and Mini-Base250 to 664 lumens</v>
      </c>
      <c r="N10" s="1" t="str">
        <f>CONCATENATE(H10,I10,J10)</f>
        <v>LEDDecorative and Mini-Base250 to 664 lumens</v>
      </c>
      <c r="O10" s="1" t="str">
        <f>CONCATENATE(G10,H10,I10,J10,K10)</f>
        <v>RetailLEDDecorative and Mini-Base250 to 664 lumensANY</v>
      </c>
      <c r="P10" s="15">
        <f>VLOOKUP($M10,'Summary Tables'!$E$49:$N$63,7,FALSE)</f>
        <v>1.7916917647822357</v>
      </c>
      <c r="Q10" s="15">
        <f>VLOOKUP($M10,'Summary Tables'!$E$49:$N$63,9,FALSE)</f>
        <v>0.95039973261931343</v>
      </c>
      <c r="R10" s="15">
        <f>VLOOKUP($M10,'Summary Tables'!$E$49:$N$63,10,FALSE)</f>
        <v>416.60324051305236</v>
      </c>
      <c r="S10" s="15"/>
      <c r="T10" s="15">
        <f>IF($I10="General Purpose and Dimmable",$R10/45,VLOOKUP($M10,'Summary Tables'!$E$49:$N$63,5,FALSE))</f>
        <v>37</v>
      </c>
      <c r="U10" s="42">
        <f>IF($I10="General Purpose and Dimmable",VLOOKUP($J10,'CFL and LED Cost'!$C$73:$E$75,3,FALSE),VLOOKUP($M10,'Summary Tables'!$E$49:$N$63,6,FALSE))</f>
        <v>1.6401583657682686</v>
      </c>
      <c r="V10" s="15">
        <f>IF($I10="General Purpose and Dimmable",Lifetime!$B$5/(P10*365.25),VLOOKUP($M10,'Summary Tables'!$E$49:$N$63,8,FALSE))</f>
        <v>1.7835655628514451</v>
      </c>
      <c r="X10" s="11">
        <f>VLOOKUP(N10,'CFL and LED Efficacy'!$D$57:$E$86,2,FALSE)</f>
        <v>62.516951451044228</v>
      </c>
      <c r="Y10" s="11">
        <f>R10/X10</f>
        <v>6.6638444588790611</v>
      </c>
      <c r="Z10" s="43">
        <f>VLOOKUP(N10,'CFL and LED Cost'!$D$73:$K$102,MATCH(G10,'CFL and LED Cost'!$D$72:$K$72,0),FALSE)</f>
        <v>9.9588534888181872</v>
      </c>
      <c r="AA10" s="44">
        <f>VLOOKUP(H10,Lifetime!$A$4:$B$8,2,FALSE)</f>
        <v>28708.42332613391</v>
      </c>
      <c r="AB10" s="15">
        <f>MIN(12,AA10/(P10*365.25))</f>
        <v>12</v>
      </c>
      <c r="AD10" s="45">
        <f>VLOOKUP(G10&amp;H10,StorageTakebackRemoval!$C$56:$H$67,5,FALSE)</f>
        <v>0.98</v>
      </c>
      <c r="AE10" s="45">
        <f>VLOOKUP(G10&amp;H10,StorageTakebackRemoval!$C$56:$H$67,6,FALSE)</f>
        <v>1</v>
      </c>
      <c r="AG10" s="45">
        <f>1-Q10*('Space Conditioning Interaction'!$B$23)</f>
        <v>0.81278657385032416</v>
      </c>
      <c r="AH10" s="1">
        <f>Q10*'Space Conditioning Interaction'!$I$9</f>
        <v>9.5435946083773787E-3</v>
      </c>
      <c r="AJ10" s="1">
        <f>T10*P10*365.25/1000</f>
        <v>24.213370432208329</v>
      </c>
      <c r="AK10" s="1">
        <f>Y10*P10*365.25/1000</f>
        <v>4.3609225509583132</v>
      </c>
      <c r="AL10" s="1">
        <f>AJ10-AK10</f>
        <v>19.852447881250015</v>
      </c>
      <c r="AM10" s="1">
        <f>AL10*AD10</f>
        <v>19.455398923625015</v>
      </c>
      <c r="AN10" s="1">
        <f>AM10*AG10</f>
        <v>15.813087034024461</v>
      </c>
      <c r="AP10" s="1">
        <f>-1*AM10*AH10</f>
        <v>-0.18567444027133875</v>
      </c>
      <c r="AR10" s="1" t="str">
        <f>O10</f>
        <v>RetailLEDDecorative and Mini-Base250 to 664 lumensANY</v>
      </c>
      <c r="AS10" s="1" t="str">
        <f>O10</f>
        <v>RetailLEDDecorative and Mini-Base250 to 664 lumensANY</v>
      </c>
      <c r="AT10" s="1">
        <f>IF(ISERROR($AN10),0,AN10)</f>
        <v>15.813087034024461</v>
      </c>
      <c r="AU10" s="15">
        <f>IF(ISERROR($AN10),1,AB10*AE10)</f>
        <v>12</v>
      </c>
      <c r="AV10" s="46">
        <f>MAX(0.05,IF(ISERROR($AN10),999,Z10-U10))</f>
        <v>8.3186951230499186</v>
      </c>
      <c r="AW10" s="1">
        <v>0</v>
      </c>
      <c r="AX10" s="2" t="s">
        <v>70</v>
      </c>
      <c r="AY10" s="1">
        <v>0</v>
      </c>
      <c r="AZ10" s="1">
        <f>IF(ISERROR($AN10),999,U10*-1)</f>
        <v>-1.6401583657682686</v>
      </c>
      <c r="BA10" s="1">
        <f>IF(ISERROR($AN10),999,V10)</f>
        <v>1.7835655628514451</v>
      </c>
      <c r="BF10" s="1">
        <f>IF(ISERROR($AN10),999,AP10)</f>
        <v>-0.18567444027133875</v>
      </c>
      <c r="BG10" s="2" t="s">
        <v>71</v>
      </c>
    </row>
    <row r="11" spans="1:61">
      <c r="A11" s="22">
        <f>A10+1</f>
        <v>2</v>
      </c>
      <c r="B11" s="22">
        <f t="shared" si="0"/>
        <v>1</v>
      </c>
      <c r="C11" s="22">
        <f t="shared" si="0"/>
        <v>1</v>
      </c>
      <c r="D11" s="22">
        <f t="shared" si="0"/>
        <v>1</v>
      </c>
      <c r="E11" s="22">
        <f t="shared" ref="E11:E39" si="2">MOD($A11-1,E$8)+1</f>
        <v>2</v>
      </c>
      <c r="G11" s="2" t="str">
        <f t="shared" ref="G11:J39" si="3">INDEX(B$2:B$6,B11)</f>
        <v>Retail</v>
      </c>
      <c r="H11" s="2" t="str">
        <f t="shared" si="1"/>
        <v>LED</v>
      </c>
      <c r="I11" s="2" t="str">
        <f t="shared" si="1"/>
        <v>Decorative and Mini-Base</v>
      </c>
      <c r="J11" s="2" t="str">
        <f t="shared" si="1"/>
        <v>665 to 1439 lumens</v>
      </c>
      <c r="K11" s="2" t="s">
        <v>69</v>
      </c>
      <c r="M11" s="1" t="str">
        <f t="shared" ref="M11:M39" si="4">I11&amp;J11</f>
        <v>Decorative and Mini-Base665 to 1439 lumens</v>
      </c>
      <c r="N11" s="1" t="str">
        <f t="shared" ref="N11:N39" si="5">CONCATENATE(H11,I11,J11)</f>
        <v>LEDDecorative and Mini-Base665 to 1439 lumens</v>
      </c>
      <c r="O11" s="1" t="str">
        <f t="shared" ref="O11:O39" si="6">CONCATENATE(G11,H11,I11,J11,K11)</f>
        <v>RetailLEDDecorative and Mini-Base665 to 1439 lumensANY</v>
      </c>
      <c r="P11" s="15">
        <f>VLOOKUP($M11,'Summary Tables'!$E$49:$N$63,7,FALSE)</f>
        <v>1.8789514442368003</v>
      </c>
      <c r="Q11" s="15">
        <f>VLOOKUP($M11,'Summary Tables'!$E$49:$N$63,9,FALSE)</f>
        <v>0.91018036838446348</v>
      </c>
      <c r="R11" s="15">
        <f>VLOOKUP($M11,'Summary Tables'!$E$49:$N$63,10,FALSE)</f>
        <v>857.43632997438363</v>
      </c>
      <c r="S11" s="15"/>
      <c r="T11" s="15">
        <f>IF($I11="General Purpose and Dimmable",$R11/45,VLOOKUP($M11,'Summary Tables'!$E$49:$N$63,5,FALSE))</f>
        <v>31.100271002710024</v>
      </c>
      <c r="U11" s="42">
        <f>IF($I11="General Purpose and Dimmable",VLOOKUP($J11,'CFL and LED Cost'!$C$73:$E$75,3,FALSE),VLOOKUP($M11,'Summary Tables'!$E$49:$N$63,6,FALSE))</f>
        <v>2.357302490345714</v>
      </c>
      <c r="V11" s="15">
        <f>IF($I11="General Purpose and Dimmable",Lifetime!$B$5/(P11*365.25),VLOOKUP($M11,'Summary Tables'!$E$49:$N$63,8,FALSE))</f>
        <v>1.7864498053021971</v>
      </c>
      <c r="X11" s="313">
        <f>X14/X13*X10</f>
        <v>90.088580562889106</v>
      </c>
      <c r="Y11" s="11">
        <f>R11/X11</f>
        <v>9.5177027389817042</v>
      </c>
      <c r="Z11" s="43">
        <f>VLOOKUP(N11,'CFL and LED Cost'!$D$73:$K$102,MATCH(G11,'CFL and LED Cost'!$D$72:$K$72,0),FALSE)</f>
        <v>17.827344793923771</v>
      </c>
      <c r="AA11" s="44">
        <f>VLOOKUP(H11,Lifetime!$A$4:$B$8,2,FALSE)</f>
        <v>28708.42332613391</v>
      </c>
      <c r="AB11" s="15">
        <f t="shared" ref="AB11:AB39" si="7">MIN(12,AA11/(P11*365.25))</f>
        <v>12</v>
      </c>
      <c r="AD11" s="45">
        <f>VLOOKUP(G11&amp;H11,StorageTakebackRemoval!$C$56:$H$67,5,FALSE)</f>
        <v>0.98</v>
      </c>
      <c r="AE11" s="45">
        <f>VLOOKUP(G11&amp;H11,StorageTakebackRemoval!$C$56:$H$67,6,FALSE)</f>
        <v>1</v>
      </c>
      <c r="AG11" s="45">
        <f>1-Q11*('Space Conditioning Interaction'!$B$23)</f>
        <v>0.82070914023743413</v>
      </c>
      <c r="AH11" s="1">
        <f>Q11*'Space Conditioning Interaction'!$I$9</f>
        <v>9.1397252737278212E-3</v>
      </c>
      <c r="AJ11" s="1">
        <f t="shared" ref="AJ11:AJ39" si="8">T11*P11*365.25/1000</f>
        <v>21.3437121523739</v>
      </c>
      <c r="AK11" s="1">
        <f t="shared" ref="AK11:AK39" si="9">Y11*P11*365.25/1000</f>
        <v>6.5318758024643779</v>
      </c>
      <c r="AL11" s="1">
        <f t="shared" ref="AL11:AL39" si="10">AJ11-AK11</f>
        <v>14.811836349909523</v>
      </c>
      <c r="AM11" s="1">
        <f t="shared" ref="AM11:AM39" si="11">AL11*AD11</f>
        <v>14.515599622911333</v>
      </c>
      <c r="AN11" s="1">
        <f t="shared" ref="AN11:AN39" si="12">AM11*AG11</f>
        <v>11.913085286550384</v>
      </c>
      <c r="AP11" s="1">
        <f t="shared" ref="AP11:AP39" si="13">-1*AM11*AH11</f>
        <v>-0.13266859273683673</v>
      </c>
      <c r="AR11" s="1" t="str">
        <f t="shared" ref="AR11:AR39" si="14">O11</f>
        <v>RetailLEDDecorative and Mini-Base665 to 1439 lumensANY</v>
      </c>
      <c r="AS11" s="1" t="str">
        <f t="shared" ref="AS11:AS39" si="15">O11</f>
        <v>RetailLEDDecorative and Mini-Base665 to 1439 lumensANY</v>
      </c>
      <c r="AT11" s="1">
        <f t="shared" ref="AT11:AT39" si="16">IF(ISERROR($AN11),0,AN11)</f>
        <v>11.913085286550384</v>
      </c>
      <c r="AU11" s="15">
        <f t="shared" ref="AU11:AU39" si="17">IF(ISERROR($AN11),1,AB11*AE11)</f>
        <v>12</v>
      </c>
      <c r="AV11" s="46">
        <f t="shared" ref="AV11:AV39" si="18">MAX(0.05,IF(ISERROR($AN11),999,Z11-U11))</f>
        <v>15.470042303578058</v>
      </c>
      <c r="AW11" s="1">
        <v>0</v>
      </c>
      <c r="AX11" s="2" t="s">
        <v>70</v>
      </c>
      <c r="AY11" s="1">
        <v>0</v>
      </c>
      <c r="AZ11" s="1">
        <f t="shared" ref="AZ11:AZ39" si="19">IF(ISERROR($AN11),999,U11*-1)</f>
        <v>-2.357302490345714</v>
      </c>
      <c r="BA11" s="1">
        <f t="shared" ref="BA11:BA39" si="20">IF(ISERROR($AN11),999,V11)</f>
        <v>1.7864498053021971</v>
      </c>
      <c r="BF11" s="1">
        <f t="shared" ref="BF11:BF39" si="21">IF(ISERROR($AN11),999,AP11)</f>
        <v>-0.13266859273683673</v>
      </c>
      <c r="BG11" s="2" t="s">
        <v>71</v>
      </c>
    </row>
    <row r="12" spans="1:61">
      <c r="A12" s="22">
        <f t="shared" ref="A12:A39" si="22">A11+1</f>
        <v>3</v>
      </c>
      <c r="B12" s="22">
        <f t="shared" si="0"/>
        <v>1</v>
      </c>
      <c r="C12" s="22">
        <f t="shared" si="0"/>
        <v>1</v>
      </c>
      <c r="D12" s="22">
        <f t="shared" si="0"/>
        <v>1</v>
      </c>
      <c r="E12" s="22">
        <f t="shared" si="2"/>
        <v>3</v>
      </c>
      <c r="G12" s="2" t="str">
        <f t="shared" si="3"/>
        <v>Retail</v>
      </c>
      <c r="H12" s="2" t="str">
        <f t="shared" si="1"/>
        <v>LED</v>
      </c>
      <c r="I12" s="2" t="str">
        <f t="shared" si="1"/>
        <v>Decorative and Mini-Base</v>
      </c>
      <c r="J12" s="2" t="str">
        <f t="shared" si="1"/>
        <v>1440 to 2600 lumens</v>
      </c>
      <c r="K12" s="2" t="s">
        <v>69</v>
      </c>
      <c r="M12" s="1" t="str">
        <f t="shared" si="4"/>
        <v>Decorative and Mini-Base1440 to 2600 lumens</v>
      </c>
      <c r="N12" s="1" t="str">
        <f t="shared" si="5"/>
        <v>LEDDecorative and Mini-Base1440 to 2600 lumens</v>
      </c>
      <c r="O12" s="1" t="str">
        <f t="shared" si="6"/>
        <v>RetailLEDDecorative and Mini-Base1440 to 2600 lumensANY</v>
      </c>
      <c r="P12" s="15">
        <f>VLOOKUP($M12,'Summary Tables'!$E$49:$N$63,7,FALSE)</f>
        <v>1.6305080727614385</v>
      </c>
      <c r="Q12" s="15">
        <f>VLOOKUP($M12,'Summary Tables'!$E$49:$N$63,9,FALSE)</f>
        <v>0.92758145848349127</v>
      </c>
      <c r="R12" s="15">
        <f>VLOOKUP($M12,'Summary Tables'!$E$49:$N$63,10,FALSE)</f>
        <v>2095.7287821060968</v>
      </c>
      <c r="S12" s="15"/>
      <c r="T12" s="15">
        <f>IF($I12="General Purpose and Dimmable",$R12/45,VLOOKUP($M12,'Summary Tables'!$E$49:$N$63,5,FALSE))</f>
        <v>37</v>
      </c>
      <c r="U12" s="42">
        <f>IF($I12="General Purpose and Dimmable",VLOOKUP($J12,'CFL and LED Cost'!$C$73:$E$75,3,FALSE),VLOOKUP($M12,'Summary Tables'!$E$49:$N$63,6,FALSE))</f>
        <v>2.5719834880984087</v>
      </c>
      <c r="V12" s="15">
        <f>IF($I12="General Purpose and Dimmable",Lifetime!$B$5/(P12*365.25),VLOOKUP($M12,'Summary Tables'!$E$49:$N$63,8,FALSE))</f>
        <v>4.4344805227500377</v>
      </c>
      <c r="X12" s="313">
        <f>X15/X13*X10</f>
        <v>85.083659420506379</v>
      </c>
      <c r="Y12" s="11">
        <f t="shared" ref="Y12:Y39" si="23">R12/X12</f>
        <v>24.631389815386761</v>
      </c>
      <c r="Z12" s="43">
        <f>VLOOKUP(N12,'CFL and LED Cost'!$D$73:$K$102,MATCH(G12,'CFL and LED Cost'!$D$72:$K$72,0),FALSE)</f>
        <v>43.384</v>
      </c>
      <c r="AA12" s="44">
        <f>VLOOKUP(H12,Lifetime!$A$4:$B$8,2,FALSE)</f>
        <v>28708.42332613391</v>
      </c>
      <c r="AB12" s="15">
        <f t="shared" si="7"/>
        <v>12</v>
      </c>
      <c r="AD12" s="45">
        <f>VLOOKUP(G12&amp;H12,StorageTakebackRemoval!$C$56:$H$67,5,FALSE)</f>
        <v>0.98</v>
      </c>
      <c r="AE12" s="45">
        <f>VLOOKUP(G12&amp;H12,StorageTakebackRemoval!$C$56:$H$67,6,FALSE)</f>
        <v>1</v>
      </c>
      <c r="AG12" s="45">
        <f>1-Q12*('Space Conditioning Interaction'!$B$23)</f>
        <v>0.81728140600691201</v>
      </c>
      <c r="AH12" s="1">
        <f>Q12*'Space Conditioning Interaction'!$I$9</f>
        <v>9.3144611705817514E-3</v>
      </c>
      <c r="AJ12" s="1">
        <f t="shared" si="8"/>
        <v>22.035093722316269</v>
      </c>
      <c r="AK12" s="1">
        <f t="shared" si="9"/>
        <v>14.669053597106858</v>
      </c>
      <c r="AL12" s="1">
        <f t="shared" si="10"/>
        <v>7.3660401252094108</v>
      </c>
      <c r="AM12" s="1">
        <f t="shared" si="11"/>
        <v>7.2187193227052227</v>
      </c>
      <c r="AN12" s="1">
        <f t="shared" si="12"/>
        <v>5.899725077629788</v>
      </c>
      <c r="AP12" s="1">
        <f t="shared" si="13"/>
        <v>-6.7238480832665995E-2</v>
      </c>
      <c r="AR12" s="1" t="str">
        <f t="shared" si="14"/>
        <v>RetailLEDDecorative and Mini-Base1440 to 2600 lumensANY</v>
      </c>
      <c r="AS12" s="1" t="str">
        <f t="shared" si="15"/>
        <v>RetailLEDDecorative and Mini-Base1440 to 2600 lumensANY</v>
      </c>
      <c r="AT12" s="1">
        <f t="shared" si="16"/>
        <v>5.899725077629788</v>
      </c>
      <c r="AU12" s="15">
        <f t="shared" si="17"/>
        <v>12</v>
      </c>
      <c r="AV12" s="46">
        <f t="shared" si="18"/>
        <v>40.812016511901589</v>
      </c>
      <c r="AW12" s="1">
        <v>0</v>
      </c>
      <c r="AX12" s="2" t="s">
        <v>70</v>
      </c>
      <c r="AY12" s="1">
        <v>0</v>
      </c>
      <c r="AZ12" s="1">
        <f t="shared" si="19"/>
        <v>-2.5719834880984087</v>
      </c>
      <c r="BA12" s="1">
        <f t="shared" si="20"/>
        <v>4.4344805227500377</v>
      </c>
      <c r="BF12" s="1">
        <f t="shared" si="21"/>
        <v>-6.7238480832665995E-2</v>
      </c>
      <c r="BG12" s="2" t="s">
        <v>71</v>
      </c>
    </row>
    <row r="13" spans="1:61" s="317" customFormat="1">
      <c r="A13" s="316">
        <f t="shared" si="22"/>
        <v>4</v>
      </c>
      <c r="B13" s="316">
        <f t="shared" si="0"/>
        <v>1</v>
      </c>
      <c r="C13" s="316">
        <f t="shared" si="0"/>
        <v>1</v>
      </c>
      <c r="D13" s="316">
        <f t="shared" si="0"/>
        <v>2</v>
      </c>
      <c r="E13" s="316">
        <f t="shared" si="2"/>
        <v>1</v>
      </c>
      <c r="G13" s="318" t="str">
        <f t="shared" si="3"/>
        <v>Retail</v>
      </c>
      <c r="H13" s="318" t="str">
        <f t="shared" si="1"/>
        <v>LED</v>
      </c>
      <c r="I13" s="318" t="str">
        <f t="shared" si="1"/>
        <v>General Purpose and Dimmable</v>
      </c>
      <c r="J13" s="318" t="str">
        <f t="shared" si="1"/>
        <v>250 to 664 lumens</v>
      </c>
      <c r="K13" s="318" t="s">
        <v>69</v>
      </c>
      <c r="M13" s="317" t="str">
        <f t="shared" si="4"/>
        <v>General Purpose and Dimmable250 to 664 lumens</v>
      </c>
      <c r="N13" s="317" t="str">
        <f t="shared" si="5"/>
        <v>LEDGeneral Purpose and Dimmable250 to 664 lumens</v>
      </c>
      <c r="O13" s="317" t="str">
        <f t="shared" si="6"/>
        <v>RetailLEDGeneral Purpose and Dimmable250 to 664 lumensANY</v>
      </c>
      <c r="P13" s="319">
        <f>VLOOKUP($M13,'Summary Tables'!$E$49:$N$63,7,FALSE)</f>
        <v>1.7465101483744099</v>
      </c>
      <c r="Q13" s="319">
        <f>VLOOKUP($M13,'Summary Tables'!$E$49:$N$63,9,FALSE)</f>
        <v>0.91416456188155615</v>
      </c>
      <c r="R13" s="319">
        <f>VLOOKUP($M13,'Summary Tables'!$E$49:$N$63,10,FALSE)</f>
        <v>473.98970089307483</v>
      </c>
      <c r="S13" s="319"/>
      <c r="T13" s="319">
        <f>IF($I13="General Purpose and Dimmable",$R13/45,VLOOKUP($M13,'Summary Tables'!$E$49:$N$63,5,FALSE))</f>
        <v>10.533104464290552</v>
      </c>
      <c r="U13" s="320">
        <f>IF($I13="General Purpose and Dimmable",VLOOKUP($J13,'CFL and LED Cost'!$C$73:$E$75,3,FALSE),VLOOKUP($M13,'Summary Tables'!$E$49:$N$63,6,FALSE))</f>
        <v>2.1592275874141325</v>
      </c>
      <c r="V13" s="319">
        <f>IF($I13="General Purpose and Dimmable",Lifetime!$B$5/(P13*365.25),VLOOKUP($M13,'Summary Tables'!$E$49:$N$63,8,FALSE))</f>
        <v>8.5397834253252132</v>
      </c>
      <c r="X13" s="321">
        <f>VLOOKUP(N13,'CFL and LED Efficacy'!$D$57:$E$86,2,FALSE)</f>
        <v>62.45548098813935</v>
      </c>
      <c r="Y13" s="321">
        <f t="shared" si="23"/>
        <v>7.5892410624951898</v>
      </c>
      <c r="Z13" s="322">
        <f>VLOOKUP(N13,'CFL and LED Cost'!$D$73:$K$102,MATCH(G13,'CFL and LED Cost'!$D$72:$K$72,0),FALSE)</f>
        <v>4.9794267444090936</v>
      </c>
      <c r="AA13" s="323">
        <f>VLOOKUP(H13,Lifetime!$A$4:$B$8,2,FALSE)</f>
        <v>28708.42332613391</v>
      </c>
      <c r="AB13" s="319">
        <f t="shared" si="7"/>
        <v>12</v>
      </c>
      <c r="AD13" s="324">
        <f>VLOOKUP(G13&amp;H13,StorageTakebackRemoval!$C$56:$H$67,5,FALSE)</f>
        <v>0.98</v>
      </c>
      <c r="AE13" s="324">
        <f>VLOOKUP(G13&amp;H13,StorageTakebackRemoval!$C$56:$H$67,6,FALSE)</f>
        <v>1</v>
      </c>
      <c r="AG13" s="324">
        <f>1-Q13*('Space Conditioning Interaction'!$B$23)</f>
        <v>0.81992431834677726</v>
      </c>
      <c r="AH13" s="317">
        <f>Q13*'Space Conditioning Interaction'!$I$9</f>
        <v>9.1797332054144101E-3</v>
      </c>
      <c r="AJ13" s="317">
        <f t="shared" si="8"/>
        <v>6.7192024953416993</v>
      </c>
      <c r="AK13" s="317">
        <f t="shared" si="9"/>
        <v>4.8412742565828148</v>
      </c>
      <c r="AL13" s="317">
        <f t="shared" si="10"/>
        <v>1.8779282387588845</v>
      </c>
      <c r="AM13" s="317">
        <f t="shared" si="11"/>
        <v>1.8403696739837068</v>
      </c>
      <c r="AN13" s="317">
        <f t="shared" si="12"/>
        <v>1.5089638504471714</v>
      </c>
      <c r="AP13" s="317">
        <f t="shared" si="13"/>
        <v>-1.6894102606505926E-2</v>
      </c>
      <c r="AR13" s="317" t="str">
        <f t="shared" si="14"/>
        <v>RetailLEDGeneral Purpose and Dimmable250 to 664 lumensANY</v>
      </c>
      <c r="AS13" s="317" t="str">
        <f t="shared" si="15"/>
        <v>RetailLEDGeneral Purpose and Dimmable250 to 664 lumensANY</v>
      </c>
      <c r="AT13" s="317">
        <f t="shared" si="16"/>
        <v>1.5089638504471714</v>
      </c>
      <c r="AU13" s="319">
        <f t="shared" si="17"/>
        <v>12</v>
      </c>
      <c r="AV13" s="322">
        <f t="shared" si="18"/>
        <v>2.8201991569949612</v>
      </c>
      <c r="AW13" s="317">
        <v>0</v>
      </c>
      <c r="AX13" s="318" t="s">
        <v>70</v>
      </c>
      <c r="AY13" s="317">
        <v>0</v>
      </c>
      <c r="AZ13" s="317">
        <f t="shared" si="19"/>
        <v>-2.1592275874141325</v>
      </c>
      <c r="BA13" s="317">
        <f t="shared" si="20"/>
        <v>8.5397834253252132</v>
      </c>
      <c r="BF13" s="317">
        <f t="shared" si="21"/>
        <v>-1.6894102606505926E-2</v>
      </c>
      <c r="BG13" s="318" t="s">
        <v>71</v>
      </c>
      <c r="BI13" s="325"/>
    </row>
    <row r="14" spans="1:61" s="317" customFormat="1">
      <c r="A14" s="316">
        <f t="shared" si="22"/>
        <v>5</v>
      </c>
      <c r="B14" s="316">
        <f t="shared" si="0"/>
        <v>1</v>
      </c>
      <c r="C14" s="316">
        <f t="shared" si="0"/>
        <v>1</v>
      </c>
      <c r="D14" s="316">
        <f t="shared" si="0"/>
        <v>2</v>
      </c>
      <c r="E14" s="316">
        <f t="shared" si="2"/>
        <v>2</v>
      </c>
      <c r="G14" s="318" t="str">
        <f t="shared" si="3"/>
        <v>Retail</v>
      </c>
      <c r="H14" s="318" t="str">
        <f t="shared" si="1"/>
        <v>LED</v>
      </c>
      <c r="I14" s="318" t="str">
        <f t="shared" si="1"/>
        <v>General Purpose and Dimmable</v>
      </c>
      <c r="J14" s="318" t="str">
        <f t="shared" si="1"/>
        <v>665 to 1439 lumens</v>
      </c>
      <c r="K14" s="318" t="s">
        <v>69</v>
      </c>
      <c r="M14" s="317" t="str">
        <f t="shared" si="4"/>
        <v>General Purpose and Dimmable665 to 1439 lumens</v>
      </c>
      <c r="N14" s="317" t="str">
        <f t="shared" si="5"/>
        <v>LEDGeneral Purpose and Dimmable665 to 1439 lumens</v>
      </c>
      <c r="O14" s="317" t="str">
        <f t="shared" si="6"/>
        <v>RetailLEDGeneral Purpose and Dimmable665 to 1439 lumensANY</v>
      </c>
      <c r="P14" s="319">
        <f>VLOOKUP($M14,'Summary Tables'!$E$49:$N$63,7,FALSE)</f>
        <v>1.8773637680174413</v>
      </c>
      <c r="Q14" s="319">
        <f>VLOOKUP($M14,'Summary Tables'!$E$49:$N$63,9,FALSE)</f>
        <v>0.85791980570535631</v>
      </c>
      <c r="R14" s="319">
        <f>VLOOKUP($M14,'Summary Tables'!$E$49:$N$63,10,FALSE)</f>
        <v>949.2054457712826</v>
      </c>
      <c r="S14" s="319"/>
      <c r="T14" s="319">
        <f>IF($I14="General Purpose and Dimmable",$R14/45,VLOOKUP($M14,'Summary Tables'!$E$49:$N$63,5,FALSE))</f>
        <v>21.093454350472946</v>
      </c>
      <c r="U14" s="320">
        <f>IF($I14="General Purpose and Dimmable",VLOOKUP($J14,'CFL and LED Cost'!$C$73:$E$75,3,FALSE),VLOOKUP($M14,'Summary Tables'!$E$49:$N$63,6,FALSE))</f>
        <v>1.4522786346527323</v>
      </c>
      <c r="V14" s="319">
        <f>IF($I14="General Purpose and Dimmable",Lifetime!$B$5/(P14*365.25),VLOOKUP($M14,'Summary Tables'!$E$49:$N$63,8,FALSE))</f>
        <v>7.9445543113898527</v>
      </c>
      <c r="X14" s="321">
        <v>90</v>
      </c>
      <c r="Y14" s="321">
        <f t="shared" si="23"/>
        <v>10.546727175236473</v>
      </c>
      <c r="Z14" s="322">
        <f>VLOOKUP(N14,'CFL and LED Cost'!$D$73:$K$102,MATCH(G14,'CFL and LED Cost'!$D$72:$K$72,0),FALSE)</f>
        <v>8.9136723969618856</v>
      </c>
      <c r="AA14" s="323">
        <f>VLOOKUP(H14,Lifetime!$A$4:$B$8,2,FALSE)</f>
        <v>28708.42332613391</v>
      </c>
      <c r="AB14" s="319">
        <f t="shared" si="7"/>
        <v>12</v>
      </c>
      <c r="AD14" s="324">
        <f>VLOOKUP(G14&amp;H14,StorageTakebackRemoval!$C$56:$H$67,5,FALSE)</f>
        <v>0.98</v>
      </c>
      <c r="AE14" s="324">
        <f>VLOOKUP(G14&amp;H14,StorageTakebackRemoval!$C$56:$H$67,6,FALSE)</f>
        <v>1</v>
      </c>
      <c r="AG14" s="324">
        <f>1-Q14*('Space Conditioning Interaction'!$B$23)</f>
        <v>0.83100362860466148</v>
      </c>
      <c r="AH14" s="317">
        <f>Q14*'Space Conditioning Interaction'!$I$9</f>
        <v>8.6149422723263754E-3</v>
      </c>
      <c r="AJ14" s="317">
        <f t="shared" si="8"/>
        <v>14.463931754801317</v>
      </c>
      <c r="AK14" s="317">
        <f t="shared" si="9"/>
        <v>7.2319658774006585</v>
      </c>
      <c r="AL14" s="317">
        <f t="shared" si="10"/>
        <v>7.2319658774006585</v>
      </c>
      <c r="AM14" s="317">
        <f t="shared" si="11"/>
        <v>7.0873265598526451</v>
      </c>
      <c r="AN14" s="317">
        <f t="shared" si="12"/>
        <v>5.889594088343741</v>
      </c>
      <c r="AP14" s="317">
        <f t="shared" si="13"/>
        <v>-6.1056909178256021E-2</v>
      </c>
      <c r="AR14" s="317" t="str">
        <f t="shared" si="14"/>
        <v>RetailLEDGeneral Purpose and Dimmable665 to 1439 lumensANY</v>
      </c>
      <c r="AS14" s="317" t="str">
        <f t="shared" si="15"/>
        <v>RetailLEDGeneral Purpose and Dimmable665 to 1439 lumensANY</v>
      </c>
      <c r="AT14" s="317">
        <f t="shared" si="16"/>
        <v>5.889594088343741</v>
      </c>
      <c r="AU14" s="319">
        <f t="shared" si="17"/>
        <v>12</v>
      </c>
      <c r="AV14" s="322">
        <f t="shared" si="18"/>
        <v>7.4613937623091537</v>
      </c>
      <c r="AW14" s="317">
        <v>0</v>
      </c>
      <c r="AX14" s="318" t="s">
        <v>70</v>
      </c>
      <c r="AY14" s="317">
        <v>0</v>
      </c>
      <c r="AZ14" s="317">
        <f t="shared" si="19"/>
        <v>-1.4522786346527323</v>
      </c>
      <c r="BA14" s="317">
        <f t="shared" si="20"/>
        <v>7.9445543113898527</v>
      </c>
      <c r="BF14" s="317">
        <f t="shared" si="21"/>
        <v>-6.1056909178256021E-2</v>
      </c>
      <c r="BG14" s="318" t="s">
        <v>71</v>
      </c>
      <c r="BI14" s="325"/>
    </row>
    <row r="15" spans="1:61" s="317" customFormat="1">
      <c r="A15" s="316">
        <f t="shared" si="22"/>
        <v>6</v>
      </c>
      <c r="B15" s="316">
        <f t="shared" si="0"/>
        <v>1</v>
      </c>
      <c r="C15" s="316">
        <f t="shared" si="0"/>
        <v>1</v>
      </c>
      <c r="D15" s="316">
        <f t="shared" si="0"/>
        <v>2</v>
      </c>
      <c r="E15" s="316">
        <f t="shared" si="2"/>
        <v>3</v>
      </c>
      <c r="G15" s="318" t="str">
        <f t="shared" si="3"/>
        <v>Retail</v>
      </c>
      <c r="H15" s="318" t="str">
        <f t="shared" si="1"/>
        <v>LED</v>
      </c>
      <c r="I15" s="318" t="str">
        <f t="shared" si="1"/>
        <v>General Purpose and Dimmable</v>
      </c>
      <c r="J15" s="318" t="str">
        <f t="shared" si="1"/>
        <v>1440 to 2600 lumens</v>
      </c>
      <c r="K15" s="318" t="s">
        <v>69</v>
      </c>
      <c r="M15" s="317" t="str">
        <f t="shared" si="4"/>
        <v>General Purpose and Dimmable1440 to 2600 lumens</v>
      </c>
      <c r="N15" s="317" t="str">
        <f t="shared" si="5"/>
        <v>LEDGeneral Purpose and Dimmable1440 to 2600 lumens</v>
      </c>
      <c r="O15" s="317" t="str">
        <f t="shared" si="6"/>
        <v>RetailLEDGeneral Purpose and Dimmable1440 to 2600 lumensANY</v>
      </c>
      <c r="P15" s="319">
        <f>VLOOKUP($M15,'Summary Tables'!$E$49:$N$63,7,FALSE)</f>
        <v>1.9918551210859123</v>
      </c>
      <c r="Q15" s="319">
        <f>VLOOKUP($M15,'Summary Tables'!$E$49:$N$63,9,FALSE)</f>
        <v>0.78917112934974476</v>
      </c>
      <c r="R15" s="319">
        <f>VLOOKUP($M15,'Summary Tables'!$E$49:$N$63,10,FALSE)</f>
        <v>1747.5999304005293</v>
      </c>
      <c r="S15" s="319"/>
      <c r="T15" s="319">
        <f>IF($I15="General Purpose and Dimmable",$R15/45,VLOOKUP($M15,'Summary Tables'!$E$49:$N$63,5,FALSE))</f>
        <v>38.835554008900651</v>
      </c>
      <c r="U15" s="320">
        <f>IF($I15="General Purpose and Dimmable",VLOOKUP($J15,'CFL and LED Cost'!$C$73:$E$75,3,FALSE),VLOOKUP($M15,'Summary Tables'!$E$49:$N$63,6,FALSE))</f>
        <v>1.8911113019525783</v>
      </c>
      <c r="V15" s="319">
        <f>IF($I15="General Purpose and Dimmable",Lifetime!$B$5/(P15*365.25),VLOOKUP($M15,'Summary Tables'!$E$49:$N$63,8,FALSE))</f>
        <v>7.4879032412351636</v>
      </c>
      <c r="X15" s="321">
        <f>VLOOKUP(N15,'CFL and LED Efficacy'!$D$57:$E$86,2,FALSE)</f>
        <v>85</v>
      </c>
      <c r="Y15" s="321">
        <f t="shared" si="23"/>
        <v>20.559999181182697</v>
      </c>
      <c r="Z15" s="322">
        <f>VLOOKUP(N15,'CFL and LED Cost'!$D$73:$K$102,MATCH(G15,'CFL and LED Cost'!$D$72:$K$72,0),FALSE)</f>
        <v>21.692</v>
      </c>
      <c r="AA15" s="323">
        <f>VLOOKUP(H15,Lifetime!$A$4:$B$8,2,FALSE)</f>
        <v>28708.42332613391</v>
      </c>
      <c r="AB15" s="319">
        <f t="shared" si="7"/>
        <v>12</v>
      </c>
      <c r="AD15" s="324">
        <f>VLOOKUP(G15&amp;H15,StorageTakebackRemoval!$C$56:$H$67,5,FALSE)</f>
        <v>0.98</v>
      </c>
      <c r="AE15" s="324">
        <f>VLOOKUP(G15&amp;H15,StorageTakebackRemoval!$C$56:$H$67,6,FALSE)</f>
        <v>1</v>
      </c>
      <c r="AG15" s="324">
        <f>1-Q15*('Space Conditioning Interaction'!$B$23)</f>
        <v>0.84454600956505743</v>
      </c>
      <c r="AH15" s="317">
        <f>Q15*'Space Conditioning Interaction'!$I$9</f>
        <v>7.9245911763804085E-3</v>
      </c>
      <c r="AJ15" s="317">
        <f t="shared" si="8"/>
        <v>28.253839652768821</v>
      </c>
      <c r="AK15" s="317">
        <f t="shared" si="9"/>
        <v>14.957915110289374</v>
      </c>
      <c r="AL15" s="317">
        <f t="shared" si="10"/>
        <v>13.295924542479447</v>
      </c>
      <c r="AM15" s="317">
        <f t="shared" si="11"/>
        <v>13.030006051629858</v>
      </c>
      <c r="AN15" s="317">
        <f t="shared" si="12"/>
        <v>11.004439615512545</v>
      </c>
      <c r="AP15" s="317">
        <f t="shared" si="13"/>
        <v>-0.10325747098492929</v>
      </c>
      <c r="AR15" s="317" t="str">
        <f t="shared" si="14"/>
        <v>RetailLEDGeneral Purpose and Dimmable1440 to 2600 lumensANY</v>
      </c>
      <c r="AS15" s="317" t="str">
        <f t="shared" si="15"/>
        <v>RetailLEDGeneral Purpose and Dimmable1440 to 2600 lumensANY</v>
      </c>
      <c r="AT15" s="317">
        <f t="shared" si="16"/>
        <v>11.004439615512545</v>
      </c>
      <c r="AU15" s="319">
        <f t="shared" si="17"/>
        <v>12</v>
      </c>
      <c r="AV15" s="322">
        <f t="shared" si="18"/>
        <v>19.800888698047423</v>
      </c>
      <c r="AW15" s="317">
        <v>0</v>
      </c>
      <c r="AX15" s="318" t="s">
        <v>70</v>
      </c>
      <c r="AY15" s="317">
        <v>0</v>
      </c>
      <c r="AZ15" s="317">
        <f>IF(ISERROR($AN15),999,U15*-1)</f>
        <v>-1.8911113019525783</v>
      </c>
      <c r="BA15" s="317">
        <f t="shared" si="20"/>
        <v>7.4879032412351636</v>
      </c>
      <c r="BF15" s="317">
        <f t="shared" si="21"/>
        <v>-0.10325747098492929</v>
      </c>
      <c r="BG15" s="318" t="s">
        <v>71</v>
      </c>
      <c r="BI15" s="325"/>
    </row>
    <row r="16" spans="1:61">
      <c r="A16" s="22">
        <f t="shared" si="22"/>
        <v>7</v>
      </c>
      <c r="B16" s="22">
        <f t="shared" si="0"/>
        <v>1</v>
      </c>
      <c r="C16" s="22">
        <f t="shared" si="0"/>
        <v>1</v>
      </c>
      <c r="D16" s="22">
        <f t="shared" si="0"/>
        <v>3</v>
      </c>
      <c r="E16" s="22">
        <f t="shared" si="2"/>
        <v>1</v>
      </c>
      <c r="G16" s="2" t="str">
        <f t="shared" si="3"/>
        <v>Retail</v>
      </c>
      <c r="H16" s="2" t="str">
        <f t="shared" si="1"/>
        <v>LED</v>
      </c>
      <c r="I16" s="2" t="str">
        <f t="shared" si="1"/>
        <v>Globe</v>
      </c>
      <c r="J16" s="2" t="str">
        <f t="shared" si="1"/>
        <v>250 to 664 lumens</v>
      </c>
      <c r="K16" s="2" t="s">
        <v>69</v>
      </c>
      <c r="M16" s="1" t="str">
        <f t="shared" si="4"/>
        <v>Globe250 to 664 lumens</v>
      </c>
      <c r="N16" s="1" t="str">
        <f t="shared" si="5"/>
        <v>LEDGlobe250 to 664 lumens</v>
      </c>
      <c r="O16" s="1" t="str">
        <f t="shared" si="6"/>
        <v>RetailLEDGlobe250 to 664 lumensANY</v>
      </c>
      <c r="P16" s="15">
        <f>VLOOKUP($M16,'Summary Tables'!$E$49:$N$63,7,FALSE)</f>
        <v>1.3853142296217029</v>
      </c>
      <c r="Q16" s="15">
        <f>VLOOKUP($M16,'Summary Tables'!$E$49:$N$63,9,FALSE)</f>
        <v>0.99302587722156699</v>
      </c>
      <c r="R16" s="15">
        <f>VLOOKUP($M16,'Summary Tables'!$E$49:$N$63,10,FALSE)</f>
        <v>474.28450426267824</v>
      </c>
      <c r="S16" s="15"/>
      <c r="T16" s="15">
        <f>IF($I16="General Purpose and Dimmable",$R16/45,VLOOKUP($M16,'Summary Tables'!$E$49:$N$63,5,FALSE))</f>
        <v>37</v>
      </c>
      <c r="U16" s="42">
        <f>IF($I16="General Purpose and Dimmable",VLOOKUP($J16,'CFL and LED Cost'!$C$73:$E$75,3,FALSE),VLOOKUP($M16,'Summary Tables'!$E$49:$N$63,6,FALSE))</f>
        <v>2.1737529557872382</v>
      </c>
      <c r="V16" s="15">
        <f>IF($I16="General Purpose and Dimmable",Lifetime!$B$5/(P16*365.25),VLOOKUP($M16,'Summary Tables'!$E$49:$N$63,8,FALSE))</f>
        <v>2.2408705642884907</v>
      </c>
      <c r="X16" s="11">
        <f>VLOOKUP(N16,'CFL and LED Efficacy'!$D$57:$E$86,2,FALSE)</f>
        <v>63.597884546214964</v>
      </c>
      <c r="Y16" s="11">
        <f t="shared" si="23"/>
        <v>7.45755157811936</v>
      </c>
      <c r="Z16" s="43">
        <f>VLOOKUP(N16,'CFL and LED Cost'!$D$73:$K$102,MATCH(G16,'CFL and LED Cost'!$D$72:$K$72,0),FALSE)</f>
        <v>6.5889315175788843</v>
      </c>
      <c r="AA16" s="44">
        <f>VLOOKUP(H16,Lifetime!$A$4:$B$8,2,FALSE)</f>
        <v>28708.42332613391</v>
      </c>
      <c r="AB16" s="15">
        <f t="shared" si="7"/>
        <v>12</v>
      </c>
      <c r="AD16" s="45">
        <f>VLOOKUP(G16&amp;H16,StorageTakebackRemoval!$C$56:$H$67,5,FALSE)</f>
        <v>0.98</v>
      </c>
      <c r="AE16" s="45">
        <f>VLOOKUP(G16&amp;H16,StorageTakebackRemoval!$C$56:$H$67,6,FALSE)</f>
        <v>1</v>
      </c>
      <c r="AG16" s="45">
        <f>1-Q16*('Space Conditioning Interaction'!$B$23)</f>
        <v>0.80438991052999065</v>
      </c>
      <c r="AH16" s="1">
        <f>Q16*'Space Conditioning Interaction'!$I$9</f>
        <v>9.9716320223619329E-3</v>
      </c>
      <c r="AJ16" s="1">
        <f t="shared" si="8"/>
        <v>18.721482827665099</v>
      </c>
      <c r="AK16" s="1">
        <f t="shared" si="9"/>
        <v>3.7734168596267121</v>
      </c>
      <c r="AL16" s="1">
        <f t="shared" si="10"/>
        <v>14.948065968038387</v>
      </c>
      <c r="AM16" s="1">
        <f t="shared" si="11"/>
        <v>14.64910464867762</v>
      </c>
      <c r="AN16" s="1">
        <f t="shared" si="12"/>
        <v>11.783591977694261</v>
      </c>
      <c r="AP16" s="1">
        <f t="shared" si="13"/>
        <v>-0.14607548101368481</v>
      </c>
      <c r="AR16" s="1" t="str">
        <f t="shared" si="14"/>
        <v>RetailLEDGlobe250 to 664 lumensANY</v>
      </c>
      <c r="AS16" s="1" t="str">
        <f t="shared" si="15"/>
        <v>RetailLEDGlobe250 to 664 lumensANY</v>
      </c>
      <c r="AT16" s="1">
        <f t="shared" si="16"/>
        <v>11.783591977694261</v>
      </c>
      <c r="AU16" s="15">
        <f t="shared" si="17"/>
        <v>12</v>
      </c>
      <c r="AV16" s="46">
        <f t="shared" si="18"/>
        <v>4.4151785617916461</v>
      </c>
      <c r="AW16" s="1">
        <v>0</v>
      </c>
      <c r="AX16" s="2" t="s">
        <v>70</v>
      </c>
      <c r="AY16" s="1">
        <v>0</v>
      </c>
      <c r="AZ16" s="1">
        <f t="shared" si="19"/>
        <v>-2.1737529557872382</v>
      </c>
      <c r="BA16" s="1">
        <f t="shared" si="20"/>
        <v>2.2408705642884907</v>
      </c>
      <c r="BF16" s="1">
        <f t="shared" si="21"/>
        <v>-0.14607548101368481</v>
      </c>
      <c r="BG16" s="2" t="s">
        <v>71</v>
      </c>
    </row>
    <row r="17" spans="1:61">
      <c r="A17" s="22">
        <f t="shared" si="22"/>
        <v>8</v>
      </c>
      <c r="B17" s="22">
        <f t="shared" si="0"/>
        <v>1</v>
      </c>
      <c r="C17" s="22">
        <f t="shared" si="0"/>
        <v>1</v>
      </c>
      <c r="D17" s="22">
        <f t="shared" si="0"/>
        <v>3</v>
      </c>
      <c r="E17" s="22">
        <f t="shared" si="2"/>
        <v>2</v>
      </c>
      <c r="G17" s="2" t="str">
        <f t="shared" si="3"/>
        <v>Retail</v>
      </c>
      <c r="H17" s="2" t="str">
        <f t="shared" si="1"/>
        <v>LED</v>
      </c>
      <c r="I17" s="2" t="str">
        <f t="shared" si="1"/>
        <v>Globe</v>
      </c>
      <c r="J17" s="2" t="str">
        <f t="shared" si="1"/>
        <v>665 to 1439 lumens</v>
      </c>
      <c r="K17" s="2" t="s">
        <v>69</v>
      </c>
      <c r="M17" s="1" t="str">
        <f t="shared" si="4"/>
        <v>Globe665 to 1439 lumens</v>
      </c>
      <c r="N17" s="1" t="str">
        <f t="shared" si="5"/>
        <v>LEDGlobe665 to 1439 lumens</v>
      </c>
      <c r="O17" s="1" t="str">
        <f t="shared" si="6"/>
        <v>RetailLEDGlobe665 to 1439 lumensANY</v>
      </c>
      <c r="P17" s="15">
        <f>VLOOKUP($M17,'Summary Tables'!$E$49:$N$63,7,FALSE)</f>
        <v>1.4133478593569577</v>
      </c>
      <c r="Q17" s="15">
        <f>VLOOKUP($M17,'Summary Tables'!$E$49:$N$63,9,FALSE)</f>
        <v>0.97668256411584331</v>
      </c>
      <c r="R17" s="15">
        <f>VLOOKUP($M17,'Summary Tables'!$E$49:$N$63,10,FALSE)</f>
        <v>854.01386924203234</v>
      </c>
      <c r="S17" s="15"/>
      <c r="T17" s="15">
        <f>IF($I17="General Purpose and Dimmable",$R17/45,VLOOKUP($M17,'Summary Tables'!$E$49:$N$63,5,FALSE))</f>
        <v>31.100271002710024</v>
      </c>
      <c r="U17" s="42">
        <f>IF($I17="General Purpose and Dimmable",VLOOKUP($J17,'CFL and LED Cost'!$C$73:$E$75,3,FALSE),VLOOKUP($M17,'Summary Tables'!$E$49:$N$63,6,FALSE))</f>
        <v>4.74556552718155</v>
      </c>
      <c r="V17" s="15">
        <f>IF($I17="General Purpose and Dimmable",Lifetime!$B$5/(P17*365.25),VLOOKUP($M17,'Summary Tables'!$E$49:$N$63,8,FALSE))</f>
        <v>2.7621105076077872</v>
      </c>
      <c r="X17" s="11">
        <f>VLOOKUP(N17,'CFL and LED Efficacy'!$D$57:$E$86,2,FALSE)</f>
        <v>76</v>
      </c>
      <c r="Y17" s="11">
        <f t="shared" si="23"/>
        <v>11.237024595289899</v>
      </c>
      <c r="Z17" s="43">
        <f>VLOOKUP(N17,'CFL and LED Cost'!$D$73:$K$102,MATCH(G17,'CFL and LED Cost'!$D$72:$K$72,0),FALSE)</f>
        <v>8.9136723969618856</v>
      </c>
      <c r="AA17" s="44">
        <f>VLOOKUP(H17,Lifetime!$A$4:$B$8,2,FALSE)</f>
        <v>28708.42332613391</v>
      </c>
      <c r="AB17" s="15">
        <f t="shared" si="7"/>
        <v>12</v>
      </c>
      <c r="AD17" s="45">
        <f>VLOOKUP(G17&amp;H17,StorageTakebackRemoval!$C$56:$H$67,5,FALSE)</f>
        <v>0.98</v>
      </c>
      <c r="AE17" s="45">
        <f>VLOOKUP(G17&amp;H17,StorageTakebackRemoval!$C$56:$H$67,6,FALSE)</f>
        <v>1</v>
      </c>
      <c r="AG17" s="45">
        <f>1-Q17*('Space Conditioning Interaction'!$B$23)</f>
        <v>0.80760927974501229</v>
      </c>
      <c r="AH17" s="1">
        <f>Q17*'Space Conditioning Interaction'!$I$9</f>
        <v>9.8075179664699526E-3</v>
      </c>
      <c r="AJ17" s="1">
        <f t="shared" si="8"/>
        <v>16.054746903553813</v>
      </c>
      <c r="AK17" s="1">
        <f t="shared" si="9"/>
        <v>5.8008364560768024</v>
      </c>
      <c r="AL17" s="1">
        <f t="shared" si="10"/>
        <v>10.253910447477011</v>
      </c>
      <c r="AM17" s="1">
        <f t="shared" si="11"/>
        <v>10.048832238527471</v>
      </c>
      <c r="AN17" s="1">
        <f t="shared" si="12"/>
        <v>8.1155301664356294</v>
      </c>
      <c r="AP17" s="1">
        <f t="shared" si="13"/>
        <v>-9.8554102721400638E-2</v>
      </c>
      <c r="AR17" s="1" t="str">
        <f t="shared" si="14"/>
        <v>RetailLEDGlobe665 to 1439 lumensANY</v>
      </c>
      <c r="AS17" s="1" t="str">
        <f t="shared" si="15"/>
        <v>RetailLEDGlobe665 to 1439 lumensANY</v>
      </c>
      <c r="AT17" s="1">
        <f t="shared" si="16"/>
        <v>8.1155301664356294</v>
      </c>
      <c r="AU17" s="15">
        <f t="shared" si="17"/>
        <v>12</v>
      </c>
      <c r="AV17" s="46">
        <f t="shared" si="18"/>
        <v>4.1681068697803356</v>
      </c>
      <c r="AW17" s="1">
        <v>0</v>
      </c>
      <c r="AX17" s="2" t="s">
        <v>70</v>
      </c>
      <c r="AY17" s="1">
        <v>0</v>
      </c>
      <c r="AZ17" s="1">
        <f t="shared" si="19"/>
        <v>-4.74556552718155</v>
      </c>
      <c r="BA17" s="1">
        <f t="shared" si="20"/>
        <v>2.7621105076077872</v>
      </c>
      <c r="BF17" s="1">
        <f t="shared" si="21"/>
        <v>-9.8554102721400638E-2</v>
      </c>
      <c r="BG17" s="2" t="s">
        <v>71</v>
      </c>
    </row>
    <row r="18" spans="1:61">
      <c r="A18" s="22">
        <f t="shared" si="22"/>
        <v>9</v>
      </c>
      <c r="B18" s="22">
        <f t="shared" si="0"/>
        <v>1</v>
      </c>
      <c r="C18" s="22">
        <f t="shared" si="0"/>
        <v>1</v>
      </c>
      <c r="D18" s="22">
        <f t="shared" si="0"/>
        <v>3</v>
      </c>
      <c r="E18" s="22">
        <f t="shared" si="2"/>
        <v>3</v>
      </c>
      <c r="G18" s="2" t="str">
        <f t="shared" si="3"/>
        <v>Retail</v>
      </c>
      <c r="H18" s="2" t="str">
        <f t="shared" si="1"/>
        <v>LED</v>
      </c>
      <c r="I18" s="2" t="str">
        <f t="shared" si="1"/>
        <v>Globe</v>
      </c>
      <c r="J18" s="2" t="str">
        <f t="shared" si="1"/>
        <v>1440 to 2600 lumens</v>
      </c>
      <c r="K18" s="2" t="s">
        <v>69</v>
      </c>
      <c r="M18" s="1" t="str">
        <f t="shared" si="4"/>
        <v>Globe1440 to 2600 lumens</v>
      </c>
      <c r="N18" s="1" t="str">
        <f t="shared" si="5"/>
        <v>LEDGlobe1440 to 2600 lumens</v>
      </c>
      <c r="O18" s="1" t="str">
        <f t="shared" si="6"/>
        <v>RetailLEDGlobe1440 to 2600 lumensANY</v>
      </c>
      <c r="P18" s="15">
        <f>VLOOKUP($M18,'Summary Tables'!$E$49:$N$63,7,FALSE)</f>
        <v>1.8779135295448872</v>
      </c>
      <c r="Q18" s="15">
        <f>VLOOKUP($M18,'Summary Tables'!$E$49:$N$63,9,FALSE)</f>
        <v>0.84854563840574837</v>
      </c>
      <c r="R18" s="15">
        <f>VLOOKUP($M18,'Summary Tables'!$E$49:$N$63,10,FALSE)</f>
        <v>1845.0029433386362</v>
      </c>
      <c r="S18" s="15"/>
      <c r="T18" s="15">
        <f>IF($I18="General Purpose and Dimmable",$R18/45,VLOOKUP($M18,'Summary Tables'!$E$49:$N$63,5,FALSE))</f>
        <v>37</v>
      </c>
      <c r="U18" s="42">
        <f>IF($I18="General Purpose and Dimmable",VLOOKUP($J18,'CFL and LED Cost'!$C$73:$E$75,3,FALSE),VLOOKUP($M18,'Summary Tables'!$E$49:$N$63,6,FALSE))</f>
        <v>5.4627245082786207</v>
      </c>
      <c r="V18" s="15">
        <f>IF($I18="General Purpose and Dimmable",Lifetime!$B$5/(P18*365.25),VLOOKUP($M18,'Summary Tables'!$E$49:$N$63,8,FALSE))</f>
        <v>2.0492242794119604</v>
      </c>
      <c r="X18" s="313">
        <f>X15/X13*X16</f>
        <v>86.554776312664501</v>
      </c>
      <c r="Y18" s="11">
        <f t="shared" si="23"/>
        <v>21.316015382835431</v>
      </c>
      <c r="Z18" s="43">
        <f>VLOOKUP(N18,'CFL and LED Cost'!$D$73:$K$102,MATCH(G18,'CFL and LED Cost'!$D$72:$K$72,0),FALSE)</f>
        <v>21.692</v>
      </c>
      <c r="AA18" s="44">
        <f>VLOOKUP(H18,Lifetime!$A$4:$B$8,2,FALSE)</f>
        <v>28708.42332613391</v>
      </c>
      <c r="AB18" s="15">
        <f t="shared" si="7"/>
        <v>12</v>
      </c>
      <c r="AD18" s="45">
        <f>VLOOKUP(G18&amp;H18,StorageTakebackRemoval!$C$56:$H$67,5,FALSE)</f>
        <v>0.98</v>
      </c>
      <c r="AE18" s="45">
        <f>VLOOKUP(G18&amp;H18,StorageTakebackRemoval!$C$56:$H$67,6,FALSE)</f>
        <v>1</v>
      </c>
      <c r="AG18" s="45">
        <f>1-Q18*('Space Conditioning Interaction'!$B$23)</f>
        <v>0.83285018844388103</v>
      </c>
      <c r="AH18" s="1">
        <f>Q18*'Space Conditioning Interaction'!$I$9</f>
        <v>8.5208100357231469E-3</v>
      </c>
      <c r="AJ18" s="1">
        <f t="shared" si="8"/>
        <v>25.378592916651993</v>
      </c>
      <c r="AK18" s="1">
        <f t="shared" si="9"/>
        <v>14.620823702866815</v>
      </c>
      <c r="AL18" s="1">
        <f t="shared" si="10"/>
        <v>10.757769213785178</v>
      </c>
      <c r="AM18" s="1">
        <f t="shared" si="11"/>
        <v>10.542613829509474</v>
      </c>
      <c r="AN18" s="1">
        <f t="shared" si="12"/>
        <v>8.780417914598031</v>
      </c>
      <c r="AP18" s="1">
        <f t="shared" si="13"/>
        <v>-8.9831609721237965E-2</v>
      </c>
      <c r="AR18" s="1" t="str">
        <f t="shared" si="14"/>
        <v>RetailLEDGlobe1440 to 2600 lumensANY</v>
      </c>
      <c r="AS18" s="1" t="str">
        <f t="shared" si="15"/>
        <v>RetailLEDGlobe1440 to 2600 lumensANY</v>
      </c>
      <c r="AT18" s="1">
        <f t="shared" si="16"/>
        <v>8.780417914598031</v>
      </c>
      <c r="AU18" s="15">
        <f t="shared" si="17"/>
        <v>12</v>
      </c>
      <c r="AV18" s="46">
        <f t="shared" si="18"/>
        <v>16.229275491721381</v>
      </c>
      <c r="AW18" s="1">
        <v>0</v>
      </c>
      <c r="AX18" s="2" t="s">
        <v>70</v>
      </c>
      <c r="AY18" s="1">
        <v>0</v>
      </c>
      <c r="AZ18" s="1">
        <f t="shared" si="19"/>
        <v>-5.4627245082786207</v>
      </c>
      <c r="BA18" s="1">
        <f t="shared" si="20"/>
        <v>2.0492242794119604</v>
      </c>
      <c r="BF18" s="1">
        <f t="shared" si="21"/>
        <v>-8.9831609721237965E-2</v>
      </c>
      <c r="BG18" s="2" t="s">
        <v>71</v>
      </c>
    </row>
    <row r="19" spans="1:61">
      <c r="A19" s="22">
        <f t="shared" si="22"/>
        <v>10</v>
      </c>
      <c r="B19" s="22">
        <f t="shared" si="0"/>
        <v>1</v>
      </c>
      <c r="C19" s="22">
        <f t="shared" si="0"/>
        <v>1</v>
      </c>
      <c r="D19" s="22">
        <f t="shared" si="0"/>
        <v>4</v>
      </c>
      <c r="E19" s="22">
        <f t="shared" si="2"/>
        <v>1</v>
      </c>
      <c r="G19" s="2" t="str">
        <f t="shared" si="3"/>
        <v>Retail</v>
      </c>
      <c r="H19" s="2" t="str">
        <f t="shared" si="1"/>
        <v>LED</v>
      </c>
      <c r="I19" s="2" t="str">
        <f t="shared" si="1"/>
        <v>Reflectors and Outdoor</v>
      </c>
      <c r="J19" s="2" t="str">
        <f t="shared" si="1"/>
        <v>250 to 664 lumens</v>
      </c>
      <c r="K19" s="2" t="s">
        <v>69</v>
      </c>
      <c r="M19" s="1" t="str">
        <f t="shared" si="4"/>
        <v>Reflectors and Outdoor250 to 664 lumens</v>
      </c>
      <c r="N19" s="1" t="str">
        <f t="shared" si="5"/>
        <v>LEDReflectors and Outdoor250 to 664 lumens</v>
      </c>
      <c r="O19" s="1" t="str">
        <f t="shared" si="6"/>
        <v>RetailLEDReflectors and Outdoor250 to 664 lumensANY</v>
      </c>
      <c r="P19" s="15">
        <f>VLOOKUP($M19,'Summary Tables'!$E$49:$N$63,7,FALSE)</f>
        <v>1.9506803142955835</v>
      </c>
      <c r="Q19" s="15">
        <f>VLOOKUP($M19,'Summary Tables'!$E$49:$N$63,9,FALSE)</f>
        <v>0.94622699649287401</v>
      </c>
      <c r="R19" s="15">
        <f>VLOOKUP($M19,'Summary Tables'!$E$49:$N$63,10,FALSE)</f>
        <v>479.73166573433264</v>
      </c>
      <c r="S19" s="15"/>
      <c r="T19" s="15">
        <f>IF($I19="General Purpose and Dimmable",$R19/45,VLOOKUP($M19,'Summary Tables'!$E$49:$N$63,5,FALSE))</f>
        <v>38</v>
      </c>
      <c r="U19" s="42">
        <f>IF($I19="General Purpose and Dimmable",VLOOKUP($J19,'CFL and LED Cost'!$C$73:$E$75,3,FALSE),VLOOKUP($M19,'Summary Tables'!$E$49:$N$63,6,FALSE))</f>
        <v>4.6350044381489033</v>
      </c>
      <c r="V19" s="15">
        <f>IF($I19="General Purpose and Dimmable",Lifetime!$B$5/(P19*365.25),VLOOKUP($M19,'Summary Tables'!$E$49:$N$63,8,FALSE))</f>
        <v>2.1002897994909375</v>
      </c>
      <c r="X19" s="11">
        <f>VLOOKUP(N19,'CFL and LED Efficacy'!$D$57:$E$86,2,FALSE)</f>
        <v>56.325863413141882</v>
      </c>
      <c r="Y19" s="11">
        <f t="shared" si="23"/>
        <v>8.5170761114760332</v>
      </c>
      <c r="Z19" s="43">
        <f>VLOOKUP(N19,'CFL and LED Cost'!$D$73:$K$102,MATCH(G19,'CFL and LED Cost'!$D$72:$K$72,0),FALSE)</f>
        <v>21.195435697005799</v>
      </c>
      <c r="AA19" s="44">
        <f>VLOOKUP(H19,Lifetime!$A$4:$B$8,2,FALSE)</f>
        <v>28708.42332613391</v>
      </c>
      <c r="AB19" s="15">
        <f t="shared" si="7"/>
        <v>12</v>
      </c>
      <c r="AD19" s="45">
        <f>VLOOKUP(G19&amp;H19,StorageTakebackRemoval!$C$56:$H$67,5,FALSE)</f>
        <v>0.98</v>
      </c>
      <c r="AE19" s="45">
        <f>VLOOKUP(G19&amp;H19,StorageTakebackRemoval!$C$56:$H$67,6,FALSE)</f>
        <v>1</v>
      </c>
      <c r="AG19" s="45">
        <f>1-Q19*('Space Conditioning Interaction'!$B$23)</f>
        <v>0.81360853559950974</v>
      </c>
      <c r="AH19" s="1">
        <f>Q19*'Space Conditioning Interaction'!$I$9</f>
        <v>9.5016933949913906E-3</v>
      </c>
      <c r="AJ19" s="1">
        <f t="shared" si="8"/>
        <v>27.074467422265553</v>
      </c>
      <c r="AK19" s="1">
        <f t="shared" si="9"/>
        <v>6.0682973608714219</v>
      </c>
      <c r="AL19" s="1">
        <f t="shared" si="10"/>
        <v>21.00617006139413</v>
      </c>
      <c r="AM19" s="1">
        <f t="shared" si="11"/>
        <v>20.586046660166247</v>
      </c>
      <c r="AN19" s="1">
        <f t="shared" si="12"/>
        <v>16.748983276961038</v>
      </c>
      <c r="AP19" s="1">
        <f t="shared" si="13"/>
        <v>-0.1956023035798862</v>
      </c>
      <c r="AR19" s="1" t="str">
        <f t="shared" si="14"/>
        <v>RetailLEDReflectors and Outdoor250 to 664 lumensANY</v>
      </c>
      <c r="AS19" s="1" t="str">
        <f t="shared" si="15"/>
        <v>RetailLEDReflectors and Outdoor250 to 664 lumensANY</v>
      </c>
      <c r="AT19" s="1">
        <f t="shared" si="16"/>
        <v>16.748983276961038</v>
      </c>
      <c r="AU19" s="15">
        <f t="shared" si="17"/>
        <v>12</v>
      </c>
      <c r="AV19" s="46">
        <f t="shared" si="18"/>
        <v>16.560431258856894</v>
      </c>
      <c r="AW19" s="1">
        <v>0</v>
      </c>
      <c r="AX19" s="2" t="s">
        <v>70</v>
      </c>
      <c r="AY19" s="1">
        <v>0</v>
      </c>
      <c r="AZ19" s="1">
        <f t="shared" si="19"/>
        <v>-4.6350044381489033</v>
      </c>
      <c r="BA19" s="1">
        <f t="shared" si="20"/>
        <v>2.1002897994909375</v>
      </c>
      <c r="BF19" s="1">
        <f t="shared" si="21"/>
        <v>-0.1956023035798862</v>
      </c>
      <c r="BG19" s="2" t="s">
        <v>71</v>
      </c>
    </row>
    <row r="20" spans="1:61">
      <c r="A20" s="22">
        <f t="shared" si="22"/>
        <v>11</v>
      </c>
      <c r="B20" s="22">
        <f t="shared" si="0"/>
        <v>1</v>
      </c>
      <c r="C20" s="22">
        <f t="shared" si="0"/>
        <v>1</v>
      </c>
      <c r="D20" s="22">
        <f t="shared" si="0"/>
        <v>4</v>
      </c>
      <c r="E20" s="22">
        <f t="shared" si="2"/>
        <v>2</v>
      </c>
      <c r="G20" s="2" t="str">
        <f t="shared" si="3"/>
        <v>Retail</v>
      </c>
      <c r="H20" s="2" t="str">
        <f t="shared" si="1"/>
        <v>LED</v>
      </c>
      <c r="I20" s="2" t="str">
        <f t="shared" si="1"/>
        <v>Reflectors and Outdoor</v>
      </c>
      <c r="J20" s="2" t="str">
        <f t="shared" si="1"/>
        <v>665 to 1439 lumens</v>
      </c>
      <c r="K20" s="2" t="s">
        <v>69</v>
      </c>
      <c r="M20" s="1" t="str">
        <f t="shared" si="4"/>
        <v>Reflectors and Outdoor665 to 1439 lumens</v>
      </c>
      <c r="N20" s="1" t="str">
        <f t="shared" si="5"/>
        <v>LEDReflectors and Outdoor665 to 1439 lumens</v>
      </c>
      <c r="O20" s="1" t="str">
        <f t="shared" si="6"/>
        <v>RetailLEDReflectors and Outdoor665 to 1439 lumensANY</v>
      </c>
      <c r="P20" s="15">
        <f>VLOOKUP($M20,'Summary Tables'!$E$49:$N$63,7,FALSE)</f>
        <v>2.2112998582903738</v>
      </c>
      <c r="Q20" s="15">
        <f>VLOOKUP($M20,'Summary Tables'!$E$49:$N$63,9,FALSE)</f>
        <v>0.82931998492682701</v>
      </c>
      <c r="R20" s="15">
        <f>VLOOKUP($M20,'Summary Tables'!$E$49:$N$63,10,FALSE)</f>
        <v>972.55453255182397</v>
      </c>
      <c r="S20" s="15"/>
      <c r="T20" s="15">
        <f>IF($I20="General Purpose and Dimmable",$R20/45,VLOOKUP($M20,'Summary Tables'!$E$49:$N$63,5,FALSE))</f>
        <v>33.801608579088473</v>
      </c>
      <c r="U20" s="42">
        <f>IF($I20="General Purpose and Dimmable",VLOOKUP($J20,'CFL and LED Cost'!$C$73:$E$75,3,FALSE),VLOOKUP($M20,'Summary Tables'!$E$49:$N$63,6,FALSE))</f>
        <v>6.0025868409413388</v>
      </c>
      <c r="V20" s="15">
        <f>IF($I20="General Purpose and Dimmable",Lifetime!$B$5/(P20*365.25),VLOOKUP($M20,'Summary Tables'!$E$49:$N$63,8,FALSE))</f>
        <v>2.7605785479478313</v>
      </c>
      <c r="X20" s="11">
        <f>VLOOKUP(N20,'CFL and LED Efficacy'!$D$57:$E$86,2,FALSE)</f>
        <v>67</v>
      </c>
      <c r="Y20" s="11">
        <f t="shared" si="23"/>
        <v>14.515739291818269</v>
      </c>
      <c r="Z20" s="43">
        <f>VLOOKUP(N20,'CFL and LED Cost'!$D$73:$K$102,MATCH(G20,'CFL and LED Cost'!$D$72:$K$72,0),FALSE)</f>
        <v>17.935480603886987</v>
      </c>
      <c r="AA20" s="44">
        <f>VLOOKUP(H20,Lifetime!$A$4:$B$8,2,FALSE)</f>
        <v>28708.42332613391</v>
      </c>
      <c r="AB20" s="15">
        <f t="shared" si="7"/>
        <v>12</v>
      </c>
      <c r="AD20" s="45">
        <f>VLOOKUP(G20&amp;H20,StorageTakebackRemoval!$C$56:$H$67,5,FALSE)</f>
        <v>0.98</v>
      </c>
      <c r="AE20" s="45">
        <f>VLOOKUP(G20&amp;H20,StorageTakebackRemoval!$C$56:$H$67,6,FALSE)</f>
        <v>1</v>
      </c>
      <c r="AG20" s="45">
        <f>1-Q20*('Space Conditioning Interaction'!$B$23)</f>
        <v>0.83663733224687387</v>
      </c>
      <c r="AH20" s="1">
        <f>Q20*'Space Conditioning Interaction'!$I$9</f>
        <v>8.3277524867923537E-3</v>
      </c>
      <c r="AJ20" s="1">
        <f t="shared" si="8"/>
        <v>27.300791048302866</v>
      </c>
      <c r="AK20" s="1">
        <f t="shared" si="9"/>
        <v>11.724032730286623</v>
      </c>
      <c r="AL20" s="1">
        <f t="shared" si="10"/>
        <v>15.576758318016243</v>
      </c>
      <c r="AM20" s="1">
        <f t="shared" si="11"/>
        <v>15.265223151655917</v>
      </c>
      <c r="AN20" s="1">
        <f t="shared" si="12"/>
        <v>12.771455573754622</v>
      </c>
      <c r="AP20" s="1">
        <f t="shared" si="13"/>
        <v>-0.12712500006264277</v>
      </c>
      <c r="AR20" s="1" t="str">
        <f t="shared" si="14"/>
        <v>RetailLEDReflectors and Outdoor665 to 1439 lumensANY</v>
      </c>
      <c r="AS20" s="1" t="str">
        <f t="shared" si="15"/>
        <v>RetailLEDReflectors and Outdoor665 to 1439 lumensANY</v>
      </c>
      <c r="AT20" s="1">
        <f t="shared" si="16"/>
        <v>12.771455573754622</v>
      </c>
      <c r="AU20" s="15">
        <f t="shared" si="17"/>
        <v>12</v>
      </c>
      <c r="AV20" s="46">
        <f t="shared" si="18"/>
        <v>11.932893762945648</v>
      </c>
      <c r="AW20" s="1">
        <v>0</v>
      </c>
      <c r="AX20" s="2" t="s">
        <v>70</v>
      </c>
      <c r="AY20" s="1">
        <v>0</v>
      </c>
      <c r="AZ20" s="1">
        <f t="shared" si="19"/>
        <v>-6.0025868409413388</v>
      </c>
      <c r="BA20" s="1">
        <f t="shared" si="20"/>
        <v>2.7605785479478313</v>
      </c>
      <c r="BF20" s="1">
        <f t="shared" si="21"/>
        <v>-0.12712500006264277</v>
      </c>
      <c r="BG20" s="2" t="s">
        <v>71</v>
      </c>
    </row>
    <row r="21" spans="1:61">
      <c r="A21" s="22">
        <f t="shared" si="22"/>
        <v>12</v>
      </c>
      <c r="B21" s="22">
        <f t="shared" si="0"/>
        <v>1</v>
      </c>
      <c r="C21" s="22">
        <f t="shared" si="0"/>
        <v>1</v>
      </c>
      <c r="D21" s="22">
        <f t="shared" si="0"/>
        <v>4</v>
      </c>
      <c r="E21" s="22">
        <f t="shared" si="2"/>
        <v>3</v>
      </c>
      <c r="G21" s="2" t="str">
        <f t="shared" si="3"/>
        <v>Retail</v>
      </c>
      <c r="H21" s="2" t="str">
        <f t="shared" si="1"/>
        <v>LED</v>
      </c>
      <c r="I21" s="2" t="str">
        <f t="shared" si="1"/>
        <v>Reflectors and Outdoor</v>
      </c>
      <c r="J21" s="2" t="str">
        <f t="shared" si="1"/>
        <v>1440 to 2600 lumens</v>
      </c>
      <c r="K21" s="2" t="s">
        <v>69</v>
      </c>
      <c r="M21" s="1" t="str">
        <f t="shared" si="4"/>
        <v>Reflectors and Outdoor1440 to 2600 lumens</v>
      </c>
      <c r="N21" s="1" t="str">
        <f t="shared" si="5"/>
        <v>LEDReflectors and Outdoor1440 to 2600 lumens</v>
      </c>
      <c r="O21" s="1" t="str">
        <f t="shared" si="6"/>
        <v>RetailLEDReflectors and Outdoor1440 to 2600 lumensANY</v>
      </c>
      <c r="P21" s="15">
        <f>VLOOKUP($M21,'Summary Tables'!$E$49:$N$63,7,FALSE)</f>
        <v>3.1412077290657425</v>
      </c>
      <c r="Q21" s="15">
        <f>VLOOKUP($M21,'Summary Tables'!$E$49:$N$63,9,FALSE)</f>
        <v>0.2985167573190915</v>
      </c>
      <c r="R21" s="15">
        <f>VLOOKUP($M21,'Summary Tables'!$E$49:$N$63,10,FALSE)</f>
        <v>1835.2728077183538</v>
      </c>
      <c r="S21" s="15"/>
      <c r="T21" s="15">
        <f>IF($I21="General Purpose and Dimmable",$R21/45,VLOOKUP($M21,'Summary Tables'!$E$49:$N$63,5,FALSE))</f>
        <v>92</v>
      </c>
      <c r="U21" s="42">
        <f>IF($I21="General Purpose and Dimmable",VLOOKUP($J21,'CFL and LED Cost'!$C$73:$E$75,3,FALSE),VLOOKUP($M21,'Summary Tables'!$E$49:$N$63,6,FALSE))</f>
        <v>6.8379432184399001</v>
      </c>
      <c r="V21" s="15">
        <f>IF($I21="General Purpose and Dimmable",Lifetime!$B$5/(P21*365.25),VLOOKUP($M21,'Summary Tables'!$E$49:$N$63,8,FALSE))</f>
        <v>1.8152462117520278</v>
      </c>
      <c r="X21" s="11">
        <f>VLOOKUP(N21,'CFL and LED Efficacy'!$D$57:$E$86,2,FALSE)</f>
        <v>67</v>
      </c>
      <c r="Y21" s="11">
        <f t="shared" si="23"/>
        <v>27.392131458482893</v>
      </c>
      <c r="Z21" s="43">
        <f>VLOOKUP(N21,'CFL and LED Cost'!$D$73:$K$102,MATCH(G21,'CFL and LED Cost'!$D$72:$K$72,0),FALSE)</f>
        <v>32.537999999999997</v>
      </c>
      <c r="AA21" s="44">
        <f>VLOOKUP(H21,Lifetime!$A$4:$B$8,2,FALSE)</f>
        <v>28708.42332613391</v>
      </c>
      <c r="AB21" s="15">
        <f t="shared" si="7"/>
        <v>12</v>
      </c>
      <c r="AD21" s="45">
        <f>VLOOKUP(G21&amp;H21,StorageTakebackRemoval!$C$56:$H$67,5,FALSE)</f>
        <v>0.98</v>
      </c>
      <c r="AE21" s="45">
        <f>VLOOKUP(G21&amp;H21,StorageTakebackRemoval!$C$56:$H$67,6,FALSE)</f>
        <v>1</v>
      </c>
      <c r="AG21" s="45">
        <f>1-Q21*('Space Conditioning Interaction'!$B$23)</f>
        <v>0.94119701112838594</v>
      </c>
      <c r="AH21" s="1">
        <f>Q21*'Space Conditioning Interaction'!$I$9</f>
        <v>2.9976049212567784E-3</v>
      </c>
      <c r="AJ21" s="1">
        <f t="shared" si="8"/>
        <v>105.55400331979615</v>
      </c>
      <c r="AK21" s="1">
        <f t="shared" si="9"/>
        <v>31.427707988097779</v>
      </c>
      <c r="AL21" s="1">
        <f t="shared" si="10"/>
        <v>74.126295331698373</v>
      </c>
      <c r="AM21" s="1">
        <f t="shared" si="11"/>
        <v>72.643769425064406</v>
      </c>
      <c r="AN21" s="1">
        <f t="shared" si="12"/>
        <v>68.372098659970248</v>
      </c>
      <c r="AP21" s="1">
        <f t="shared" si="13"/>
        <v>-0.21775732072721576</v>
      </c>
      <c r="AR21" s="1" t="str">
        <f t="shared" si="14"/>
        <v>RetailLEDReflectors and Outdoor1440 to 2600 lumensANY</v>
      </c>
      <c r="AS21" s="1" t="str">
        <f t="shared" si="15"/>
        <v>RetailLEDReflectors and Outdoor1440 to 2600 lumensANY</v>
      </c>
      <c r="AT21" s="1">
        <f t="shared" si="16"/>
        <v>68.372098659970248</v>
      </c>
      <c r="AU21" s="15">
        <f t="shared" si="17"/>
        <v>12</v>
      </c>
      <c r="AV21" s="46">
        <f t="shared" si="18"/>
        <v>25.700056781560097</v>
      </c>
      <c r="AW21" s="1">
        <v>0</v>
      </c>
      <c r="AX21" s="2" t="s">
        <v>70</v>
      </c>
      <c r="AY21" s="1">
        <v>0</v>
      </c>
      <c r="AZ21" s="1">
        <f t="shared" si="19"/>
        <v>-6.8379432184399001</v>
      </c>
      <c r="BA21" s="1">
        <f t="shared" si="20"/>
        <v>1.8152462117520278</v>
      </c>
      <c r="BF21" s="1">
        <f t="shared" si="21"/>
        <v>-0.21775732072721576</v>
      </c>
      <c r="BG21" s="2" t="s">
        <v>71</v>
      </c>
    </row>
    <row r="22" spans="1:61">
      <c r="A22" s="22">
        <f t="shared" si="22"/>
        <v>13</v>
      </c>
      <c r="B22" s="22">
        <f t="shared" si="0"/>
        <v>1</v>
      </c>
      <c r="C22" s="22">
        <f t="shared" si="0"/>
        <v>1</v>
      </c>
      <c r="D22" s="22">
        <f t="shared" si="0"/>
        <v>5</v>
      </c>
      <c r="E22" s="22">
        <f t="shared" si="2"/>
        <v>1</v>
      </c>
      <c r="G22" s="2" t="str">
        <f t="shared" si="3"/>
        <v>Retail</v>
      </c>
      <c r="H22" s="2" t="str">
        <f t="shared" si="1"/>
        <v>LED</v>
      </c>
      <c r="I22" s="2" t="str">
        <f t="shared" si="1"/>
        <v>Three-Way</v>
      </c>
      <c r="J22" s="2" t="str">
        <f t="shared" si="1"/>
        <v>250 to 664 lumens</v>
      </c>
      <c r="K22" s="2" t="s">
        <v>69</v>
      </c>
      <c r="M22" s="1" t="str">
        <f t="shared" si="4"/>
        <v>Three-Way250 to 664 lumens</v>
      </c>
      <c r="N22" s="1" t="str">
        <f t="shared" si="5"/>
        <v>LEDThree-Way250 to 664 lumens</v>
      </c>
      <c r="O22" s="1" t="str">
        <f t="shared" si="6"/>
        <v>RetailLEDThree-Way250 to 664 lumensANY</v>
      </c>
      <c r="P22" s="15">
        <f>VLOOKUP($M22,'Summary Tables'!$E$49:$N$63,7,FALSE)</f>
        <v>1.6416684714322591</v>
      </c>
      <c r="Q22" s="15">
        <f>VLOOKUP($M22,'Summary Tables'!$E$49:$N$63,9,FALSE)</f>
        <v>1</v>
      </c>
      <c r="R22" s="15">
        <f>VLOOKUP($M22,'Summary Tables'!$E$49:$N$63,10,FALSE)</f>
        <v>415.0645318455953</v>
      </c>
      <c r="S22" s="15"/>
      <c r="T22" s="15">
        <f>IF($I22="General Purpose and Dimmable",$R22/45,VLOOKUP($M22,'Summary Tables'!$E$49:$N$63,5,FALSE))</f>
        <v>91</v>
      </c>
      <c r="U22" s="42">
        <f>IF($I22="General Purpose and Dimmable",VLOOKUP($J22,'CFL and LED Cost'!$C$73:$E$75,3,FALSE),VLOOKUP($M22,'Summary Tables'!$E$49:$N$63,6,FALSE))</f>
        <v>2.5086033161955381</v>
      </c>
      <c r="V22" s="15">
        <f>IF($I22="General Purpose and Dimmable",Lifetime!$B$5/(P22*365.25),VLOOKUP($M22,'Summary Tables'!$E$49:$N$63,8,FALSE))</f>
        <v>1.9664811264199897</v>
      </c>
      <c r="X22" s="313">
        <f>X13</f>
        <v>62.45548098813935</v>
      </c>
      <c r="Y22" s="11">
        <f t="shared" si="23"/>
        <v>6.6457663167211605</v>
      </c>
      <c r="Z22" s="43">
        <f>VLOOKUP(N22,'CFL and LED Cost'!$D$73:$K$102,MATCH(G22,'CFL and LED Cost'!$D$72:$K$72,0),FALSE)</f>
        <v>21.195435697005799</v>
      </c>
      <c r="AA22" s="44">
        <f>VLOOKUP(H22,Lifetime!$A$4:$B$8,2,FALSE)</f>
        <v>28708.42332613391</v>
      </c>
      <c r="AB22" s="15">
        <f t="shared" si="7"/>
        <v>12</v>
      </c>
      <c r="AD22" s="45">
        <f>VLOOKUP(G22&amp;H22,StorageTakebackRemoval!$C$56:$H$67,5,FALSE)</f>
        <v>0.98</v>
      </c>
      <c r="AE22" s="45">
        <f>VLOOKUP(G22&amp;H22,StorageTakebackRemoval!$C$56:$H$67,6,FALSE)</f>
        <v>1</v>
      </c>
      <c r="AG22" s="45">
        <f>1-Q22*('Space Conditioning Interaction'!$B$23)</f>
        <v>0.8030161207708747</v>
      </c>
      <c r="AH22" s="1">
        <f>Q22*'Space Conditioning Interaction'!$I$9</f>
        <v>1.0041663818733528E-2</v>
      </c>
      <c r="AJ22" s="1">
        <f t="shared" si="8"/>
        <v>54.565366236347565</v>
      </c>
      <c r="AK22" s="1">
        <f t="shared" si="9"/>
        <v>3.9849304724513495</v>
      </c>
      <c r="AL22" s="1">
        <f t="shared" si="10"/>
        <v>50.580435763896219</v>
      </c>
      <c r="AM22" s="1">
        <f t="shared" si="11"/>
        <v>49.568827048618296</v>
      </c>
      <c r="AN22" s="1">
        <f t="shared" si="12"/>
        <v>39.804567207743872</v>
      </c>
      <c r="AP22" s="1">
        <f t="shared" si="13"/>
        <v>-0.49775349711117017</v>
      </c>
      <c r="AR22" s="1" t="str">
        <f t="shared" si="14"/>
        <v>RetailLEDThree-Way250 to 664 lumensANY</v>
      </c>
      <c r="AS22" s="1" t="str">
        <f t="shared" si="15"/>
        <v>RetailLEDThree-Way250 to 664 lumensANY</v>
      </c>
      <c r="AT22" s="1">
        <f t="shared" si="16"/>
        <v>39.804567207743872</v>
      </c>
      <c r="AU22" s="15">
        <f t="shared" si="17"/>
        <v>12</v>
      </c>
      <c r="AV22" s="46">
        <f t="shared" si="18"/>
        <v>18.686832380810259</v>
      </c>
      <c r="AW22" s="1">
        <v>0</v>
      </c>
      <c r="AX22" s="2" t="s">
        <v>70</v>
      </c>
      <c r="AY22" s="1">
        <v>0</v>
      </c>
      <c r="AZ22" s="1">
        <f t="shared" si="19"/>
        <v>-2.5086033161955381</v>
      </c>
      <c r="BA22" s="1">
        <f t="shared" si="20"/>
        <v>1.9664811264199897</v>
      </c>
      <c r="BF22" s="1">
        <f t="shared" si="21"/>
        <v>-0.49775349711117017</v>
      </c>
      <c r="BG22" s="2" t="s">
        <v>71</v>
      </c>
    </row>
    <row r="23" spans="1:61">
      <c r="A23" s="22">
        <f t="shared" si="22"/>
        <v>14</v>
      </c>
      <c r="B23" s="22">
        <f t="shared" si="0"/>
        <v>1</v>
      </c>
      <c r="C23" s="22">
        <f t="shared" si="0"/>
        <v>1</v>
      </c>
      <c r="D23" s="22">
        <f t="shared" si="0"/>
        <v>5</v>
      </c>
      <c r="E23" s="22">
        <f t="shared" si="2"/>
        <v>2</v>
      </c>
      <c r="G23" s="2" t="str">
        <f t="shared" si="3"/>
        <v>Retail</v>
      </c>
      <c r="H23" s="2" t="str">
        <f t="shared" si="1"/>
        <v>LED</v>
      </c>
      <c r="I23" s="2" t="str">
        <f t="shared" si="1"/>
        <v>Three-Way</v>
      </c>
      <c r="J23" s="2" t="str">
        <f t="shared" si="1"/>
        <v>665 to 1439 lumens</v>
      </c>
      <c r="K23" s="2" t="s">
        <v>69</v>
      </c>
      <c r="M23" s="1" t="str">
        <f t="shared" si="4"/>
        <v>Three-Way665 to 1439 lumens</v>
      </c>
      <c r="N23" s="1" t="str">
        <f t="shared" si="5"/>
        <v>LEDThree-Way665 to 1439 lumens</v>
      </c>
      <c r="O23" s="1" t="str">
        <f t="shared" si="6"/>
        <v>RetailLEDThree-Way665 to 1439 lumensANY</v>
      </c>
      <c r="P23" s="15">
        <f>VLOOKUP($M23,'Summary Tables'!$E$49:$N$63,7,FALSE)</f>
        <v>1.9012991277195712</v>
      </c>
      <c r="Q23" s="15">
        <f>VLOOKUP($M23,'Summary Tables'!$E$49:$N$63,9,FALSE)</f>
        <v>0.9977909622715454</v>
      </c>
      <c r="R23" s="15">
        <f>VLOOKUP($M23,'Summary Tables'!$E$49:$N$63,10,FALSE)</f>
        <v>1132.8409655317996</v>
      </c>
      <c r="S23" s="15"/>
      <c r="T23" s="15">
        <f>IF($I23="General Purpose and Dimmable",$R23/45,VLOOKUP($M23,'Summary Tables'!$E$49:$N$63,5,FALSE))</f>
        <v>91</v>
      </c>
      <c r="U23" s="42">
        <f>IF($I23="General Purpose and Dimmable",VLOOKUP($J23,'CFL and LED Cost'!$C$73:$E$75,3,FALSE),VLOOKUP($M23,'Summary Tables'!$E$49:$N$63,6,FALSE))</f>
        <v>6.020444707725451</v>
      </c>
      <c r="V23" s="15">
        <f>IF($I23="General Purpose and Dimmable",Lifetime!$B$5/(P23*365.25),VLOOKUP($M23,'Summary Tables'!$E$49:$N$63,8,FALSE))</f>
        <v>3.7098631590053808</v>
      </c>
      <c r="X23" s="313">
        <f t="shared" ref="X23:X24" si="24">X14</f>
        <v>90</v>
      </c>
      <c r="Y23" s="11">
        <f t="shared" si="23"/>
        <v>12.587121839242219</v>
      </c>
      <c r="Z23" s="43">
        <f>VLOOKUP(N23,'CFL and LED Cost'!$D$73:$K$102,MATCH(G23,'CFL and LED Cost'!$D$72:$K$72,0),FALSE)</f>
        <v>17.935480603886987</v>
      </c>
      <c r="AA23" s="44">
        <f>VLOOKUP(H23,Lifetime!$A$4:$B$8,2,FALSE)</f>
        <v>28708.42332613391</v>
      </c>
      <c r="AB23" s="15">
        <f t="shared" si="7"/>
        <v>12</v>
      </c>
      <c r="AD23" s="45">
        <f>VLOOKUP(G23&amp;H23,StorageTakebackRemoval!$C$56:$H$67,5,FALSE)</f>
        <v>0.98</v>
      </c>
      <c r="AE23" s="45">
        <f>VLOOKUP(G23&amp;H23,StorageTakebackRemoval!$C$56:$H$67,6,FALSE)</f>
        <v>1</v>
      </c>
      <c r="AG23" s="45">
        <f>1-Q23*('Space Conditioning Interaction'!$B$23)</f>
        <v>0.80345126559198921</v>
      </c>
      <c r="AH23" s="1">
        <f>Q23*'Space Conditioning Interaction'!$I$9</f>
        <v>1.0019481404501488E-2</v>
      </c>
      <c r="AJ23" s="1">
        <f t="shared" si="8"/>
        <v>63.194905082361174</v>
      </c>
      <c r="AK23" s="1">
        <f t="shared" si="9"/>
        <v>8.741120548253047</v>
      </c>
      <c r="AL23" s="1">
        <f t="shared" si="10"/>
        <v>54.453784534108124</v>
      </c>
      <c r="AM23" s="1">
        <f t="shared" si="11"/>
        <v>53.364708843425959</v>
      </c>
      <c r="AN23" s="1">
        <f t="shared" si="12"/>
        <v>42.875942858198606</v>
      </c>
      <c r="AP23" s="1">
        <f t="shared" si="13"/>
        <v>-0.5346867079133425</v>
      </c>
      <c r="AR23" s="1" t="str">
        <f t="shared" si="14"/>
        <v>RetailLEDThree-Way665 to 1439 lumensANY</v>
      </c>
      <c r="AS23" s="1" t="str">
        <f t="shared" si="15"/>
        <v>RetailLEDThree-Way665 to 1439 lumensANY</v>
      </c>
      <c r="AT23" s="1">
        <f t="shared" si="16"/>
        <v>42.875942858198606</v>
      </c>
      <c r="AU23" s="15">
        <f t="shared" si="17"/>
        <v>12</v>
      </c>
      <c r="AV23" s="46">
        <f t="shared" si="18"/>
        <v>11.915035896161536</v>
      </c>
      <c r="AW23" s="1">
        <v>0</v>
      </c>
      <c r="AX23" s="2" t="s">
        <v>70</v>
      </c>
      <c r="AY23" s="1">
        <v>0</v>
      </c>
      <c r="AZ23" s="1">
        <f t="shared" si="19"/>
        <v>-6.020444707725451</v>
      </c>
      <c r="BA23" s="1">
        <f t="shared" si="20"/>
        <v>3.7098631590053808</v>
      </c>
      <c r="BF23" s="1">
        <f t="shared" si="21"/>
        <v>-0.5346867079133425</v>
      </c>
      <c r="BG23" s="2" t="s">
        <v>71</v>
      </c>
    </row>
    <row r="24" spans="1:61">
      <c r="A24" s="22">
        <f t="shared" si="22"/>
        <v>15</v>
      </c>
      <c r="B24" s="22">
        <f t="shared" si="0"/>
        <v>1</v>
      </c>
      <c r="C24" s="22">
        <f t="shared" si="0"/>
        <v>1</v>
      </c>
      <c r="D24" s="22">
        <f t="shared" si="0"/>
        <v>5</v>
      </c>
      <c r="E24" s="22">
        <f t="shared" si="2"/>
        <v>3</v>
      </c>
      <c r="G24" s="2" t="str">
        <f t="shared" si="3"/>
        <v>Retail</v>
      </c>
      <c r="H24" s="2" t="str">
        <f t="shared" si="1"/>
        <v>LED</v>
      </c>
      <c r="I24" s="2" t="str">
        <f t="shared" si="1"/>
        <v>Three-Way</v>
      </c>
      <c r="J24" s="2" t="str">
        <f t="shared" si="1"/>
        <v>1440 to 2600 lumens</v>
      </c>
      <c r="K24" s="2" t="s">
        <v>69</v>
      </c>
      <c r="M24" s="1" t="str">
        <f t="shared" si="4"/>
        <v>Three-Way1440 to 2600 lumens</v>
      </c>
      <c r="N24" s="1" t="str">
        <f t="shared" si="5"/>
        <v>LEDThree-Way1440 to 2600 lumens</v>
      </c>
      <c r="O24" s="1" t="str">
        <f t="shared" si="6"/>
        <v>RetailLEDThree-Way1440 to 2600 lumensANY</v>
      </c>
      <c r="P24" s="15">
        <f>VLOOKUP($M24,'Summary Tables'!$E$49:$N$63,7,FALSE)</f>
        <v>1.9748391432257275</v>
      </c>
      <c r="Q24" s="15">
        <f>VLOOKUP($M24,'Summary Tables'!$E$49:$N$63,9,FALSE)</f>
        <v>0.99652187968377692</v>
      </c>
      <c r="R24" s="15">
        <f>VLOOKUP($M24,'Summary Tables'!$E$49:$N$63,10,FALSE)</f>
        <v>1994.6302871120699</v>
      </c>
      <c r="S24" s="15"/>
      <c r="T24" s="15">
        <f>IF($I24="General Purpose and Dimmable",$R24/45,VLOOKUP($M24,'Summary Tables'!$E$49:$N$63,5,FALSE))</f>
        <v>91</v>
      </c>
      <c r="U24" s="42">
        <f>IF($I24="General Purpose and Dimmable",VLOOKUP($J24,'CFL and LED Cost'!$C$73:$E$75,3,FALSE),VLOOKUP($M24,'Summary Tables'!$E$49:$N$63,6,FALSE))</f>
        <v>5.8123669887989093</v>
      </c>
      <c r="V24" s="15">
        <f>IF($I24="General Purpose and Dimmable",Lifetime!$B$5/(P24*365.25),VLOOKUP($M24,'Summary Tables'!$E$49:$N$63,8,FALSE))</f>
        <v>1.7652962324402386</v>
      </c>
      <c r="X24" s="313">
        <f t="shared" si="24"/>
        <v>85</v>
      </c>
      <c r="Y24" s="11">
        <f t="shared" si="23"/>
        <v>23.466238671906705</v>
      </c>
      <c r="Z24" s="43">
        <f>VLOOKUP(N24,'CFL and LED Cost'!$D$73:$K$102,MATCH(G24,'CFL and LED Cost'!$D$72:$K$72,0),FALSE)</f>
        <v>32.537999999999997</v>
      </c>
      <c r="AA24" s="44">
        <f>VLOOKUP(H24,Lifetime!$A$4:$B$8,2,FALSE)</f>
        <v>28708.42332613391</v>
      </c>
      <c r="AB24" s="15">
        <f t="shared" si="7"/>
        <v>12</v>
      </c>
      <c r="AD24" s="45">
        <f>VLOOKUP(G24&amp;H24,StorageTakebackRemoval!$C$56:$H$67,5,FALSE)</f>
        <v>0.98</v>
      </c>
      <c r="AE24" s="45">
        <f>VLOOKUP(G24&amp;H24,StorageTakebackRemoval!$C$56:$H$67,6,FALSE)</f>
        <v>1</v>
      </c>
      <c r="AG24" s="45">
        <f>1-Q24*('Space Conditioning Interaction'!$B$23)</f>
        <v>0.80370125440318996</v>
      </c>
      <c r="AH24" s="1">
        <f>Q24*'Space Conditioning Interaction'!$I$9</f>
        <v>1.000673770379691E-2</v>
      </c>
      <c r="AJ24" s="1">
        <f t="shared" si="8"/>
        <v>65.639209732750928</v>
      </c>
      <c r="AK24" s="1">
        <f t="shared" si="9"/>
        <v>16.926432547517301</v>
      </c>
      <c r="AL24" s="1">
        <f t="shared" si="10"/>
        <v>48.712777185233627</v>
      </c>
      <c r="AM24" s="1">
        <f t="shared" si="11"/>
        <v>47.738521641528955</v>
      </c>
      <c r="AN24" s="1">
        <f t="shared" si="12"/>
        <v>38.367509726650653</v>
      </c>
      <c r="AP24" s="1">
        <f t="shared" si="13"/>
        <v>-0.47770686443381255</v>
      </c>
      <c r="AR24" s="1" t="str">
        <f t="shared" si="14"/>
        <v>RetailLEDThree-Way1440 to 2600 lumensANY</v>
      </c>
      <c r="AS24" s="1" t="str">
        <f t="shared" si="15"/>
        <v>RetailLEDThree-Way1440 to 2600 lumensANY</v>
      </c>
      <c r="AT24" s="1">
        <f t="shared" si="16"/>
        <v>38.367509726650653</v>
      </c>
      <c r="AU24" s="15">
        <f t="shared" si="17"/>
        <v>12</v>
      </c>
      <c r="AV24" s="46">
        <f t="shared" si="18"/>
        <v>26.725633011201086</v>
      </c>
      <c r="AW24" s="1">
        <v>0</v>
      </c>
      <c r="AX24" s="2" t="s">
        <v>70</v>
      </c>
      <c r="AY24" s="1">
        <v>0</v>
      </c>
      <c r="AZ24" s="1">
        <f t="shared" si="19"/>
        <v>-5.8123669887989093</v>
      </c>
      <c r="BA24" s="1">
        <f t="shared" si="20"/>
        <v>1.7652962324402386</v>
      </c>
      <c r="BF24" s="1">
        <f t="shared" si="21"/>
        <v>-0.47770686443381255</v>
      </c>
      <c r="BG24" s="2" t="s">
        <v>71</v>
      </c>
    </row>
    <row r="25" spans="1:61" s="327" customFormat="1">
      <c r="A25" s="326">
        <v>1</v>
      </c>
      <c r="B25" s="326">
        <f t="shared" ref="B25:B39" si="25">MOD(FLOOR(($A25-1)/C$8,1),B$7)+1</f>
        <v>1</v>
      </c>
      <c r="C25" s="326">
        <f t="shared" ref="C25:C39" si="26">MOD(FLOOR(($A25-1)/D$8,1),C$7)+1</f>
        <v>1</v>
      </c>
      <c r="D25" s="326">
        <f>MOD(FLOOR(($A25-1)/E$8,1),D$7)+1</f>
        <v>1</v>
      </c>
      <c r="E25" s="326">
        <f>MOD($A25-1,E$8)+1</f>
        <v>1</v>
      </c>
      <c r="G25" s="328" t="str">
        <f>INDEX(B$2:B$6,B25)</f>
        <v>Retail</v>
      </c>
      <c r="H25" s="328" t="str">
        <f t="shared" ref="H25:H39" si="27">INDEX(C$2:C$6,C25)</f>
        <v>LED</v>
      </c>
      <c r="I25" s="328" t="str">
        <f t="shared" ref="I25:I39" si="28">INDEX(D$2:D$6,D25)</f>
        <v>Decorative and Mini-Base</v>
      </c>
      <c r="J25" s="328" t="str">
        <f t="shared" ref="J25:J39" si="29">INDEX(E$2:E$6,E25)</f>
        <v>250 to 664 lumens</v>
      </c>
      <c r="K25" s="328" t="s">
        <v>69</v>
      </c>
      <c r="M25" s="327" t="str">
        <f>I25&amp;J25</f>
        <v>Decorative and Mini-Base250 to 664 lumens</v>
      </c>
      <c r="N25" s="327" t="str">
        <f>CONCATENATE(H25,I25,J25)</f>
        <v>LEDDecorative and Mini-Base250 to 664 lumens</v>
      </c>
      <c r="O25" s="327" t="str">
        <f>CONCATENATE(G25,H25,I25,J25,K25)</f>
        <v>RetailLEDDecorative and Mini-Base250 to 664 lumensANY</v>
      </c>
      <c r="P25" s="446">
        <f>P10-0.1</f>
        <v>1.6916917647822356</v>
      </c>
      <c r="Q25" s="329">
        <f>VLOOKUP($M25,'Summary Tables'!$E$49:$N$63,9,FALSE)</f>
        <v>0.95039973261931343</v>
      </c>
      <c r="R25" s="329">
        <f>VLOOKUP($M25,'Summary Tables'!$E$49:$N$63,10,FALSE)</f>
        <v>416.60324051305236</v>
      </c>
      <c r="S25" s="329"/>
      <c r="T25" s="329">
        <f>IF($I25="General Purpose and Dimmable",$R25/45,VLOOKUP($M25,'Summary Tables'!$E$49:$N$63,5,FALSE))</f>
        <v>37</v>
      </c>
      <c r="U25" s="330">
        <f>IF($I25="General Purpose and Dimmable",VLOOKUP($J25,'CFL and LED Cost'!$C$73:$E$75,3,FALSE),VLOOKUP($M25,'Summary Tables'!$E$49:$N$63,6,FALSE))</f>
        <v>1.6401583657682686</v>
      </c>
      <c r="V25" s="329">
        <f>IF($I25="General Purpose and Dimmable",Lifetime!$B$5/(P25*365.25),VLOOKUP($M25,'Summary Tables'!$E$49:$N$63,8,FALSE))</f>
        <v>1.7835655628514451</v>
      </c>
      <c r="X25" s="331">
        <f>VLOOKUP(N25,'CFL and LED Efficacy'!$D$57:$E$86,2,FALSE)</f>
        <v>62.516951451044228</v>
      </c>
      <c r="Y25" s="331">
        <f>R25/X25</f>
        <v>6.6638444588790611</v>
      </c>
      <c r="Z25" s="332">
        <f>VLOOKUP(N25,'CFL and LED Cost'!$D$73:$K$102,MATCH(G25,'CFL and LED Cost'!$D$72:$K$72,0),FALSE)</f>
        <v>9.9588534888181872</v>
      </c>
      <c r="AA25" s="333">
        <f>VLOOKUP(H25,Lifetime!$A$4:$B$8,2,FALSE)</f>
        <v>28708.42332613391</v>
      </c>
      <c r="AB25" s="329">
        <f>MIN(12,AA25/(P25*365.25))</f>
        <v>12</v>
      </c>
      <c r="AD25" s="334">
        <f>VLOOKUP(G25&amp;H25,StorageTakebackRemoval!$C$56:$H$67,5,FALSE)</f>
        <v>0.98</v>
      </c>
      <c r="AE25" s="334">
        <f>VLOOKUP(G25&amp;H25,StorageTakebackRemoval!$C$56:$H$67,6,FALSE)</f>
        <v>1</v>
      </c>
      <c r="AG25" s="334">
        <f>1-Q25*('Space Conditioning Interaction'!$B$23)</f>
        <v>0.81278657385032416</v>
      </c>
      <c r="AH25" s="327">
        <f>Q25*'Space Conditioning Interaction'!$I$9</f>
        <v>9.5435946083773787E-3</v>
      </c>
      <c r="AJ25" s="327">
        <f>T25*P25*365.25/1000</f>
        <v>22.86194543220833</v>
      </c>
      <c r="AK25" s="327">
        <f>Y25*P25*365.25/1000</f>
        <v>4.1175256320977542</v>
      </c>
      <c r="AL25" s="327">
        <f>AJ25-AK25</f>
        <v>18.744419800110578</v>
      </c>
      <c r="AM25" s="327">
        <f>AL25*AD25</f>
        <v>18.369531404108365</v>
      </c>
      <c r="AN25" s="327">
        <f>AM25*AG25</f>
        <v>14.930508493181172</v>
      </c>
      <c r="AP25" s="327">
        <f>-1*AM25*AH25</f>
        <v>-0.17531136086666754</v>
      </c>
      <c r="AR25" s="327" t="str">
        <f>O25</f>
        <v>RetailLEDDecorative and Mini-Base250 to 664 lumensANY</v>
      </c>
      <c r="AS25" s="327" t="str">
        <f>O25</f>
        <v>RetailLEDDecorative and Mini-Base250 to 664 lumensANY</v>
      </c>
      <c r="AT25" s="327">
        <f>IF(ISERROR($AN25),0,AN25)</f>
        <v>14.930508493181172</v>
      </c>
      <c r="AU25" s="329">
        <f>IF(ISERROR($AN25),1,AB25*AE25)</f>
        <v>12</v>
      </c>
      <c r="AV25" s="335">
        <f>MAX(0.05,IF(ISERROR($AN25),999,Z25-U25))</f>
        <v>8.3186951230499186</v>
      </c>
      <c r="AW25" s="327">
        <v>0</v>
      </c>
      <c r="AX25" s="328" t="s">
        <v>70</v>
      </c>
      <c r="AY25" s="327">
        <v>0</v>
      </c>
      <c r="AZ25" s="327">
        <f>IF(ISERROR($AN25),999,U25*-1)</f>
        <v>-1.6401583657682686</v>
      </c>
      <c r="BA25" s="327">
        <f>IF(ISERROR($AN25),999,V25)</f>
        <v>1.7835655628514451</v>
      </c>
      <c r="BF25" s="327">
        <f>IF(ISERROR($AN25),999,AP25)</f>
        <v>-0.17531136086666754</v>
      </c>
      <c r="BG25" s="328" t="s">
        <v>71</v>
      </c>
      <c r="BI25" s="336"/>
    </row>
    <row r="26" spans="1:61">
      <c r="A26" s="22">
        <f>A25+1</f>
        <v>2</v>
      </c>
      <c r="B26" s="22">
        <f t="shared" si="25"/>
        <v>1</v>
      </c>
      <c r="C26" s="22">
        <f t="shared" si="26"/>
        <v>1</v>
      </c>
      <c r="D26" s="22">
        <f t="shared" ref="D26:D39" si="30">MOD(FLOOR(($A26-1)/E$8,1),D$7)+1</f>
        <v>1</v>
      </c>
      <c r="E26" s="22">
        <f t="shared" si="2"/>
        <v>2</v>
      </c>
      <c r="G26" s="2" t="str">
        <f t="shared" ref="G26:G39" si="31">INDEX(B$2:B$6,B26)</f>
        <v>Retail</v>
      </c>
      <c r="H26" s="2" t="str">
        <f t="shared" si="27"/>
        <v>LED</v>
      </c>
      <c r="I26" s="2" t="str">
        <f t="shared" si="28"/>
        <v>Decorative and Mini-Base</v>
      </c>
      <c r="J26" s="2" t="str">
        <f t="shared" si="29"/>
        <v>665 to 1439 lumens</v>
      </c>
      <c r="K26" s="2" t="s">
        <v>69</v>
      </c>
      <c r="M26" s="1" t="str">
        <f t="shared" ref="M26:M39" si="32">I26&amp;J26</f>
        <v>Decorative and Mini-Base665 to 1439 lumens</v>
      </c>
      <c r="N26" s="1" t="str">
        <f t="shared" ref="N26:N39" si="33">CONCATENATE(H26,I26,J26)</f>
        <v>LEDDecorative and Mini-Base665 to 1439 lumens</v>
      </c>
      <c r="O26" s="1" t="str">
        <f t="shared" ref="O26:O39" si="34">CONCATENATE(G26,H26,I26,J26,K26)</f>
        <v>RetailLEDDecorative and Mini-Base665 to 1439 lumensANY</v>
      </c>
      <c r="P26" s="447">
        <f t="shared" ref="P26:P39" si="35">P11-0.1</f>
        <v>1.7789514442368002</v>
      </c>
      <c r="Q26" s="15">
        <f>VLOOKUP($M26,'Summary Tables'!$E$49:$N$63,9,FALSE)</f>
        <v>0.91018036838446348</v>
      </c>
      <c r="R26" s="15">
        <f>VLOOKUP($M26,'Summary Tables'!$E$49:$N$63,10,FALSE)</f>
        <v>857.43632997438363</v>
      </c>
      <c r="S26" s="15"/>
      <c r="T26" s="15">
        <f>IF($I26="General Purpose and Dimmable",$R26/45,VLOOKUP($M26,'Summary Tables'!$E$49:$N$63,5,FALSE))</f>
        <v>31.100271002710024</v>
      </c>
      <c r="U26" s="42">
        <f>IF($I26="General Purpose and Dimmable",VLOOKUP($J26,'CFL and LED Cost'!$C$73:$E$75,3,FALSE),VLOOKUP($M26,'Summary Tables'!$E$49:$N$63,6,FALSE))</f>
        <v>2.357302490345714</v>
      </c>
      <c r="V26" s="15">
        <f>IF($I26="General Purpose and Dimmable",Lifetime!$B$5/(P26*365.25),VLOOKUP($M26,'Summary Tables'!$E$49:$N$63,8,FALSE))</f>
        <v>1.7864498053021971</v>
      </c>
      <c r="X26" s="313">
        <f>X29/X28*X25</f>
        <v>90.088580562889106</v>
      </c>
      <c r="Y26" s="11">
        <f>R26/X26</f>
        <v>9.5177027389817042</v>
      </c>
      <c r="Z26" s="43">
        <f>VLOOKUP(N26,'CFL and LED Cost'!$D$73:$K$102,MATCH(G26,'CFL and LED Cost'!$D$72:$K$72,0),FALSE)</f>
        <v>17.827344793923771</v>
      </c>
      <c r="AA26" s="44">
        <f>VLOOKUP(H26,Lifetime!$A$4:$B$8,2,FALSE)</f>
        <v>28708.42332613391</v>
      </c>
      <c r="AB26" s="15">
        <f t="shared" ref="AB26:AB39" si="36">MIN(12,AA26/(P26*365.25))</f>
        <v>12</v>
      </c>
      <c r="AD26" s="45">
        <f>VLOOKUP(G26&amp;H26,StorageTakebackRemoval!$C$56:$H$67,5,FALSE)</f>
        <v>0.98</v>
      </c>
      <c r="AE26" s="45">
        <f>VLOOKUP(G26&amp;H26,StorageTakebackRemoval!$C$56:$H$67,6,FALSE)</f>
        <v>1</v>
      </c>
      <c r="AG26" s="45">
        <f>1-Q26*('Space Conditioning Interaction'!$B$23)</f>
        <v>0.82070914023743413</v>
      </c>
      <c r="AH26" s="1">
        <f>Q26*'Space Conditioning Interaction'!$I$9</f>
        <v>9.1397252737278212E-3</v>
      </c>
      <c r="AJ26" s="1">
        <f t="shared" ref="AJ26:AJ39" si="37">T26*P26*365.25/1000</f>
        <v>20.207774753999914</v>
      </c>
      <c r="AK26" s="1">
        <f t="shared" ref="AK26:AK39" si="38">Y26*P26*365.25/1000</f>
        <v>6.1842417099230715</v>
      </c>
      <c r="AL26" s="1">
        <f t="shared" ref="AL26:AL39" si="39">AJ26-AK26</f>
        <v>14.023533044076842</v>
      </c>
      <c r="AM26" s="1">
        <f t="shared" ref="AM26:AM39" si="40">AL26*AD26</f>
        <v>13.743062383195305</v>
      </c>
      <c r="AN26" s="1">
        <f t="shared" ref="AN26:AN39" si="41">AM26*AG26</f>
        <v>11.279056912741641</v>
      </c>
      <c r="AP26" s="1">
        <f t="shared" ref="AP26:AP39" si="42">-1*AM26*AH26</f>
        <v>-0.12560781460210824</v>
      </c>
      <c r="AR26" s="1" t="str">
        <f t="shared" ref="AR26:AR39" si="43">O26</f>
        <v>RetailLEDDecorative and Mini-Base665 to 1439 lumensANY</v>
      </c>
      <c r="AS26" s="1" t="str">
        <f t="shared" ref="AS26:AS39" si="44">O26</f>
        <v>RetailLEDDecorative and Mini-Base665 to 1439 lumensANY</v>
      </c>
      <c r="AT26" s="1">
        <f t="shared" ref="AT26:AT39" si="45">IF(ISERROR($AN26),0,AN26)</f>
        <v>11.279056912741641</v>
      </c>
      <c r="AU26" s="15">
        <f t="shared" ref="AU26:AU39" si="46">IF(ISERROR($AN26),1,AB26*AE26)</f>
        <v>12</v>
      </c>
      <c r="AV26" s="46">
        <f t="shared" ref="AV26:AV39" si="47">MAX(0.05,IF(ISERROR($AN26),999,Z26-U26))</f>
        <v>15.470042303578058</v>
      </c>
      <c r="AW26" s="1">
        <v>0</v>
      </c>
      <c r="AX26" s="2" t="s">
        <v>70</v>
      </c>
      <c r="AY26" s="1">
        <v>0</v>
      </c>
      <c r="AZ26" s="1">
        <f t="shared" ref="AZ26:AZ39" si="48">IF(ISERROR($AN26),999,U26*-1)</f>
        <v>-2.357302490345714</v>
      </c>
      <c r="BA26" s="1">
        <f t="shared" ref="BA26:BA39" si="49">IF(ISERROR($AN26),999,V26)</f>
        <v>1.7864498053021971</v>
      </c>
      <c r="BF26" s="1">
        <f t="shared" ref="BF26:BF39" si="50">IF(ISERROR($AN26),999,AP26)</f>
        <v>-0.12560781460210824</v>
      </c>
      <c r="BG26" s="2" t="s">
        <v>71</v>
      </c>
    </row>
    <row r="27" spans="1:61">
      <c r="A27" s="22">
        <f t="shared" si="22"/>
        <v>3</v>
      </c>
      <c r="B27" s="22">
        <f t="shared" si="25"/>
        <v>1</v>
      </c>
      <c r="C27" s="22">
        <f t="shared" si="26"/>
        <v>1</v>
      </c>
      <c r="D27" s="22">
        <f t="shared" si="30"/>
        <v>1</v>
      </c>
      <c r="E27" s="22">
        <f t="shared" si="2"/>
        <v>3</v>
      </c>
      <c r="G27" s="2" t="str">
        <f t="shared" si="31"/>
        <v>Retail</v>
      </c>
      <c r="H27" s="2" t="str">
        <f t="shared" si="27"/>
        <v>LED</v>
      </c>
      <c r="I27" s="2" t="str">
        <f t="shared" si="28"/>
        <v>Decorative and Mini-Base</v>
      </c>
      <c r="J27" s="2" t="str">
        <f t="shared" si="29"/>
        <v>1440 to 2600 lumens</v>
      </c>
      <c r="K27" s="2" t="s">
        <v>69</v>
      </c>
      <c r="M27" s="1" t="str">
        <f t="shared" si="32"/>
        <v>Decorative and Mini-Base1440 to 2600 lumens</v>
      </c>
      <c r="N27" s="1" t="str">
        <f t="shared" si="33"/>
        <v>LEDDecorative and Mini-Base1440 to 2600 lumens</v>
      </c>
      <c r="O27" s="1" t="str">
        <f t="shared" si="34"/>
        <v>RetailLEDDecorative and Mini-Base1440 to 2600 lumensANY</v>
      </c>
      <c r="P27" s="447">
        <f t="shared" si="35"/>
        <v>1.5305080727614384</v>
      </c>
      <c r="Q27" s="15">
        <f>VLOOKUP($M27,'Summary Tables'!$E$49:$N$63,9,FALSE)</f>
        <v>0.92758145848349127</v>
      </c>
      <c r="R27" s="15">
        <f>VLOOKUP($M27,'Summary Tables'!$E$49:$N$63,10,FALSE)</f>
        <v>2095.7287821060968</v>
      </c>
      <c r="S27" s="15"/>
      <c r="T27" s="15">
        <f>IF($I27="General Purpose and Dimmable",$R27/45,VLOOKUP($M27,'Summary Tables'!$E$49:$N$63,5,FALSE))</f>
        <v>37</v>
      </c>
      <c r="U27" s="42">
        <f>IF($I27="General Purpose and Dimmable",VLOOKUP($J27,'CFL and LED Cost'!$C$73:$E$75,3,FALSE),VLOOKUP($M27,'Summary Tables'!$E$49:$N$63,6,FALSE))</f>
        <v>2.5719834880984087</v>
      </c>
      <c r="V27" s="15">
        <f>IF($I27="General Purpose and Dimmable",Lifetime!$B$5/(P27*365.25),VLOOKUP($M27,'Summary Tables'!$E$49:$N$63,8,FALSE))</f>
        <v>4.4344805227500377</v>
      </c>
      <c r="X27" s="313">
        <f>X30/X28*X25</f>
        <v>85.083659420506379</v>
      </c>
      <c r="Y27" s="11">
        <f t="shared" ref="Y27:Y39" si="51">R27/X27</f>
        <v>24.631389815386761</v>
      </c>
      <c r="Z27" s="43">
        <f>VLOOKUP(N27,'CFL and LED Cost'!$D$73:$K$102,MATCH(G27,'CFL and LED Cost'!$D$72:$K$72,0),FALSE)</f>
        <v>43.384</v>
      </c>
      <c r="AA27" s="44">
        <f>VLOOKUP(H27,Lifetime!$A$4:$B$8,2,FALSE)</f>
        <v>28708.42332613391</v>
      </c>
      <c r="AB27" s="15">
        <f t="shared" si="36"/>
        <v>12</v>
      </c>
      <c r="AD27" s="45">
        <f>VLOOKUP(G27&amp;H27,StorageTakebackRemoval!$C$56:$H$67,5,FALSE)</f>
        <v>0.98</v>
      </c>
      <c r="AE27" s="45">
        <f>VLOOKUP(G27&amp;H27,StorageTakebackRemoval!$C$56:$H$67,6,FALSE)</f>
        <v>1</v>
      </c>
      <c r="AG27" s="45">
        <f>1-Q27*('Space Conditioning Interaction'!$B$23)</f>
        <v>0.81728140600691201</v>
      </c>
      <c r="AH27" s="1">
        <f>Q27*'Space Conditioning Interaction'!$I$9</f>
        <v>9.3144611705817514E-3</v>
      </c>
      <c r="AJ27" s="1">
        <f t="shared" si="37"/>
        <v>20.68366872231627</v>
      </c>
      <c r="AK27" s="1">
        <f t="shared" si="38"/>
        <v>13.769392084099856</v>
      </c>
      <c r="AL27" s="1">
        <f t="shared" si="39"/>
        <v>6.914276638216414</v>
      </c>
      <c r="AM27" s="1">
        <f t="shared" si="40"/>
        <v>6.7759911054520856</v>
      </c>
      <c r="AN27" s="1">
        <f t="shared" si="41"/>
        <v>5.5378915377542102</v>
      </c>
      <c r="AP27" s="1">
        <f t="shared" si="42"/>
        <v>-6.3114706043940774E-2</v>
      </c>
      <c r="AR27" s="1" t="str">
        <f t="shared" si="43"/>
        <v>RetailLEDDecorative and Mini-Base1440 to 2600 lumensANY</v>
      </c>
      <c r="AS27" s="1" t="str">
        <f t="shared" si="44"/>
        <v>RetailLEDDecorative and Mini-Base1440 to 2600 lumensANY</v>
      </c>
      <c r="AT27" s="1">
        <f t="shared" si="45"/>
        <v>5.5378915377542102</v>
      </c>
      <c r="AU27" s="15">
        <f t="shared" si="46"/>
        <v>12</v>
      </c>
      <c r="AV27" s="46">
        <f t="shared" si="47"/>
        <v>40.812016511901589</v>
      </c>
      <c r="AW27" s="1">
        <v>0</v>
      </c>
      <c r="AX27" s="2" t="s">
        <v>70</v>
      </c>
      <c r="AY27" s="1">
        <v>0</v>
      </c>
      <c r="AZ27" s="1">
        <f t="shared" si="48"/>
        <v>-2.5719834880984087</v>
      </c>
      <c r="BA27" s="1">
        <f t="shared" si="49"/>
        <v>4.4344805227500377</v>
      </c>
      <c r="BF27" s="1">
        <f t="shared" si="50"/>
        <v>-6.3114706043940774E-2</v>
      </c>
      <c r="BG27" s="2" t="s">
        <v>71</v>
      </c>
    </row>
    <row r="28" spans="1:61" s="317" customFormat="1">
      <c r="A28" s="316">
        <f t="shared" si="22"/>
        <v>4</v>
      </c>
      <c r="B28" s="316">
        <f t="shared" si="25"/>
        <v>1</v>
      </c>
      <c r="C28" s="316">
        <f t="shared" si="26"/>
        <v>1</v>
      </c>
      <c r="D28" s="316">
        <f t="shared" si="30"/>
        <v>2</v>
      </c>
      <c r="E28" s="316">
        <f t="shared" si="2"/>
        <v>1</v>
      </c>
      <c r="G28" s="318" t="str">
        <f t="shared" si="31"/>
        <v>Retail</v>
      </c>
      <c r="H28" s="318" t="str">
        <f t="shared" si="27"/>
        <v>LED</v>
      </c>
      <c r="I28" s="318" t="str">
        <f t="shared" si="28"/>
        <v>General Purpose and Dimmable</v>
      </c>
      <c r="J28" s="318" t="str">
        <f t="shared" si="29"/>
        <v>250 to 664 lumens</v>
      </c>
      <c r="K28" s="318" t="s">
        <v>69</v>
      </c>
      <c r="M28" s="317" t="str">
        <f t="shared" si="32"/>
        <v>General Purpose and Dimmable250 to 664 lumens</v>
      </c>
      <c r="N28" s="317" t="str">
        <f t="shared" si="33"/>
        <v>LEDGeneral Purpose and Dimmable250 to 664 lumens</v>
      </c>
      <c r="O28" s="317" t="str">
        <f t="shared" si="34"/>
        <v>RetailLEDGeneral Purpose and Dimmable250 to 664 lumensANY</v>
      </c>
      <c r="P28" s="447">
        <f t="shared" si="35"/>
        <v>1.6465101483744098</v>
      </c>
      <c r="Q28" s="319">
        <f>VLOOKUP($M28,'Summary Tables'!$E$49:$N$63,9,FALSE)</f>
        <v>0.91416456188155615</v>
      </c>
      <c r="R28" s="319">
        <f>VLOOKUP($M28,'Summary Tables'!$E$49:$N$63,10,FALSE)</f>
        <v>473.98970089307483</v>
      </c>
      <c r="S28" s="319"/>
      <c r="T28" s="319">
        <f>IF($I28="General Purpose and Dimmable",$R28/45,VLOOKUP($M28,'Summary Tables'!$E$49:$N$63,5,FALSE))</f>
        <v>10.533104464290552</v>
      </c>
      <c r="U28" s="320">
        <f>IF($I28="General Purpose and Dimmable",VLOOKUP($J28,'CFL and LED Cost'!$C$73:$E$75,3,FALSE),VLOOKUP($M28,'Summary Tables'!$E$49:$N$63,6,FALSE))</f>
        <v>2.1592275874141325</v>
      </c>
      <c r="V28" s="319">
        <f>IF($I28="General Purpose and Dimmable",Lifetime!$B$5/(P28*365.25),VLOOKUP($M28,'Summary Tables'!$E$49:$N$63,8,FALSE))</f>
        <v>9.0584430542231278</v>
      </c>
      <c r="X28" s="321">
        <f>VLOOKUP(N28,'CFL and LED Efficacy'!$D$57:$E$86,2,FALSE)</f>
        <v>62.45548098813935</v>
      </c>
      <c r="Y28" s="321">
        <f t="shared" si="51"/>
        <v>7.5892410624951898</v>
      </c>
      <c r="Z28" s="322">
        <f>VLOOKUP(N28,'CFL and LED Cost'!$D$73:$K$102,MATCH(G28,'CFL and LED Cost'!$D$72:$K$72,0),FALSE)</f>
        <v>4.9794267444090936</v>
      </c>
      <c r="AA28" s="323">
        <f>VLOOKUP(H28,Lifetime!$A$4:$B$8,2,FALSE)</f>
        <v>28708.42332613391</v>
      </c>
      <c r="AB28" s="319">
        <f t="shared" si="36"/>
        <v>12</v>
      </c>
      <c r="AD28" s="324">
        <f>VLOOKUP(G28&amp;H28,StorageTakebackRemoval!$C$56:$H$67,5,FALSE)</f>
        <v>0.98</v>
      </c>
      <c r="AE28" s="324">
        <f>VLOOKUP(G28&amp;H28,StorageTakebackRemoval!$C$56:$H$67,6,FALSE)</f>
        <v>1</v>
      </c>
      <c r="AG28" s="324">
        <f>1-Q28*('Space Conditioning Interaction'!$B$23)</f>
        <v>0.81992431834677726</v>
      </c>
      <c r="AH28" s="317">
        <f>Q28*'Space Conditioning Interaction'!$I$9</f>
        <v>9.1797332054144101E-3</v>
      </c>
      <c r="AJ28" s="317">
        <f t="shared" si="37"/>
        <v>6.3344808547834877</v>
      </c>
      <c r="AK28" s="317">
        <f t="shared" si="38"/>
        <v>4.5640772267751775</v>
      </c>
      <c r="AL28" s="317">
        <f t="shared" si="39"/>
        <v>1.7704036280083102</v>
      </c>
      <c r="AM28" s="317">
        <f t="shared" si="40"/>
        <v>1.734995555448144</v>
      </c>
      <c r="AN28" s="317">
        <f t="shared" si="41"/>
        <v>1.4225650481355077</v>
      </c>
      <c r="AP28" s="317">
        <f t="shared" si="42"/>
        <v>-1.5926796311593747E-2</v>
      </c>
      <c r="AR28" s="317" t="str">
        <f t="shared" si="43"/>
        <v>RetailLEDGeneral Purpose and Dimmable250 to 664 lumensANY</v>
      </c>
      <c r="AS28" s="317" t="str">
        <f t="shared" si="44"/>
        <v>RetailLEDGeneral Purpose and Dimmable250 to 664 lumensANY</v>
      </c>
      <c r="AT28" s="317">
        <f t="shared" si="45"/>
        <v>1.4225650481355077</v>
      </c>
      <c r="AU28" s="319">
        <f t="shared" si="46"/>
        <v>12</v>
      </c>
      <c r="AV28" s="322">
        <f t="shared" si="47"/>
        <v>2.8201991569949612</v>
      </c>
      <c r="AW28" s="317">
        <v>0</v>
      </c>
      <c r="AX28" s="318" t="s">
        <v>70</v>
      </c>
      <c r="AY28" s="317">
        <v>0</v>
      </c>
      <c r="AZ28" s="317">
        <f t="shared" si="48"/>
        <v>-2.1592275874141325</v>
      </c>
      <c r="BA28" s="317">
        <f t="shared" si="49"/>
        <v>9.0584430542231278</v>
      </c>
      <c r="BF28" s="317">
        <f t="shared" si="50"/>
        <v>-1.5926796311593747E-2</v>
      </c>
      <c r="BG28" s="318" t="s">
        <v>71</v>
      </c>
      <c r="BI28" s="325"/>
    </row>
    <row r="29" spans="1:61" s="317" customFormat="1">
      <c r="A29" s="316">
        <f t="shared" si="22"/>
        <v>5</v>
      </c>
      <c r="B29" s="316">
        <f t="shared" si="25"/>
        <v>1</v>
      </c>
      <c r="C29" s="316">
        <f t="shared" si="26"/>
        <v>1</v>
      </c>
      <c r="D29" s="316">
        <f t="shared" si="30"/>
        <v>2</v>
      </c>
      <c r="E29" s="316">
        <f t="shared" si="2"/>
        <v>2</v>
      </c>
      <c r="G29" s="318" t="str">
        <f t="shared" si="31"/>
        <v>Retail</v>
      </c>
      <c r="H29" s="318" t="str">
        <f t="shared" si="27"/>
        <v>LED</v>
      </c>
      <c r="I29" s="318" t="str">
        <f t="shared" si="28"/>
        <v>General Purpose and Dimmable</v>
      </c>
      <c r="J29" s="318" t="str">
        <f t="shared" si="29"/>
        <v>665 to 1439 lumens</v>
      </c>
      <c r="K29" s="318" t="s">
        <v>69</v>
      </c>
      <c r="M29" s="317" t="str">
        <f t="shared" si="32"/>
        <v>General Purpose and Dimmable665 to 1439 lumens</v>
      </c>
      <c r="N29" s="317" t="str">
        <f t="shared" si="33"/>
        <v>LEDGeneral Purpose and Dimmable665 to 1439 lumens</v>
      </c>
      <c r="O29" s="317" t="str">
        <f t="shared" si="34"/>
        <v>RetailLEDGeneral Purpose and Dimmable665 to 1439 lumensANY</v>
      </c>
      <c r="P29" s="447">
        <f t="shared" si="35"/>
        <v>1.7773637680174412</v>
      </c>
      <c r="Q29" s="319">
        <f>VLOOKUP($M29,'Summary Tables'!$E$49:$N$63,9,FALSE)</f>
        <v>0.85791980570535631</v>
      </c>
      <c r="R29" s="319">
        <f>VLOOKUP($M29,'Summary Tables'!$E$49:$N$63,10,FALSE)</f>
        <v>949.2054457712826</v>
      </c>
      <c r="S29" s="319"/>
      <c r="T29" s="319">
        <f>IF($I29="General Purpose and Dimmable",$R29/45,VLOOKUP($M29,'Summary Tables'!$E$49:$N$63,5,FALSE))</f>
        <v>21.093454350472946</v>
      </c>
      <c r="U29" s="320">
        <f>IF($I29="General Purpose and Dimmable",VLOOKUP($J29,'CFL and LED Cost'!$C$73:$E$75,3,FALSE),VLOOKUP($M29,'Summary Tables'!$E$49:$N$63,6,FALSE))</f>
        <v>1.4522786346527323</v>
      </c>
      <c r="V29" s="319">
        <f>IF($I29="General Purpose and Dimmable",Lifetime!$B$5/(P29*365.25),VLOOKUP($M29,'Summary Tables'!$E$49:$N$63,8,FALSE))</f>
        <v>8.3915395855552877</v>
      </c>
      <c r="X29" s="321">
        <v>90</v>
      </c>
      <c r="Y29" s="321">
        <f t="shared" si="51"/>
        <v>10.546727175236473</v>
      </c>
      <c r="Z29" s="322">
        <f>VLOOKUP(N29,'CFL and LED Cost'!$D$73:$K$102,MATCH(G29,'CFL and LED Cost'!$D$72:$K$72,0),FALSE)</f>
        <v>8.9136723969618856</v>
      </c>
      <c r="AA29" s="323">
        <f>VLOOKUP(H29,Lifetime!$A$4:$B$8,2,FALSE)</f>
        <v>28708.42332613391</v>
      </c>
      <c r="AB29" s="319">
        <f t="shared" si="36"/>
        <v>12</v>
      </c>
      <c r="AD29" s="324">
        <f>VLOOKUP(G29&amp;H29,StorageTakebackRemoval!$C$56:$H$67,5,FALSE)</f>
        <v>0.98</v>
      </c>
      <c r="AE29" s="324">
        <f>VLOOKUP(G29&amp;H29,StorageTakebackRemoval!$C$56:$H$67,6,FALSE)</f>
        <v>1</v>
      </c>
      <c r="AG29" s="324">
        <f>1-Q29*('Space Conditioning Interaction'!$B$23)</f>
        <v>0.83100362860466148</v>
      </c>
      <c r="AH29" s="317">
        <f>Q29*'Space Conditioning Interaction'!$I$9</f>
        <v>8.6149422723263754E-3</v>
      </c>
      <c r="AJ29" s="317">
        <f t="shared" si="37"/>
        <v>13.693493334650292</v>
      </c>
      <c r="AK29" s="317">
        <f t="shared" si="38"/>
        <v>6.8467466673251458</v>
      </c>
      <c r="AL29" s="317">
        <f t="shared" si="39"/>
        <v>6.8467466673251458</v>
      </c>
      <c r="AM29" s="317">
        <f t="shared" si="40"/>
        <v>6.7098117339786425</v>
      </c>
      <c r="AN29" s="317">
        <f t="shared" si="41"/>
        <v>5.5758778981903871</v>
      </c>
      <c r="AP29" s="317">
        <f t="shared" si="42"/>
        <v>-5.7804640746404144E-2</v>
      </c>
      <c r="AR29" s="317" t="str">
        <f t="shared" si="43"/>
        <v>RetailLEDGeneral Purpose and Dimmable665 to 1439 lumensANY</v>
      </c>
      <c r="AS29" s="317" t="str">
        <f t="shared" si="44"/>
        <v>RetailLEDGeneral Purpose and Dimmable665 to 1439 lumensANY</v>
      </c>
      <c r="AT29" s="317">
        <f t="shared" si="45"/>
        <v>5.5758778981903871</v>
      </c>
      <c r="AU29" s="319">
        <f t="shared" si="46"/>
        <v>12</v>
      </c>
      <c r="AV29" s="322">
        <f t="shared" si="47"/>
        <v>7.4613937623091537</v>
      </c>
      <c r="AW29" s="317">
        <v>0</v>
      </c>
      <c r="AX29" s="318" t="s">
        <v>70</v>
      </c>
      <c r="AY29" s="317">
        <v>0</v>
      </c>
      <c r="AZ29" s="317">
        <f t="shared" si="48"/>
        <v>-1.4522786346527323</v>
      </c>
      <c r="BA29" s="317">
        <f t="shared" si="49"/>
        <v>8.3915395855552877</v>
      </c>
      <c r="BF29" s="317">
        <f t="shared" si="50"/>
        <v>-5.7804640746404144E-2</v>
      </c>
      <c r="BG29" s="318" t="s">
        <v>71</v>
      </c>
      <c r="BI29" s="325"/>
    </row>
    <row r="30" spans="1:61" s="317" customFormat="1">
      <c r="A30" s="316">
        <f t="shared" si="22"/>
        <v>6</v>
      </c>
      <c r="B30" s="316">
        <f t="shared" si="25"/>
        <v>1</v>
      </c>
      <c r="C30" s="316">
        <f t="shared" si="26"/>
        <v>1</v>
      </c>
      <c r="D30" s="316">
        <f t="shared" si="30"/>
        <v>2</v>
      </c>
      <c r="E30" s="316">
        <f t="shared" si="2"/>
        <v>3</v>
      </c>
      <c r="G30" s="318" t="str">
        <f t="shared" si="31"/>
        <v>Retail</v>
      </c>
      <c r="H30" s="318" t="str">
        <f t="shared" si="27"/>
        <v>LED</v>
      </c>
      <c r="I30" s="318" t="str">
        <f t="shared" si="28"/>
        <v>General Purpose and Dimmable</v>
      </c>
      <c r="J30" s="318" t="str">
        <f t="shared" si="29"/>
        <v>1440 to 2600 lumens</v>
      </c>
      <c r="K30" s="318" t="s">
        <v>69</v>
      </c>
      <c r="M30" s="317" t="str">
        <f t="shared" si="32"/>
        <v>General Purpose and Dimmable1440 to 2600 lumens</v>
      </c>
      <c r="N30" s="317" t="str">
        <f t="shared" si="33"/>
        <v>LEDGeneral Purpose and Dimmable1440 to 2600 lumens</v>
      </c>
      <c r="O30" s="317" t="str">
        <f t="shared" si="34"/>
        <v>RetailLEDGeneral Purpose and Dimmable1440 to 2600 lumensANY</v>
      </c>
      <c r="P30" s="447">
        <f t="shared" si="35"/>
        <v>1.8918551210859123</v>
      </c>
      <c r="Q30" s="319">
        <f>VLOOKUP($M30,'Summary Tables'!$E$49:$N$63,9,FALSE)</f>
        <v>0.78917112934974476</v>
      </c>
      <c r="R30" s="319">
        <f>VLOOKUP($M30,'Summary Tables'!$E$49:$N$63,10,FALSE)</f>
        <v>1747.5999304005293</v>
      </c>
      <c r="S30" s="319"/>
      <c r="T30" s="319">
        <f>IF($I30="General Purpose and Dimmable",$R30/45,VLOOKUP($M30,'Summary Tables'!$E$49:$N$63,5,FALSE))</f>
        <v>38.835554008900651</v>
      </c>
      <c r="U30" s="320">
        <f>IF($I30="General Purpose and Dimmable",VLOOKUP($J30,'CFL and LED Cost'!$C$73:$E$75,3,FALSE),VLOOKUP($M30,'Summary Tables'!$E$49:$N$63,6,FALSE))</f>
        <v>1.8911113019525783</v>
      </c>
      <c r="V30" s="319">
        <f>IF($I30="General Purpose and Dimmable",Lifetime!$B$5/(P30*365.25),VLOOKUP($M30,'Summary Tables'!$E$49:$N$63,8,FALSE))</f>
        <v>7.8837001052644338</v>
      </c>
      <c r="X30" s="321">
        <f>VLOOKUP(N30,'CFL and LED Efficacy'!$D$57:$E$86,2,FALSE)</f>
        <v>85</v>
      </c>
      <c r="Y30" s="321">
        <f t="shared" si="51"/>
        <v>20.559999181182697</v>
      </c>
      <c r="Z30" s="322">
        <f>VLOOKUP(N30,'CFL and LED Cost'!$D$73:$K$102,MATCH(G30,'CFL and LED Cost'!$D$72:$K$72,0),FALSE)</f>
        <v>21.692</v>
      </c>
      <c r="AA30" s="323">
        <f>VLOOKUP(H30,Lifetime!$A$4:$B$8,2,FALSE)</f>
        <v>28708.42332613391</v>
      </c>
      <c r="AB30" s="319">
        <f t="shared" si="36"/>
        <v>12</v>
      </c>
      <c r="AD30" s="324">
        <f>VLOOKUP(G30&amp;H30,StorageTakebackRemoval!$C$56:$H$67,5,FALSE)</f>
        <v>0.98</v>
      </c>
      <c r="AE30" s="324">
        <f>VLOOKUP(G30&amp;H30,StorageTakebackRemoval!$C$56:$H$67,6,FALSE)</f>
        <v>1</v>
      </c>
      <c r="AG30" s="324">
        <f>1-Q30*('Space Conditioning Interaction'!$B$23)</f>
        <v>0.84454600956505743</v>
      </c>
      <c r="AH30" s="317">
        <f>Q30*'Space Conditioning Interaction'!$I$9</f>
        <v>7.9245911763804085E-3</v>
      </c>
      <c r="AJ30" s="317">
        <f t="shared" si="37"/>
        <v>26.835371042593724</v>
      </c>
      <c r="AK30" s="317">
        <f t="shared" si="38"/>
        <v>14.206961140196677</v>
      </c>
      <c r="AL30" s="317">
        <f t="shared" si="39"/>
        <v>12.628409902397047</v>
      </c>
      <c r="AM30" s="317">
        <f t="shared" si="40"/>
        <v>12.375841704349106</v>
      </c>
      <c r="AN30" s="317">
        <f t="shared" si="41"/>
        <v>10.451967726416857</v>
      </c>
      <c r="AP30" s="317">
        <f t="shared" si="42"/>
        <v>-9.8073485970565602E-2</v>
      </c>
      <c r="AR30" s="317" t="str">
        <f t="shared" si="43"/>
        <v>RetailLEDGeneral Purpose and Dimmable1440 to 2600 lumensANY</v>
      </c>
      <c r="AS30" s="317" t="str">
        <f t="shared" si="44"/>
        <v>RetailLEDGeneral Purpose and Dimmable1440 to 2600 lumensANY</v>
      </c>
      <c r="AT30" s="317">
        <f t="shared" si="45"/>
        <v>10.451967726416857</v>
      </c>
      <c r="AU30" s="319">
        <f t="shared" si="46"/>
        <v>12</v>
      </c>
      <c r="AV30" s="322">
        <f t="shared" si="47"/>
        <v>19.800888698047423</v>
      </c>
      <c r="AW30" s="317">
        <v>0</v>
      </c>
      <c r="AX30" s="318" t="s">
        <v>70</v>
      </c>
      <c r="AY30" s="317">
        <v>0</v>
      </c>
      <c r="AZ30" s="317">
        <f>IF(ISERROR($AN30),999,U30*-1)</f>
        <v>-1.8911113019525783</v>
      </c>
      <c r="BA30" s="317">
        <f t="shared" si="49"/>
        <v>7.8837001052644338</v>
      </c>
      <c r="BF30" s="317">
        <f t="shared" si="50"/>
        <v>-9.8073485970565602E-2</v>
      </c>
      <c r="BG30" s="318" t="s">
        <v>71</v>
      </c>
      <c r="BI30" s="325"/>
    </row>
    <row r="31" spans="1:61">
      <c r="A31" s="22">
        <f t="shared" si="22"/>
        <v>7</v>
      </c>
      <c r="B31" s="22">
        <f t="shared" si="25"/>
        <v>1</v>
      </c>
      <c r="C31" s="22">
        <f t="shared" si="26"/>
        <v>1</v>
      </c>
      <c r="D31" s="22">
        <f t="shared" si="30"/>
        <v>3</v>
      </c>
      <c r="E31" s="22">
        <f t="shared" si="2"/>
        <v>1</v>
      </c>
      <c r="G31" s="2" t="str">
        <f t="shared" si="31"/>
        <v>Retail</v>
      </c>
      <c r="H31" s="2" t="str">
        <f t="shared" si="27"/>
        <v>LED</v>
      </c>
      <c r="I31" s="2" t="str">
        <f t="shared" si="28"/>
        <v>Globe</v>
      </c>
      <c r="J31" s="2" t="str">
        <f t="shared" si="29"/>
        <v>250 to 664 lumens</v>
      </c>
      <c r="K31" s="2" t="s">
        <v>69</v>
      </c>
      <c r="M31" s="1" t="str">
        <f t="shared" si="32"/>
        <v>Globe250 to 664 lumens</v>
      </c>
      <c r="N31" s="1" t="str">
        <f t="shared" si="33"/>
        <v>LEDGlobe250 to 664 lumens</v>
      </c>
      <c r="O31" s="1" t="str">
        <f t="shared" si="34"/>
        <v>RetailLEDGlobe250 to 664 lumensANY</v>
      </c>
      <c r="P31" s="447">
        <f t="shared" si="35"/>
        <v>1.2853142296217028</v>
      </c>
      <c r="Q31" s="15">
        <f>VLOOKUP($M31,'Summary Tables'!$E$49:$N$63,9,FALSE)</f>
        <v>0.99302587722156699</v>
      </c>
      <c r="R31" s="15">
        <f>VLOOKUP($M31,'Summary Tables'!$E$49:$N$63,10,FALSE)</f>
        <v>474.28450426267824</v>
      </c>
      <c r="S31" s="15"/>
      <c r="T31" s="15">
        <f>IF($I31="General Purpose and Dimmable",$R31/45,VLOOKUP($M31,'Summary Tables'!$E$49:$N$63,5,FALSE))</f>
        <v>37</v>
      </c>
      <c r="U31" s="42">
        <f>IF($I31="General Purpose and Dimmable",VLOOKUP($J31,'CFL and LED Cost'!$C$73:$E$75,3,FALSE),VLOOKUP($M31,'Summary Tables'!$E$49:$N$63,6,FALSE))</f>
        <v>2.1737529557872382</v>
      </c>
      <c r="V31" s="15">
        <f>IF($I31="General Purpose and Dimmable",Lifetime!$B$5/(P31*365.25),VLOOKUP($M31,'Summary Tables'!$E$49:$N$63,8,FALSE))</f>
        <v>2.2408705642884907</v>
      </c>
      <c r="X31" s="11">
        <f>VLOOKUP(N31,'CFL and LED Efficacy'!$D$57:$E$86,2,FALSE)</f>
        <v>63.597884546214964</v>
      </c>
      <c r="Y31" s="11">
        <f t="shared" si="51"/>
        <v>7.45755157811936</v>
      </c>
      <c r="Z31" s="43">
        <f>VLOOKUP(N31,'CFL and LED Cost'!$D$73:$K$102,MATCH(G31,'CFL and LED Cost'!$D$72:$K$72,0),FALSE)</f>
        <v>6.5889315175788843</v>
      </c>
      <c r="AA31" s="44">
        <f>VLOOKUP(H31,Lifetime!$A$4:$B$8,2,FALSE)</f>
        <v>28708.42332613391</v>
      </c>
      <c r="AB31" s="15">
        <f t="shared" si="36"/>
        <v>12</v>
      </c>
      <c r="AD31" s="45">
        <f>VLOOKUP(G31&amp;H31,StorageTakebackRemoval!$C$56:$H$67,5,FALSE)</f>
        <v>0.98</v>
      </c>
      <c r="AE31" s="45">
        <f>VLOOKUP(G31&amp;H31,StorageTakebackRemoval!$C$56:$H$67,6,FALSE)</f>
        <v>1</v>
      </c>
      <c r="AG31" s="45">
        <f>1-Q31*('Space Conditioning Interaction'!$B$23)</f>
        <v>0.80438991052999065</v>
      </c>
      <c r="AH31" s="1">
        <f>Q31*'Space Conditioning Interaction'!$I$9</f>
        <v>9.9716320223619329E-3</v>
      </c>
      <c r="AJ31" s="1">
        <f t="shared" si="37"/>
        <v>17.3700578276651</v>
      </c>
      <c r="AK31" s="1">
        <f t="shared" si="38"/>
        <v>3.5010297882359027</v>
      </c>
      <c r="AL31" s="1">
        <f t="shared" si="39"/>
        <v>13.869028039429198</v>
      </c>
      <c r="AM31" s="1">
        <f t="shared" si="40"/>
        <v>13.591647478640613</v>
      </c>
      <c r="AN31" s="1">
        <f t="shared" si="41"/>
        <v>10.932984099298896</v>
      </c>
      <c r="AP31" s="1">
        <f t="shared" si="42"/>
        <v>-0.13553090723466757</v>
      </c>
      <c r="AR31" s="1" t="str">
        <f t="shared" si="43"/>
        <v>RetailLEDGlobe250 to 664 lumensANY</v>
      </c>
      <c r="AS31" s="1" t="str">
        <f t="shared" si="44"/>
        <v>RetailLEDGlobe250 to 664 lumensANY</v>
      </c>
      <c r="AT31" s="1">
        <f t="shared" si="45"/>
        <v>10.932984099298896</v>
      </c>
      <c r="AU31" s="15">
        <f t="shared" si="46"/>
        <v>12</v>
      </c>
      <c r="AV31" s="46">
        <f t="shared" si="47"/>
        <v>4.4151785617916461</v>
      </c>
      <c r="AW31" s="1">
        <v>0</v>
      </c>
      <c r="AX31" s="2" t="s">
        <v>70</v>
      </c>
      <c r="AY31" s="1">
        <v>0</v>
      </c>
      <c r="AZ31" s="1">
        <f t="shared" ref="AZ31:AZ39" si="52">IF(ISERROR($AN31),999,U31*-1)</f>
        <v>-2.1737529557872382</v>
      </c>
      <c r="BA31" s="1">
        <f t="shared" si="49"/>
        <v>2.2408705642884907</v>
      </c>
      <c r="BF31" s="1">
        <f t="shared" si="50"/>
        <v>-0.13553090723466757</v>
      </c>
      <c r="BG31" s="2" t="s">
        <v>71</v>
      </c>
    </row>
    <row r="32" spans="1:61">
      <c r="A32" s="22">
        <f t="shared" si="22"/>
        <v>8</v>
      </c>
      <c r="B32" s="22">
        <f t="shared" si="25"/>
        <v>1</v>
      </c>
      <c r="C32" s="22">
        <f t="shared" si="26"/>
        <v>1</v>
      </c>
      <c r="D32" s="22">
        <f t="shared" si="30"/>
        <v>3</v>
      </c>
      <c r="E32" s="22">
        <f t="shared" si="2"/>
        <v>2</v>
      </c>
      <c r="G32" s="2" t="str">
        <f t="shared" si="31"/>
        <v>Retail</v>
      </c>
      <c r="H32" s="2" t="str">
        <f t="shared" si="27"/>
        <v>LED</v>
      </c>
      <c r="I32" s="2" t="str">
        <f t="shared" si="28"/>
        <v>Globe</v>
      </c>
      <c r="J32" s="2" t="str">
        <f t="shared" si="29"/>
        <v>665 to 1439 lumens</v>
      </c>
      <c r="K32" s="2" t="s">
        <v>69</v>
      </c>
      <c r="M32" s="1" t="str">
        <f t="shared" si="32"/>
        <v>Globe665 to 1439 lumens</v>
      </c>
      <c r="N32" s="1" t="str">
        <f t="shared" si="33"/>
        <v>LEDGlobe665 to 1439 lumens</v>
      </c>
      <c r="O32" s="1" t="str">
        <f t="shared" si="34"/>
        <v>RetailLEDGlobe665 to 1439 lumensANY</v>
      </c>
      <c r="P32" s="447">
        <f t="shared" si="35"/>
        <v>1.3133478593569576</v>
      </c>
      <c r="Q32" s="15">
        <f>VLOOKUP($M32,'Summary Tables'!$E$49:$N$63,9,FALSE)</f>
        <v>0.97668256411584331</v>
      </c>
      <c r="R32" s="15">
        <f>VLOOKUP($M32,'Summary Tables'!$E$49:$N$63,10,FALSE)</f>
        <v>854.01386924203234</v>
      </c>
      <c r="S32" s="15"/>
      <c r="T32" s="15">
        <f>IF($I32="General Purpose and Dimmable",$R32/45,VLOOKUP($M32,'Summary Tables'!$E$49:$N$63,5,FALSE))</f>
        <v>31.100271002710024</v>
      </c>
      <c r="U32" s="42">
        <f>IF($I32="General Purpose and Dimmable",VLOOKUP($J32,'CFL and LED Cost'!$C$73:$E$75,3,FALSE),VLOOKUP($M32,'Summary Tables'!$E$49:$N$63,6,FALSE))</f>
        <v>4.74556552718155</v>
      </c>
      <c r="V32" s="15">
        <f>IF($I32="General Purpose and Dimmable",Lifetime!$B$5/(P32*365.25),VLOOKUP($M32,'Summary Tables'!$E$49:$N$63,8,FALSE))</f>
        <v>2.7621105076077872</v>
      </c>
      <c r="X32" s="11">
        <f>VLOOKUP(N32,'CFL and LED Efficacy'!$D$57:$E$86,2,FALSE)</f>
        <v>76</v>
      </c>
      <c r="Y32" s="11">
        <f t="shared" si="51"/>
        <v>11.237024595289899</v>
      </c>
      <c r="Z32" s="43">
        <f>VLOOKUP(N32,'CFL and LED Cost'!$D$73:$K$102,MATCH(G32,'CFL and LED Cost'!$D$72:$K$72,0),FALSE)</f>
        <v>8.9136723969618856</v>
      </c>
      <c r="AA32" s="44">
        <f>VLOOKUP(H32,Lifetime!$A$4:$B$8,2,FALSE)</f>
        <v>28708.42332613391</v>
      </c>
      <c r="AB32" s="15">
        <f t="shared" si="36"/>
        <v>12</v>
      </c>
      <c r="AD32" s="45">
        <f>VLOOKUP(G32&amp;H32,StorageTakebackRemoval!$C$56:$H$67,5,FALSE)</f>
        <v>0.98</v>
      </c>
      <c r="AE32" s="45">
        <f>VLOOKUP(G32&amp;H32,StorageTakebackRemoval!$C$56:$H$67,6,FALSE)</f>
        <v>1</v>
      </c>
      <c r="AG32" s="45">
        <f>1-Q32*('Space Conditioning Interaction'!$B$23)</f>
        <v>0.80760927974501229</v>
      </c>
      <c r="AH32" s="1">
        <f>Q32*'Space Conditioning Interaction'!$I$9</f>
        <v>9.8075179664699526E-3</v>
      </c>
      <c r="AJ32" s="1">
        <f t="shared" si="37"/>
        <v>14.91880950517983</v>
      </c>
      <c r="AK32" s="1">
        <f t="shared" si="38"/>
        <v>5.3904041327338383</v>
      </c>
      <c r="AL32" s="1">
        <f t="shared" si="39"/>
        <v>9.5284053724459916</v>
      </c>
      <c r="AM32" s="1">
        <f t="shared" si="40"/>
        <v>9.3378372649970718</v>
      </c>
      <c r="AN32" s="1">
        <f t="shared" si="41"/>
        <v>7.541324027960421</v>
      </c>
      <c r="AP32" s="1">
        <f t="shared" si="42"/>
        <v>-9.1581006744431426E-2</v>
      </c>
      <c r="AR32" s="1" t="str">
        <f t="shared" si="43"/>
        <v>RetailLEDGlobe665 to 1439 lumensANY</v>
      </c>
      <c r="AS32" s="1" t="str">
        <f t="shared" si="44"/>
        <v>RetailLEDGlobe665 to 1439 lumensANY</v>
      </c>
      <c r="AT32" s="1">
        <f t="shared" si="45"/>
        <v>7.541324027960421</v>
      </c>
      <c r="AU32" s="15">
        <f t="shared" si="46"/>
        <v>12</v>
      </c>
      <c r="AV32" s="46">
        <f t="shared" si="47"/>
        <v>4.1681068697803356</v>
      </c>
      <c r="AW32" s="1">
        <v>0</v>
      </c>
      <c r="AX32" s="2" t="s">
        <v>70</v>
      </c>
      <c r="AY32" s="1">
        <v>0</v>
      </c>
      <c r="AZ32" s="1">
        <f t="shared" si="52"/>
        <v>-4.74556552718155</v>
      </c>
      <c r="BA32" s="1">
        <f t="shared" si="49"/>
        <v>2.7621105076077872</v>
      </c>
      <c r="BF32" s="1">
        <f t="shared" si="50"/>
        <v>-9.1581006744431426E-2</v>
      </c>
      <c r="BG32" s="2" t="s">
        <v>71</v>
      </c>
    </row>
    <row r="33" spans="1:59">
      <c r="A33" s="22">
        <f t="shared" si="22"/>
        <v>9</v>
      </c>
      <c r="B33" s="22">
        <f t="shared" si="25"/>
        <v>1</v>
      </c>
      <c r="C33" s="22">
        <f t="shared" si="26"/>
        <v>1</v>
      </c>
      <c r="D33" s="22">
        <f t="shared" si="30"/>
        <v>3</v>
      </c>
      <c r="E33" s="22">
        <f t="shared" si="2"/>
        <v>3</v>
      </c>
      <c r="G33" s="2" t="str">
        <f t="shared" si="31"/>
        <v>Retail</v>
      </c>
      <c r="H33" s="2" t="str">
        <f t="shared" si="27"/>
        <v>LED</v>
      </c>
      <c r="I33" s="2" t="str">
        <f t="shared" si="28"/>
        <v>Globe</v>
      </c>
      <c r="J33" s="2" t="str">
        <f t="shared" si="29"/>
        <v>1440 to 2600 lumens</v>
      </c>
      <c r="K33" s="2" t="s">
        <v>69</v>
      </c>
      <c r="M33" s="1" t="str">
        <f t="shared" si="32"/>
        <v>Globe1440 to 2600 lumens</v>
      </c>
      <c r="N33" s="1" t="str">
        <f t="shared" si="33"/>
        <v>LEDGlobe1440 to 2600 lumens</v>
      </c>
      <c r="O33" s="1" t="str">
        <f t="shared" si="34"/>
        <v>RetailLEDGlobe1440 to 2600 lumensANY</v>
      </c>
      <c r="P33" s="447">
        <f t="shared" si="35"/>
        <v>1.7779135295448871</v>
      </c>
      <c r="Q33" s="15">
        <f>VLOOKUP($M33,'Summary Tables'!$E$49:$N$63,9,FALSE)</f>
        <v>0.84854563840574837</v>
      </c>
      <c r="R33" s="15">
        <f>VLOOKUP($M33,'Summary Tables'!$E$49:$N$63,10,FALSE)</f>
        <v>1845.0029433386362</v>
      </c>
      <c r="S33" s="15"/>
      <c r="T33" s="15">
        <f>IF($I33="General Purpose and Dimmable",$R33/45,VLOOKUP($M33,'Summary Tables'!$E$49:$N$63,5,FALSE))</f>
        <v>37</v>
      </c>
      <c r="U33" s="42">
        <f>IF($I33="General Purpose and Dimmable",VLOOKUP($J33,'CFL and LED Cost'!$C$73:$E$75,3,FALSE),VLOOKUP($M33,'Summary Tables'!$E$49:$N$63,6,FALSE))</f>
        <v>5.4627245082786207</v>
      </c>
      <c r="V33" s="15">
        <f>IF($I33="General Purpose and Dimmable",Lifetime!$B$5/(P33*365.25),VLOOKUP($M33,'Summary Tables'!$E$49:$N$63,8,FALSE))</f>
        <v>2.0492242794119604</v>
      </c>
      <c r="X33" s="313">
        <f>X30/X28*X31</f>
        <v>86.554776312664501</v>
      </c>
      <c r="Y33" s="11">
        <f t="shared" si="51"/>
        <v>21.316015382835431</v>
      </c>
      <c r="Z33" s="43">
        <f>VLOOKUP(N33,'CFL and LED Cost'!$D$73:$K$102,MATCH(G33,'CFL and LED Cost'!$D$72:$K$72,0),FALSE)</f>
        <v>21.692</v>
      </c>
      <c r="AA33" s="44">
        <f>VLOOKUP(H33,Lifetime!$A$4:$B$8,2,FALSE)</f>
        <v>28708.42332613391</v>
      </c>
      <c r="AB33" s="15">
        <f t="shared" si="36"/>
        <v>12</v>
      </c>
      <c r="AD33" s="45">
        <f>VLOOKUP(G33&amp;H33,StorageTakebackRemoval!$C$56:$H$67,5,FALSE)</f>
        <v>0.98</v>
      </c>
      <c r="AE33" s="45">
        <f>VLOOKUP(G33&amp;H33,StorageTakebackRemoval!$C$56:$H$67,6,FALSE)</f>
        <v>1</v>
      </c>
      <c r="AG33" s="45">
        <f>1-Q33*('Space Conditioning Interaction'!$B$23)</f>
        <v>0.83285018844388103</v>
      </c>
      <c r="AH33" s="1">
        <f>Q33*'Space Conditioning Interaction'!$I$9</f>
        <v>8.5208100357231469E-3</v>
      </c>
      <c r="AJ33" s="1">
        <f t="shared" si="37"/>
        <v>24.027167916651994</v>
      </c>
      <c r="AK33" s="1">
        <f t="shared" si="38"/>
        <v>13.842256241008752</v>
      </c>
      <c r="AL33" s="1">
        <f t="shared" si="39"/>
        <v>10.184911675643242</v>
      </c>
      <c r="AM33" s="1">
        <f t="shared" si="40"/>
        <v>9.9812134421303771</v>
      </c>
      <c r="AN33" s="1">
        <f t="shared" si="41"/>
        <v>8.3128554961768835</v>
      </c>
      <c r="AP33" s="1">
        <f t="shared" si="42"/>
        <v>-8.5048023666399297E-2</v>
      </c>
      <c r="AR33" s="1" t="str">
        <f t="shared" si="43"/>
        <v>RetailLEDGlobe1440 to 2600 lumensANY</v>
      </c>
      <c r="AS33" s="1" t="str">
        <f t="shared" si="44"/>
        <v>RetailLEDGlobe1440 to 2600 lumensANY</v>
      </c>
      <c r="AT33" s="1">
        <f t="shared" si="45"/>
        <v>8.3128554961768835</v>
      </c>
      <c r="AU33" s="15">
        <f t="shared" si="46"/>
        <v>12</v>
      </c>
      <c r="AV33" s="46">
        <f t="shared" si="47"/>
        <v>16.229275491721381</v>
      </c>
      <c r="AW33" s="1">
        <v>0</v>
      </c>
      <c r="AX33" s="2" t="s">
        <v>70</v>
      </c>
      <c r="AY33" s="1">
        <v>0</v>
      </c>
      <c r="AZ33" s="1">
        <f t="shared" si="52"/>
        <v>-5.4627245082786207</v>
      </c>
      <c r="BA33" s="1">
        <f t="shared" si="49"/>
        <v>2.0492242794119604</v>
      </c>
      <c r="BF33" s="1">
        <f t="shared" si="50"/>
        <v>-8.5048023666399297E-2</v>
      </c>
      <c r="BG33" s="2" t="s">
        <v>71</v>
      </c>
    </row>
    <row r="34" spans="1:59">
      <c r="A34" s="22">
        <f t="shared" si="22"/>
        <v>10</v>
      </c>
      <c r="B34" s="22">
        <f t="shared" si="25"/>
        <v>1</v>
      </c>
      <c r="C34" s="22">
        <f t="shared" si="26"/>
        <v>1</v>
      </c>
      <c r="D34" s="22">
        <f t="shared" si="30"/>
        <v>4</v>
      </c>
      <c r="E34" s="22">
        <f t="shared" si="2"/>
        <v>1</v>
      </c>
      <c r="G34" s="2" t="str">
        <f t="shared" si="31"/>
        <v>Retail</v>
      </c>
      <c r="H34" s="2" t="str">
        <f t="shared" si="27"/>
        <v>LED</v>
      </c>
      <c r="I34" s="2" t="str">
        <f t="shared" si="28"/>
        <v>Reflectors and Outdoor</v>
      </c>
      <c r="J34" s="2" t="str">
        <f t="shared" si="29"/>
        <v>250 to 664 lumens</v>
      </c>
      <c r="K34" s="2" t="s">
        <v>69</v>
      </c>
      <c r="M34" s="1" t="str">
        <f t="shared" si="32"/>
        <v>Reflectors and Outdoor250 to 664 lumens</v>
      </c>
      <c r="N34" s="1" t="str">
        <f t="shared" si="33"/>
        <v>LEDReflectors and Outdoor250 to 664 lumens</v>
      </c>
      <c r="O34" s="1" t="str">
        <f t="shared" si="34"/>
        <v>RetailLEDReflectors and Outdoor250 to 664 lumensANY</v>
      </c>
      <c r="P34" s="447">
        <f t="shared" si="35"/>
        <v>1.8506803142955834</v>
      </c>
      <c r="Q34" s="15">
        <f>VLOOKUP($M34,'Summary Tables'!$E$49:$N$63,9,FALSE)</f>
        <v>0.94622699649287401</v>
      </c>
      <c r="R34" s="15">
        <f>VLOOKUP($M34,'Summary Tables'!$E$49:$N$63,10,FALSE)</f>
        <v>479.73166573433264</v>
      </c>
      <c r="S34" s="15"/>
      <c r="T34" s="15">
        <f>IF($I34="General Purpose and Dimmable",$R34/45,VLOOKUP($M34,'Summary Tables'!$E$49:$N$63,5,FALSE))</f>
        <v>38</v>
      </c>
      <c r="U34" s="42">
        <f>IF($I34="General Purpose and Dimmable",VLOOKUP($J34,'CFL and LED Cost'!$C$73:$E$75,3,FALSE),VLOOKUP($M34,'Summary Tables'!$E$49:$N$63,6,FALSE))</f>
        <v>4.6350044381489033</v>
      </c>
      <c r="V34" s="15">
        <f>IF($I34="General Purpose and Dimmable",Lifetime!$B$5/(P34*365.25),VLOOKUP($M34,'Summary Tables'!$E$49:$N$63,8,FALSE))</f>
        <v>2.1002897994909375</v>
      </c>
      <c r="X34" s="11">
        <f>VLOOKUP(N34,'CFL and LED Efficacy'!$D$57:$E$86,2,FALSE)</f>
        <v>56.325863413141882</v>
      </c>
      <c r="Y34" s="11">
        <f t="shared" si="51"/>
        <v>8.5170761114760332</v>
      </c>
      <c r="Z34" s="43">
        <f>VLOOKUP(N34,'CFL and LED Cost'!$D$73:$K$102,MATCH(G34,'CFL and LED Cost'!$D$72:$K$72,0),FALSE)</f>
        <v>21.195435697005799</v>
      </c>
      <c r="AA34" s="44">
        <f>VLOOKUP(H34,Lifetime!$A$4:$B$8,2,FALSE)</f>
        <v>28708.42332613391</v>
      </c>
      <c r="AB34" s="15">
        <f t="shared" si="36"/>
        <v>12</v>
      </c>
      <c r="AD34" s="45">
        <f>VLOOKUP(G34&amp;H34,StorageTakebackRemoval!$C$56:$H$67,5,FALSE)</f>
        <v>0.98</v>
      </c>
      <c r="AE34" s="45">
        <f>VLOOKUP(G34&amp;H34,StorageTakebackRemoval!$C$56:$H$67,6,FALSE)</f>
        <v>1</v>
      </c>
      <c r="AG34" s="45">
        <f>1-Q34*('Space Conditioning Interaction'!$B$23)</f>
        <v>0.81360853559950974</v>
      </c>
      <c r="AH34" s="1">
        <f>Q34*'Space Conditioning Interaction'!$I$9</f>
        <v>9.5016933949913906E-3</v>
      </c>
      <c r="AJ34" s="1">
        <f t="shared" si="37"/>
        <v>25.686517422265549</v>
      </c>
      <c r="AK34" s="1">
        <f t="shared" si="38"/>
        <v>5.7572111558997596</v>
      </c>
      <c r="AL34" s="1">
        <f t="shared" si="39"/>
        <v>19.929306266365789</v>
      </c>
      <c r="AM34" s="1">
        <f t="shared" si="40"/>
        <v>19.530720141038472</v>
      </c>
      <c r="AN34" s="1">
        <f t="shared" si="41"/>
        <v>15.890360613154161</v>
      </c>
      <c r="AP34" s="1">
        <f t="shared" si="42"/>
        <v>-0.18557491456353056</v>
      </c>
      <c r="AR34" s="1" t="str">
        <f t="shared" si="43"/>
        <v>RetailLEDReflectors and Outdoor250 to 664 lumensANY</v>
      </c>
      <c r="AS34" s="1" t="str">
        <f t="shared" si="44"/>
        <v>RetailLEDReflectors and Outdoor250 to 664 lumensANY</v>
      </c>
      <c r="AT34" s="1">
        <f t="shared" si="45"/>
        <v>15.890360613154161</v>
      </c>
      <c r="AU34" s="15">
        <f t="shared" si="46"/>
        <v>12</v>
      </c>
      <c r="AV34" s="46">
        <f t="shared" si="47"/>
        <v>16.560431258856894</v>
      </c>
      <c r="AW34" s="1">
        <v>0</v>
      </c>
      <c r="AX34" s="2" t="s">
        <v>70</v>
      </c>
      <c r="AY34" s="1">
        <v>0</v>
      </c>
      <c r="AZ34" s="1">
        <f t="shared" si="52"/>
        <v>-4.6350044381489033</v>
      </c>
      <c r="BA34" s="1">
        <f t="shared" si="49"/>
        <v>2.1002897994909375</v>
      </c>
      <c r="BF34" s="1">
        <f t="shared" si="50"/>
        <v>-0.18557491456353056</v>
      </c>
      <c r="BG34" s="2" t="s">
        <v>71</v>
      </c>
    </row>
    <row r="35" spans="1:59">
      <c r="A35" s="22">
        <f t="shared" si="22"/>
        <v>11</v>
      </c>
      <c r="B35" s="22">
        <f t="shared" si="25"/>
        <v>1</v>
      </c>
      <c r="C35" s="22">
        <f t="shared" si="26"/>
        <v>1</v>
      </c>
      <c r="D35" s="22">
        <f t="shared" si="30"/>
        <v>4</v>
      </c>
      <c r="E35" s="22">
        <f t="shared" si="2"/>
        <v>2</v>
      </c>
      <c r="G35" s="2" t="str">
        <f t="shared" si="31"/>
        <v>Retail</v>
      </c>
      <c r="H35" s="2" t="str">
        <f t="shared" si="27"/>
        <v>LED</v>
      </c>
      <c r="I35" s="2" t="str">
        <f t="shared" si="28"/>
        <v>Reflectors and Outdoor</v>
      </c>
      <c r="J35" s="2" t="str">
        <f t="shared" si="29"/>
        <v>665 to 1439 lumens</v>
      </c>
      <c r="K35" s="2" t="s">
        <v>69</v>
      </c>
      <c r="M35" s="1" t="str">
        <f t="shared" si="32"/>
        <v>Reflectors and Outdoor665 to 1439 lumens</v>
      </c>
      <c r="N35" s="1" t="str">
        <f t="shared" si="33"/>
        <v>LEDReflectors and Outdoor665 to 1439 lumens</v>
      </c>
      <c r="O35" s="1" t="str">
        <f t="shared" si="34"/>
        <v>RetailLEDReflectors and Outdoor665 to 1439 lumensANY</v>
      </c>
      <c r="P35" s="447">
        <f t="shared" si="35"/>
        <v>2.1112998582903737</v>
      </c>
      <c r="Q35" s="15">
        <f>VLOOKUP($M35,'Summary Tables'!$E$49:$N$63,9,FALSE)</f>
        <v>0.82931998492682701</v>
      </c>
      <c r="R35" s="15">
        <f>VLOOKUP($M35,'Summary Tables'!$E$49:$N$63,10,FALSE)</f>
        <v>972.55453255182397</v>
      </c>
      <c r="S35" s="15"/>
      <c r="T35" s="15">
        <f>IF($I35="General Purpose and Dimmable",$R35/45,VLOOKUP($M35,'Summary Tables'!$E$49:$N$63,5,FALSE))</f>
        <v>33.801608579088473</v>
      </c>
      <c r="U35" s="42">
        <f>IF($I35="General Purpose and Dimmable",VLOOKUP($J35,'CFL and LED Cost'!$C$73:$E$75,3,FALSE),VLOOKUP($M35,'Summary Tables'!$E$49:$N$63,6,FALSE))</f>
        <v>6.0025868409413388</v>
      </c>
      <c r="V35" s="15">
        <f>IF($I35="General Purpose and Dimmable",Lifetime!$B$5/(P35*365.25),VLOOKUP($M35,'Summary Tables'!$E$49:$N$63,8,FALSE))</f>
        <v>2.7605785479478313</v>
      </c>
      <c r="X35" s="11">
        <f>VLOOKUP(N35,'CFL and LED Efficacy'!$D$57:$E$86,2,FALSE)</f>
        <v>67</v>
      </c>
      <c r="Y35" s="11">
        <f t="shared" si="51"/>
        <v>14.515739291818269</v>
      </c>
      <c r="Z35" s="43">
        <f>VLOOKUP(N35,'CFL and LED Cost'!$D$73:$K$102,MATCH(G35,'CFL and LED Cost'!$D$72:$K$72,0),FALSE)</f>
        <v>17.935480603886987</v>
      </c>
      <c r="AA35" s="44">
        <f>VLOOKUP(H35,Lifetime!$A$4:$B$8,2,FALSE)</f>
        <v>28708.42332613391</v>
      </c>
      <c r="AB35" s="15">
        <f t="shared" si="36"/>
        <v>12</v>
      </c>
      <c r="AD35" s="45">
        <f>VLOOKUP(G35&amp;H35,StorageTakebackRemoval!$C$56:$H$67,5,FALSE)</f>
        <v>0.98</v>
      </c>
      <c r="AE35" s="45">
        <f>VLOOKUP(G35&amp;H35,StorageTakebackRemoval!$C$56:$H$67,6,FALSE)</f>
        <v>1</v>
      </c>
      <c r="AG35" s="45">
        <f>1-Q35*('Space Conditioning Interaction'!$B$23)</f>
        <v>0.83663733224687387</v>
      </c>
      <c r="AH35" s="1">
        <f>Q35*'Space Conditioning Interaction'!$I$9</f>
        <v>8.3277524867923537E-3</v>
      </c>
      <c r="AJ35" s="1">
        <f t="shared" si="37"/>
        <v>26.066187294951654</v>
      </c>
      <c r="AK35" s="1">
        <f t="shared" si="38"/>
        <v>11.193845352652959</v>
      </c>
      <c r="AL35" s="1">
        <f t="shared" si="39"/>
        <v>14.872341942298695</v>
      </c>
      <c r="AM35" s="1">
        <f t="shared" si="40"/>
        <v>14.57489510345272</v>
      </c>
      <c r="AN35" s="1">
        <f t="shared" si="41"/>
        <v>12.193901357130708</v>
      </c>
      <c r="AP35" s="1">
        <f t="shared" si="42"/>
        <v>-0.12137611894251608</v>
      </c>
      <c r="AR35" s="1" t="str">
        <f t="shared" si="43"/>
        <v>RetailLEDReflectors and Outdoor665 to 1439 lumensANY</v>
      </c>
      <c r="AS35" s="1" t="str">
        <f t="shared" si="44"/>
        <v>RetailLEDReflectors and Outdoor665 to 1439 lumensANY</v>
      </c>
      <c r="AT35" s="1">
        <f t="shared" si="45"/>
        <v>12.193901357130708</v>
      </c>
      <c r="AU35" s="15">
        <f t="shared" si="46"/>
        <v>12</v>
      </c>
      <c r="AV35" s="46">
        <f t="shared" si="47"/>
        <v>11.932893762945648</v>
      </c>
      <c r="AW35" s="1">
        <v>0</v>
      </c>
      <c r="AX35" s="2" t="s">
        <v>70</v>
      </c>
      <c r="AY35" s="1">
        <v>0</v>
      </c>
      <c r="AZ35" s="1">
        <f t="shared" si="52"/>
        <v>-6.0025868409413388</v>
      </c>
      <c r="BA35" s="1">
        <f t="shared" si="49"/>
        <v>2.7605785479478313</v>
      </c>
      <c r="BF35" s="1">
        <f t="shared" si="50"/>
        <v>-0.12137611894251608</v>
      </c>
      <c r="BG35" s="2" t="s">
        <v>71</v>
      </c>
    </row>
    <row r="36" spans="1:59">
      <c r="A36" s="22">
        <f t="shared" si="22"/>
        <v>12</v>
      </c>
      <c r="B36" s="22">
        <f t="shared" si="25"/>
        <v>1</v>
      </c>
      <c r="C36" s="22">
        <f t="shared" si="26"/>
        <v>1</v>
      </c>
      <c r="D36" s="22">
        <f t="shared" si="30"/>
        <v>4</v>
      </c>
      <c r="E36" s="22">
        <f t="shared" si="2"/>
        <v>3</v>
      </c>
      <c r="G36" s="2" t="str">
        <f t="shared" si="31"/>
        <v>Retail</v>
      </c>
      <c r="H36" s="2" t="str">
        <f t="shared" si="27"/>
        <v>LED</v>
      </c>
      <c r="I36" s="2" t="str">
        <f t="shared" si="28"/>
        <v>Reflectors and Outdoor</v>
      </c>
      <c r="J36" s="2" t="str">
        <f t="shared" si="29"/>
        <v>1440 to 2600 lumens</v>
      </c>
      <c r="K36" s="2" t="s">
        <v>69</v>
      </c>
      <c r="M36" s="1" t="str">
        <f t="shared" si="32"/>
        <v>Reflectors and Outdoor1440 to 2600 lumens</v>
      </c>
      <c r="N36" s="1" t="str">
        <f t="shared" si="33"/>
        <v>LEDReflectors and Outdoor1440 to 2600 lumens</v>
      </c>
      <c r="O36" s="1" t="str">
        <f t="shared" si="34"/>
        <v>RetailLEDReflectors and Outdoor1440 to 2600 lumensANY</v>
      </c>
      <c r="P36" s="447">
        <f t="shared" si="35"/>
        <v>3.0412077290657424</v>
      </c>
      <c r="Q36" s="15">
        <f>VLOOKUP($M36,'Summary Tables'!$E$49:$N$63,9,FALSE)</f>
        <v>0.2985167573190915</v>
      </c>
      <c r="R36" s="15">
        <f>VLOOKUP($M36,'Summary Tables'!$E$49:$N$63,10,FALSE)</f>
        <v>1835.2728077183538</v>
      </c>
      <c r="S36" s="15"/>
      <c r="T36" s="15">
        <f>IF($I36="General Purpose and Dimmable",$R36/45,VLOOKUP($M36,'Summary Tables'!$E$49:$N$63,5,FALSE))</f>
        <v>92</v>
      </c>
      <c r="U36" s="42">
        <f>IF($I36="General Purpose and Dimmable",VLOOKUP($J36,'CFL and LED Cost'!$C$73:$E$75,3,FALSE),VLOOKUP($M36,'Summary Tables'!$E$49:$N$63,6,FALSE))</f>
        <v>6.8379432184399001</v>
      </c>
      <c r="V36" s="15">
        <f>IF($I36="General Purpose and Dimmable",Lifetime!$B$5/(P36*365.25),VLOOKUP($M36,'Summary Tables'!$E$49:$N$63,8,FALSE))</f>
        <v>1.8152462117520278</v>
      </c>
      <c r="X36" s="11">
        <f>VLOOKUP(N36,'CFL and LED Efficacy'!$D$57:$E$86,2,FALSE)</f>
        <v>67</v>
      </c>
      <c r="Y36" s="11">
        <f t="shared" si="51"/>
        <v>27.392131458482893</v>
      </c>
      <c r="Z36" s="43">
        <f>VLOOKUP(N36,'CFL and LED Cost'!$D$73:$K$102,MATCH(G36,'CFL and LED Cost'!$D$72:$K$72,0),FALSE)</f>
        <v>32.537999999999997</v>
      </c>
      <c r="AA36" s="44">
        <f>VLOOKUP(H36,Lifetime!$A$4:$B$8,2,FALSE)</f>
        <v>28708.42332613391</v>
      </c>
      <c r="AB36" s="15">
        <f t="shared" si="36"/>
        <v>12</v>
      </c>
      <c r="AD36" s="45">
        <f>VLOOKUP(G36&amp;H36,StorageTakebackRemoval!$C$56:$H$67,5,FALSE)</f>
        <v>0.98</v>
      </c>
      <c r="AE36" s="45">
        <f>VLOOKUP(G36&amp;H36,StorageTakebackRemoval!$C$56:$H$67,6,FALSE)</f>
        <v>1</v>
      </c>
      <c r="AG36" s="45">
        <f>1-Q36*('Space Conditioning Interaction'!$B$23)</f>
        <v>0.94119701112838594</v>
      </c>
      <c r="AH36" s="1">
        <f>Q36*'Space Conditioning Interaction'!$I$9</f>
        <v>2.9976049212567784E-3</v>
      </c>
      <c r="AJ36" s="1">
        <f t="shared" si="37"/>
        <v>102.19370331979616</v>
      </c>
      <c r="AK36" s="1">
        <f t="shared" si="38"/>
        <v>30.427210386576697</v>
      </c>
      <c r="AL36" s="1">
        <f t="shared" si="39"/>
        <v>71.766492933219467</v>
      </c>
      <c r="AM36" s="1">
        <f t="shared" si="40"/>
        <v>70.331163074555079</v>
      </c>
      <c r="AN36" s="1">
        <f t="shared" si="41"/>
        <v>66.195480474954337</v>
      </c>
      <c r="AP36" s="1">
        <f t="shared" si="42"/>
        <v>-0.21082504054999932</v>
      </c>
      <c r="AR36" s="1" t="str">
        <f t="shared" si="43"/>
        <v>RetailLEDReflectors and Outdoor1440 to 2600 lumensANY</v>
      </c>
      <c r="AS36" s="1" t="str">
        <f t="shared" si="44"/>
        <v>RetailLEDReflectors and Outdoor1440 to 2600 lumensANY</v>
      </c>
      <c r="AT36" s="1">
        <f t="shared" si="45"/>
        <v>66.195480474954337</v>
      </c>
      <c r="AU36" s="15">
        <f t="shared" si="46"/>
        <v>12</v>
      </c>
      <c r="AV36" s="46">
        <f t="shared" si="47"/>
        <v>25.700056781560097</v>
      </c>
      <c r="AW36" s="1">
        <v>0</v>
      </c>
      <c r="AX36" s="2" t="s">
        <v>70</v>
      </c>
      <c r="AY36" s="1">
        <v>0</v>
      </c>
      <c r="AZ36" s="1">
        <f t="shared" si="52"/>
        <v>-6.8379432184399001</v>
      </c>
      <c r="BA36" s="1">
        <f t="shared" si="49"/>
        <v>1.8152462117520278</v>
      </c>
      <c r="BF36" s="1">
        <f t="shared" si="50"/>
        <v>-0.21082504054999932</v>
      </c>
      <c r="BG36" s="2" t="s">
        <v>71</v>
      </c>
    </row>
    <row r="37" spans="1:59">
      <c r="A37" s="22">
        <f t="shared" si="22"/>
        <v>13</v>
      </c>
      <c r="B37" s="22">
        <f t="shared" si="25"/>
        <v>1</v>
      </c>
      <c r="C37" s="22">
        <f t="shared" si="26"/>
        <v>1</v>
      </c>
      <c r="D37" s="22">
        <f t="shared" si="30"/>
        <v>5</v>
      </c>
      <c r="E37" s="22">
        <f t="shared" si="2"/>
        <v>1</v>
      </c>
      <c r="G37" s="2" t="str">
        <f t="shared" si="31"/>
        <v>Retail</v>
      </c>
      <c r="H37" s="2" t="str">
        <f t="shared" si="27"/>
        <v>LED</v>
      </c>
      <c r="I37" s="2" t="str">
        <f t="shared" si="28"/>
        <v>Three-Way</v>
      </c>
      <c r="J37" s="2" t="str">
        <f t="shared" si="29"/>
        <v>250 to 664 lumens</v>
      </c>
      <c r="K37" s="2" t="s">
        <v>69</v>
      </c>
      <c r="M37" s="1" t="str">
        <f t="shared" si="32"/>
        <v>Three-Way250 to 664 lumens</v>
      </c>
      <c r="N37" s="1" t="str">
        <f t="shared" si="33"/>
        <v>LEDThree-Way250 to 664 lumens</v>
      </c>
      <c r="O37" s="1" t="str">
        <f t="shared" si="34"/>
        <v>RetailLEDThree-Way250 to 664 lumensANY</v>
      </c>
      <c r="P37" s="447">
        <f t="shared" si="35"/>
        <v>1.541668471432259</v>
      </c>
      <c r="Q37" s="15">
        <f>VLOOKUP($M37,'Summary Tables'!$E$49:$N$63,9,FALSE)</f>
        <v>1</v>
      </c>
      <c r="R37" s="15">
        <f>VLOOKUP($M37,'Summary Tables'!$E$49:$N$63,10,FALSE)</f>
        <v>415.0645318455953</v>
      </c>
      <c r="S37" s="15"/>
      <c r="T37" s="15">
        <f>IF($I37="General Purpose and Dimmable",$R37/45,VLOOKUP($M37,'Summary Tables'!$E$49:$N$63,5,FALSE))</f>
        <v>91</v>
      </c>
      <c r="U37" s="42">
        <f>IF($I37="General Purpose and Dimmable",VLOOKUP($J37,'CFL and LED Cost'!$C$73:$E$75,3,FALSE),VLOOKUP($M37,'Summary Tables'!$E$49:$N$63,6,FALSE))</f>
        <v>2.5086033161955381</v>
      </c>
      <c r="V37" s="15">
        <f>IF($I37="General Purpose and Dimmable",Lifetime!$B$5/(P37*365.25),VLOOKUP($M37,'Summary Tables'!$E$49:$N$63,8,FALSE))</f>
        <v>1.9664811264199897</v>
      </c>
      <c r="X37" s="313">
        <f>X28</f>
        <v>62.45548098813935</v>
      </c>
      <c r="Y37" s="11">
        <f t="shared" si="51"/>
        <v>6.6457663167211605</v>
      </c>
      <c r="Z37" s="43">
        <f>VLOOKUP(N37,'CFL and LED Cost'!$D$73:$K$102,MATCH(G37,'CFL and LED Cost'!$D$72:$K$72,0),FALSE)</f>
        <v>21.195435697005799</v>
      </c>
      <c r="AA37" s="44">
        <f>VLOOKUP(H37,Lifetime!$A$4:$B$8,2,FALSE)</f>
        <v>28708.42332613391</v>
      </c>
      <c r="AB37" s="15">
        <f t="shared" si="36"/>
        <v>12</v>
      </c>
      <c r="AD37" s="45">
        <f>VLOOKUP(G37&amp;H37,StorageTakebackRemoval!$C$56:$H$67,5,FALSE)</f>
        <v>0.98</v>
      </c>
      <c r="AE37" s="45">
        <f>VLOOKUP(G37&amp;H37,StorageTakebackRemoval!$C$56:$H$67,6,FALSE)</f>
        <v>1</v>
      </c>
      <c r="AG37" s="45">
        <f>1-Q37*('Space Conditioning Interaction'!$B$23)</f>
        <v>0.8030161207708747</v>
      </c>
      <c r="AH37" s="1">
        <f>Q37*'Space Conditioning Interaction'!$I$9</f>
        <v>1.0041663818733528E-2</v>
      </c>
      <c r="AJ37" s="1">
        <f t="shared" si="37"/>
        <v>51.241591236347574</v>
      </c>
      <c r="AK37" s="1">
        <f t="shared" si="38"/>
        <v>3.7421938577331084</v>
      </c>
      <c r="AL37" s="1">
        <f t="shared" si="39"/>
        <v>47.499397378614468</v>
      </c>
      <c r="AM37" s="1">
        <f t="shared" si="40"/>
        <v>46.549409431042179</v>
      </c>
      <c r="AN37" s="1">
        <f t="shared" si="41"/>
        <v>37.37992618549066</v>
      </c>
      <c r="AP37" s="1">
        <f t="shared" si="42"/>
        <v>-0.46743352046710951</v>
      </c>
      <c r="AR37" s="1" t="str">
        <f t="shared" si="43"/>
        <v>RetailLEDThree-Way250 to 664 lumensANY</v>
      </c>
      <c r="AS37" s="1" t="str">
        <f t="shared" si="44"/>
        <v>RetailLEDThree-Way250 to 664 lumensANY</v>
      </c>
      <c r="AT37" s="1">
        <f t="shared" si="45"/>
        <v>37.37992618549066</v>
      </c>
      <c r="AU37" s="15">
        <f t="shared" si="46"/>
        <v>12</v>
      </c>
      <c r="AV37" s="46">
        <f t="shared" si="47"/>
        <v>18.686832380810259</v>
      </c>
      <c r="AW37" s="1">
        <v>0</v>
      </c>
      <c r="AX37" s="2" t="s">
        <v>70</v>
      </c>
      <c r="AY37" s="1">
        <v>0</v>
      </c>
      <c r="AZ37" s="1">
        <f t="shared" si="52"/>
        <v>-2.5086033161955381</v>
      </c>
      <c r="BA37" s="1">
        <f t="shared" si="49"/>
        <v>1.9664811264199897</v>
      </c>
      <c r="BF37" s="1">
        <f t="shared" si="50"/>
        <v>-0.46743352046710951</v>
      </c>
      <c r="BG37" s="2" t="s">
        <v>71</v>
      </c>
    </row>
    <row r="38" spans="1:59">
      <c r="A38" s="22">
        <f t="shared" si="22"/>
        <v>14</v>
      </c>
      <c r="B38" s="22">
        <f t="shared" si="25"/>
        <v>1</v>
      </c>
      <c r="C38" s="22">
        <f t="shared" si="26"/>
        <v>1</v>
      </c>
      <c r="D38" s="22">
        <f t="shared" si="30"/>
        <v>5</v>
      </c>
      <c r="E38" s="22">
        <f t="shared" si="2"/>
        <v>2</v>
      </c>
      <c r="G38" s="2" t="str">
        <f t="shared" si="31"/>
        <v>Retail</v>
      </c>
      <c r="H38" s="2" t="str">
        <f t="shared" si="27"/>
        <v>LED</v>
      </c>
      <c r="I38" s="2" t="str">
        <f t="shared" si="28"/>
        <v>Three-Way</v>
      </c>
      <c r="J38" s="2" t="str">
        <f t="shared" si="29"/>
        <v>665 to 1439 lumens</v>
      </c>
      <c r="K38" s="2" t="s">
        <v>69</v>
      </c>
      <c r="M38" s="1" t="str">
        <f t="shared" si="32"/>
        <v>Three-Way665 to 1439 lumens</v>
      </c>
      <c r="N38" s="1" t="str">
        <f t="shared" si="33"/>
        <v>LEDThree-Way665 to 1439 lumens</v>
      </c>
      <c r="O38" s="1" t="str">
        <f t="shared" si="34"/>
        <v>RetailLEDThree-Way665 to 1439 lumensANY</v>
      </c>
      <c r="P38" s="447">
        <f t="shared" si="35"/>
        <v>1.8012991277195711</v>
      </c>
      <c r="Q38" s="15">
        <f>VLOOKUP($M38,'Summary Tables'!$E$49:$N$63,9,FALSE)</f>
        <v>0.9977909622715454</v>
      </c>
      <c r="R38" s="15">
        <f>VLOOKUP($M38,'Summary Tables'!$E$49:$N$63,10,FALSE)</f>
        <v>1132.8409655317996</v>
      </c>
      <c r="S38" s="15"/>
      <c r="T38" s="15">
        <f>IF($I38="General Purpose and Dimmable",$R38/45,VLOOKUP($M38,'Summary Tables'!$E$49:$N$63,5,FALSE))</f>
        <v>91</v>
      </c>
      <c r="U38" s="42">
        <f>IF($I38="General Purpose and Dimmable",VLOOKUP($J38,'CFL and LED Cost'!$C$73:$E$75,3,FALSE),VLOOKUP($M38,'Summary Tables'!$E$49:$N$63,6,FALSE))</f>
        <v>6.020444707725451</v>
      </c>
      <c r="V38" s="15">
        <f>IF($I38="General Purpose and Dimmable",Lifetime!$B$5/(P38*365.25),VLOOKUP($M38,'Summary Tables'!$E$49:$N$63,8,FALSE))</f>
        <v>3.7098631590053808</v>
      </c>
      <c r="X38" s="313">
        <f t="shared" ref="X38:X39" si="53">X29</f>
        <v>90</v>
      </c>
      <c r="Y38" s="11">
        <f t="shared" si="51"/>
        <v>12.587121839242219</v>
      </c>
      <c r="Z38" s="43">
        <f>VLOOKUP(N38,'CFL and LED Cost'!$D$73:$K$102,MATCH(G38,'CFL and LED Cost'!$D$72:$K$72,0),FALSE)</f>
        <v>17.935480603886987</v>
      </c>
      <c r="AA38" s="44">
        <f>VLOOKUP(H38,Lifetime!$A$4:$B$8,2,FALSE)</f>
        <v>28708.42332613391</v>
      </c>
      <c r="AB38" s="15">
        <f t="shared" si="36"/>
        <v>12</v>
      </c>
      <c r="AD38" s="45">
        <f>VLOOKUP(G38&amp;H38,StorageTakebackRemoval!$C$56:$H$67,5,FALSE)</f>
        <v>0.98</v>
      </c>
      <c r="AE38" s="45">
        <f>VLOOKUP(G38&amp;H38,StorageTakebackRemoval!$C$56:$H$67,6,FALSE)</f>
        <v>1</v>
      </c>
      <c r="AG38" s="45">
        <f>1-Q38*('Space Conditioning Interaction'!$B$23)</f>
        <v>0.80345126559198921</v>
      </c>
      <c r="AH38" s="1">
        <f>Q38*'Space Conditioning Interaction'!$I$9</f>
        <v>1.0019481404501488E-2</v>
      </c>
      <c r="AJ38" s="1">
        <f t="shared" si="37"/>
        <v>59.871130082361169</v>
      </c>
      <c r="AK38" s="1">
        <f t="shared" si="38"/>
        <v>8.2813759230747266</v>
      </c>
      <c r="AL38" s="1">
        <f t="shared" si="39"/>
        <v>51.589754159286443</v>
      </c>
      <c r="AM38" s="1">
        <f t="shared" si="40"/>
        <v>50.557959076100715</v>
      </c>
      <c r="AN38" s="1">
        <f t="shared" si="41"/>
        <v>40.620856205441115</v>
      </c>
      <c r="AP38" s="1">
        <f t="shared" si="42"/>
        <v>-0.50656453081253838</v>
      </c>
      <c r="AR38" s="1" t="str">
        <f t="shared" si="43"/>
        <v>RetailLEDThree-Way665 to 1439 lumensANY</v>
      </c>
      <c r="AS38" s="1" t="str">
        <f t="shared" si="44"/>
        <v>RetailLEDThree-Way665 to 1439 lumensANY</v>
      </c>
      <c r="AT38" s="1">
        <f t="shared" si="45"/>
        <v>40.620856205441115</v>
      </c>
      <c r="AU38" s="15">
        <f t="shared" si="46"/>
        <v>12</v>
      </c>
      <c r="AV38" s="46">
        <f t="shared" si="47"/>
        <v>11.915035896161536</v>
      </c>
      <c r="AW38" s="1">
        <v>0</v>
      </c>
      <c r="AX38" s="2" t="s">
        <v>70</v>
      </c>
      <c r="AY38" s="1">
        <v>0</v>
      </c>
      <c r="AZ38" s="1">
        <f t="shared" si="52"/>
        <v>-6.020444707725451</v>
      </c>
      <c r="BA38" s="1">
        <f t="shared" si="49"/>
        <v>3.7098631590053808</v>
      </c>
      <c r="BF38" s="1">
        <f t="shared" si="50"/>
        <v>-0.50656453081253838</v>
      </c>
      <c r="BG38" s="2" t="s">
        <v>71</v>
      </c>
    </row>
    <row r="39" spans="1:59">
      <c r="A39" s="22">
        <f t="shared" si="22"/>
        <v>15</v>
      </c>
      <c r="B39" s="22">
        <f t="shared" si="25"/>
        <v>1</v>
      </c>
      <c r="C39" s="22">
        <f t="shared" si="26"/>
        <v>1</v>
      </c>
      <c r="D39" s="22">
        <f t="shared" si="30"/>
        <v>5</v>
      </c>
      <c r="E39" s="22">
        <f t="shared" si="2"/>
        <v>3</v>
      </c>
      <c r="G39" s="2" t="str">
        <f t="shared" si="31"/>
        <v>Retail</v>
      </c>
      <c r="H39" s="2" t="str">
        <f t="shared" si="27"/>
        <v>LED</v>
      </c>
      <c r="I39" s="2" t="str">
        <f t="shared" si="28"/>
        <v>Three-Way</v>
      </c>
      <c r="J39" s="2" t="str">
        <f t="shared" si="29"/>
        <v>1440 to 2600 lumens</v>
      </c>
      <c r="K39" s="2" t="s">
        <v>69</v>
      </c>
      <c r="M39" s="1" t="str">
        <f t="shared" si="32"/>
        <v>Three-Way1440 to 2600 lumens</v>
      </c>
      <c r="N39" s="1" t="str">
        <f t="shared" si="33"/>
        <v>LEDThree-Way1440 to 2600 lumens</v>
      </c>
      <c r="O39" s="1" t="str">
        <f t="shared" si="34"/>
        <v>RetailLEDThree-Way1440 to 2600 lumensANY</v>
      </c>
      <c r="P39" s="447">
        <f t="shared" si="35"/>
        <v>1.8748391432257274</v>
      </c>
      <c r="Q39" s="15">
        <f>VLOOKUP($M39,'Summary Tables'!$E$49:$N$63,9,FALSE)</f>
        <v>0.99652187968377692</v>
      </c>
      <c r="R39" s="15">
        <f>VLOOKUP($M39,'Summary Tables'!$E$49:$N$63,10,FALSE)</f>
        <v>1994.6302871120699</v>
      </c>
      <c r="S39" s="15"/>
      <c r="T39" s="15">
        <f>IF($I39="General Purpose and Dimmable",$R39/45,VLOOKUP($M39,'Summary Tables'!$E$49:$N$63,5,FALSE))</f>
        <v>91</v>
      </c>
      <c r="U39" s="42">
        <f>IF($I39="General Purpose and Dimmable",VLOOKUP($J39,'CFL and LED Cost'!$C$73:$E$75,3,FALSE),VLOOKUP($M39,'Summary Tables'!$E$49:$N$63,6,FALSE))</f>
        <v>5.8123669887989093</v>
      </c>
      <c r="V39" s="15">
        <f>IF($I39="General Purpose and Dimmable",Lifetime!$B$5/(P39*365.25),VLOOKUP($M39,'Summary Tables'!$E$49:$N$63,8,FALSE))</f>
        <v>1.7652962324402386</v>
      </c>
      <c r="X39" s="313">
        <f t="shared" si="53"/>
        <v>85</v>
      </c>
      <c r="Y39" s="11">
        <f t="shared" si="51"/>
        <v>23.466238671906705</v>
      </c>
      <c r="Z39" s="43">
        <f>VLOOKUP(N39,'CFL and LED Cost'!$D$73:$K$102,MATCH(G39,'CFL and LED Cost'!$D$72:$K$72,0),FALSE)</f>
        <v>32.537999999999997</v>
      </c>
      <c r="AA39" s="44">
        <f>VLOOKUP(H39,Lifetime!$A$4:$B$8,2,FALSE)</f>
        <v>28708.42332613391</v>
      </c>
      <c r="AB39" s="15">
        <f t="shared" si="36"/>
        <v>12</v>
      </c>
      <c r="AD39" s="45">
        <f>VLOOKUP(G39&amp;H39,StorageTakebackRemoval!$C$56:$H$67,5,FALSE)</f>
        <v>0.98</v>
      </c>
      <c r="AE39" s="45">
        <f>VLOOKUP(G39&amp;H39,StorageTakebackRemoval!$C$56:$H$67,6,FALSE)</f>
        <v>1</v>
      </c>
      <c r="AG39" s="45">
        <f>1-Q39*('Space Conditioning Interaction'!$B$23)</f>
        <v>0.80370125440318996</v>
      </c>
      <c r="AH39" s="1">
        <f>Q39*'Space Conditioning Interaction'!$I$9</f>
        <v>1.000673770379691E-2</v>
      </c>
      <c r="AJ39" s="1">
        <f t="shared" si="37"/>
        <v>62.315434732750923</v>
      </c>
      <c r="AK39" s="1">
        <f t="shared" si="38"/>
        <v>16.069328180025913</v>
      </c>
      <c r="AL39" s="1">
        <f t="shared" si="39"/>
        <v>46.24610655272501</v>
      </c>
      <c r="AM39" s="1">
        <f t="shared" si="40"/>
        <v>45.321184421670509</v>
      </c>
      <c r="AN39" s="1">
        <f t="shared" si="41"/>
        <v>36.4246927707349</v>
      </c>
      <c r="AP39" s="1">
        <f t="shared" si="42"/>
        <v>-0.45351720493306341</v>
      </c>
      <c r="AR39" s="1" t="str">
        <f t="shared" si="43"/>
        <v>RetailLEDThree-Way1440 to 2600 lumensANY</v>
      </c>
      <c r="AS39" s="1" t="str">
        <f t="shared" si="44"/>
        <v>RetailLEDThree-Way1440 to 2600 lumensANY</v>
      </c>
      <c r="AT39" s="1">
        <f t="shared" si="45"/>
        <v>36.4246927707349</v>
      </c>
      <c r="AU39" s="15">
        <f t="shared" si="46"/>
        <v>12</v>
      </c>
      <c r="AV39" s="46">
        <f t="shared" si="47"/>
        <v>26.725633011201086</v>
      </c>
      <c r="AW39" s="1">
        <v>0</v>
      </c>
      <c r="AX39" s="2" t="s">
        <v>70</v>
      </c>
      <c r="AY39" s="1">
        <v>0</v>
      </c>
      <c r="AZ39" s="1">
        <f t="shared" si="52"/>
        <v>-5.8123669887989093</v>
      </c>
      <c r="BA39" s="1">
        <f t="shared" si="49"/>
        <v>1.7652962324402386</v>
      </c>
      <c r="BF39" s="1">
        <f t="shared" si="50"/>
        <v>-0.45351720493306341</v>
      </c>
      <c r="BG39" s="2" t="s">
        <v>71</v>
      </c>
    </row>
    <row r="40" spans="1:59">
      <c r="G40" s="2"/>
      <c r="H40" s="2"/>
      <c r="I40" s="2"/>
      <c r="J40" s="2"/>
      <c r="K40" s="2"/>
      <c r="P40" s="15"/>
      <c r="Q40" s="15"/>
      <c r="R40" s="15"/>
      <c r="T40" s="15"/>
      <c r="U40" s="42"/>
      <c r="V40" s="15"/>
      <c r="X40" s="11"/>
      <c r="Y40" s="11"/>
      <c r="Z40" s="47"/>
      <c r="AA40" s="44"/>
      <c r="AB40" s="15"/>
      <c r="AD40" s="45"/>
      <c r="AE40" s="45"/>
      <c r="AG40" s="45"/>
      <c r="AX40" s="2"/>
      <c r="BG40" s="2"/>
    </row>
    <row r="41" spans="1:59">
      <c r="G41" s="2"/>
      <c r="H41" s="2"/>
      <c r="I41" s="2"/>
      <c r="J41" s="2"/>
      <c r="K41" s="2"/>
      <c r="P41" s="15"/>
      <c r="Q41" s="15"/>
      <c r="R41" s="15"/>
      <c r="T41" s="15"/>
      <c r="U41" s="42"/>
      <c r="V41" s="15"/>
      <c r="X41" s="11"/>
      <c r="Y41" s="11"/>
      <c r="Z41" s="47"/>
      <c r="AA41" s="44"/>
      <c r="AB41" s="15"/>
      <c r="AD41" s="45"/>
      <c r="AE41" s="45"/>
      <c r="AG41" s="45"/>
      <c r="AX41" s="2"/>
      <c r="BG41" s="2"/>
    </row>
    <row r="42" spans="1:59">
      <c r="G42" s="2"/>
      <c r="H42" s="2"/>
      <c r="I42" s="2"/>
      <c r="J42" s="2"/>
      <c r="K42" s="2"/>
      <c r="P42" s="15"/>
      <c r="Q42" s="15"/>
      <c r="R42" s="15"/>
      <c r="T42" s="15"/>
      <c r="U42" s="42"/>
      <c r="V42" s="15"/>
      <c r="X42" s="11"/>
      <c r="Y42" s="11"/>
      <c r="Z42" s="47"/>
      <c r="AA42" s="44"/>
      <c r="AB42" s="15"/>
      <c r="AD42" s="45"/>
      <c r="AE42" s="45"/>
      <c r="AG42" s="45"/>
      <c r="AX42" s="2"/>
      <c r="BG42" s="2"/>
    </row>
    <row r="43" spans="1:59">
      <c r="G43" s="2"/>
      <c r="H43" s="2"/>
      <c r="I43" s="2"/>
      <c r="J43" s="2"/>
      <c r="K43" s="2"/>
      <c r="P43" s="15"/>
      <c r="Q43" s="15"/>
      <c r="R43" s="15"/>
      <c r="T43" s="15"/>
      <c r="U43" s="42"/>
      <c r="V43" s="15"/>
      <c r="X43" s="11"/>
      <c r="Y43" s="11"/>
      <c r="Z43" s="47"/>
      <c r="AA43" s="44"/>
      <c r="AB43" s="15"/>
      <c r="AD43" s="45"/>
      <c r="AE43" s="45"/>
      <c r="AG43" s="45"/>
      <c r="AX43" s="2"/>
      <c r="BG43" s="2"/>
    </row>
    <row r="44" spans="1:59">
      <c r="G44" s="2"/>
      <c r="H44" s="2"/>
      <c r="I44" s="2"/>
      <c r="J44" s="2"/>
      <c r="K44" s="2"/>
      <c r="P44" s="15"/>
      <c r="Q44" s="15"/>
      <c r="R44" s="15"/>
      <c r="T44" s="15"/>
      <c r="U44" s="42"/>
      <c r="V44" s="15"/>
      <c r="X44" s="11"/>
      <c r="Y44" s="11"/>
      <c r="Z44" s="47"/>
      <c r="AA44" s="44"/>
      <c r="AB44" s="15"/>
      <c r="AD44" s="45"/>
      <c r="AE44" s="45"/>
      <c r="AG44" s="45"/>
      <c r="AX44" s="2"/>
      <c r="BG44" s="2"/>
    </row>
    <row r="45" spans="1:59">
      <c r="G45" s="2"/>
      <c r="H45" s="2"/>
      <c r="I45" s="2"/>
      <c r="J45" s="2"/>
      <c r="K45" s="2"/>
      <c r="P45" s="15"/>
      <c r="Q45" s="15"/>
      <c r="R45" s="15"/>
      <c r="T45" s="15"/>
      <c r="U45" s="42"/>
      <c r="V45" s="15"/>
      <c r="X45" s="11"/>
      <c r="Y45" s="11"/>
      <c r="Z45" s="47"/>
      <c r="AA45" s="44"/>
      <c r="AB45" s="15"/>
      <c r="AD45" s="45"/>
      <c r="AE45" s="45"/>
      <c r="AG45" s="45"/>
      <c r="AX45" s="2"/>
      <c r="BG45" s="2"/>
    </row>
    <row r="46" spans="1:59">
      <c r="G46" s="2"/>
      <c r="H46" s="2"/>
      <c r="I46" s="2"/>
      <c r="J46" s="2"/>
      <c r="K46" s="2"/>
      <c r="P46" s="15"/>
      <c r="Q46" s="15"/>
      <c r="R46" s="15"/>
      <c r="T46" s="15"/>
      <c r="U46" s="42"/>
      <c r="V46" s="15"/>
      <c r="X46" s="11"/>
      <c r="Y46" s="11"/>
      <c r="Z46" s="47"/>
      <c r="AA46" s="44"/>
      <c r="AB46" s="15"/>
      <c r="AD46" s="45"/>
      <c r="AE46" s="45"/>
      <c r="AG46" s="45"/>
      <c r="AX46" s="2"/>
      <c r="BG46" s="2"/>
    </row>
    <row r="47" spans="1:59">
      <c r="G47" s="2"/>
      <c r="H47" s="2"/>
      <c r="I47" s="2"/>
      <c r="J47" s="2"/>
      <c r="K47" s="2"/>
      <c r="P47" s="15"/>
      <c r="Q47" s="15"/>
      <c r="R47" s="15"/>
      <c r="T47" s="15"/>
      <c r="U47" s="42"/>
      <c r="V47" s="15"/>
      <c r="X47" s="11"/>
      <c r="Y47" s="11"/>
      <c r="Z47" s="47"/>
      <c r="AA47" s="44"/>
      <c r="AB47" s="15"/>
      <c r="AD47" s="45"/>
      <c r="AE47" s="45"/>
      <c r="AG47" s="45"/>
      <c r="AX47" s="2"/>
      <c r="BG47" s="2"/>
    </row>
    <row r="48" spans="1:59">
      <c r="G48" s="2"/>
      <c r="H48" s="2"/>
      <c r="I48" s="2"/>
      <c r="J48" s="2"/>
      <c r="K48" s="2"/>
      <c r="P48" s="15"/>
      <c r="Q48" s="15"/>
      <c r="R48" s="15"/>
      <c r="T48" s="15"/>
      <c r="U48" s="42"/>
      <c r="V48" s="15"/>
      <c r="X48" s="11"/>
      <c r="Y48" s="11"/>
      <c r="Z48" s="47"/>
      <c r="AA48" s="44"/>
      <c r="AB48" s="15"/>
      <c r="AD48" s="45"/>
      <c r="AE48" s="45"/>
      <c r="AG48" s="45"/>
      <c r="AX48" s="2"/>
      <c r="BG48" s="2"/>
    </row>
    <row r="49" spans="7:59">
      <c r="G49" s="2"/>
      <c r="H49" s="2"/>
      <c r="I49" s="2"/>
      <c r="J49" s="2"/>
      <c r="K49" s="2"/>
      <c r="P49" s="15"/>
      <c r="Q49" s="15"/>
      <c r="R49" s="15"/>
      <c r="T49" s="15"/>
      <c r="U49" s="42"/>
      <c r="V49" s="15"/>
      <c r="X49" s="11"/>
      <c r="Y49" s="11"/>
      <c r="Z49" s="47"/>
      <c r="AA49" s="44"/>
      <c r="AB49" s="15"/>
      <c r="AD49" s="45"/>
      <c r="AE49" s="45"/>
      <c r="AG49" s="45"/>
      <c r="AX49" s="2"/>
      <c r="BG49" s="2"/>
    </row>
    <row r="50" spans="7:59">
      <c r="G50" s="2"/>
      <c r="H50" s="2"/>
      <c r="I50" s="2"/>
      <c r="J50" s="2"/>
      <c r="K50" s="2"/>
      <c r="P50" s="15"/>
      <c r="Q50" s="15"/>
      <c r="R50" s="15"/>
      <c r="T50" s="15"/>
      <c r="U50" s="42"/>
      <c r="V50" s="15"/>
      <c r="X50" s="11"/>
      <c r="Y50" s="11"/>
      <c r="Z50" s="47"/>
      <c r="AA50" s="44"/>
      <c r="AB50" s="15"/>
      <c r="AD50" s="45"/>
      <c r="AE50" s="45"/>
      <c r="AG50" s="45"/>
      <c r="AX50" s="2"/>
      <c r="BG50" s="2"/>
    </row>
    <row r="51" spans="7:59">
      <c r="G51" s="2"/>
      <c r="H51" s="2"/>
      <c r="I51" s="2"/>
      <c r="J51" s="2"/>
      <c r="K51" s="2"/>
      <c r="P51" s="15"/>
      <c r="Q51" s="15"/>
      <c r="R51" s="15"/>
      <c r="T51" s="15"/>
      <c r="U51" s="42"/>
      <c r="V51" s="15"/>
      <c r="X51" s="11"/>
      <c r="Y51" s="11"/>
      <c r="Z51" s="47"/>
      <c r="AA51" s="44"/>
      <c r="AB51" s="15"/>
      <c r="AD51" s="45"/>
      <c r="AE51" s="45"/>
      <c r="AG51" s="45"/>
      <c r="AX51" s="2"/>
      <c r="BG51" s="2"/>
    </row>
    <row r="52" spans="7:59">
      <c r="G52" s="2"/>
      <c r="H52" s="2"/>
      <c r="I52" s="2"/>
      <c r="J52" s="2"/>
      <c r="K52" s="2"/>
      <c r="P52" s="15"/>
      <c r="Q52" s="15"/>
      <c r="R52" s="15"/>
      <c r="T52" s="15"/>
      <c r="U52" s="42"/>
      <c r="V52" s="15"/>
      <c r="X52" s="11"/>
      <c r="Y52" s="11"/>
      <c r="Z52" s="47"/>
      <c r="AA52" s="44"/>
      <c r="AB52" s="15"/>
      <c r="AD52" s="45"/>
      <c r="AE52" s="45"/>
      <c r="AG52" s="45"/>
      <c r="AX52" s="2"/>
      <c r="BG52" s="2"/>
    </row>
    <row r="53" spans="7:59">
      <c r="G53" s="2"/>
      <c r="H53" s="2"/>
      <c r="I53" s="2"/>
      <c r="J53" s="2"/>
      <c r="K53" s="2"/>
      <c r="P53" s="15"/>
      <c r="Q53" s="15"/>
      <c r="R53" s="15"/>
      <c r="T53" s="15"/>
      <c r="U53" s="42"/>
      <c r="V53" s="15"/>
      <c r="X53" s="11"/>
      <c r="Y53" s="11"/>
      <c r="Z53" s="47"/>
      <c r="AA53" s="44"/>
      <c r="AB53" s="15"/>
      <c r="AD53" s="45"/>
      <c r="AE53" s="45"/>
      <c r="AG53" s="45"/>
      <c r="AX53" s="2"/>
      <c r="BG53" s="2"/>
    </row>
    <row r="54" spans="7:59">
      <c r="G54" s="2"/>
      <c r="H54" s="2"/>
      <c r="I54" s="2"/>
      <c r="J54" s="2"/>
      <c r="K54" s="2"/>
      <c r="P54" s="15"/>
      <c r="Q54" s="15"/>
      <c r="R54" s="15"/>
      <c r="T54" s="15"/>
      <c r="U54" s="42"/>
      <c r="V54" s="15"/>
      <c r="X54" s="11"/>
      <c r="Y54" s="11"/>
      <c r="Z54" s="47"/>
      <c r="AA54" s="44"/>
      <c r="AB54" s="15"/>
      <c r="AD54" s="45"/>
      <c r="AE54" s="45"/>
      <c r="AG54" s="45"/>
      <c r="AX54" s="2"/>
      <c r="BG54" s="2"/>
    </row>
    <row r="55" spans="7:59">
      <c r="G55" s="2"/>
      <c r="H55" s="2"/>
      <c r="I55" s="2"/>
      <c r="J55" s="2"/>
      <c r="K55" s="2"/>
      <c r="P55" s="15"/>
      <c r="Q55" s="15"/>
      <c r="R55" s="15"/>
      <c r="T55" s="15"/>
      <c r="U55" s="42"/>
      <c r="V55" s="15"/>
      <c r="X55" s="11"/>
      <c r="Y55" s="11"/>
      <c r="Z55" s="47"/>
      <c r="AA55" s="44"/>
      <c r="AB55" s="15"/>
      <c r="AD55" s="45"/>
      <c r="AE55" s="45"/>
      <c r="AG55" s="45"/>
      <c r="AX55" s="2"/>
      <c r="BG55" s="2"/>
    </row>
    <row r="56" spans="7:59">
      <c r="G56" s="2"/>
      <c r="H56" s="2"/>
      <c r="I56" s="2"/>
      <c r="J56" s="2"/>
      <c r="K56" s="2"/>
      <c r="P56" s="15"/>
      <c r="Q56" s="15"/>
      <c r="R56" s="15"/>
      <c r="T56" s="15"/>
      <c r="U56" s="42"/>
      <c r="V56" s="15"/>
      <c r="X56" s="11"/>
      <c r="Y56" s="11"/>
      <c r="Z56" s="47"/>
      <c r="AA56" s="44"/>
      <c r="AB56" s="15"/>
      <c r="AD56" s="45"/>
      <c r="AE56" s="45"/>
      <c r="AG56" s="45"/>
      <c r="AX56" s="2"/>
      <c r="BG56" s="2"/>
    </row>
    <row r="57" spans="7:59">
      <c r="G57" s="2"/>
      <c r="H57" s="2"/>
      <c r="I57" s="2"/>
      <c r="J57" s="2"/>
      <c r="K57" s="2"/>
      <c r="P57" s="15"/>
      <c r="Q57" s="15"/>
      <c r="R57" s="15"/>
      <c r="T57" s="15"/>
      <c r="U57" s="42"/>
      <c r="V57" s="15"/>
      <c r="X57" s="11"/>
      <c r="Y57" s="11"/>
      <c r="Z57" s="47"/>
      <c r="AA57" s="44"/>
      <c r="AB57" s="15"/>
      <c r="AD57" s="45"/>
      <c r="AE57" s="45"/>
      <c r="AG57" s="45"/>
      <c r="AX57" s="2"/>
      <c r="BG57" s="2"/>
    </row>
    <row r="58" spans="7:59">
      <c r="G58" s="2"/>
      <c r="H58" s="2"/>
      <c r="I58" s="2"/>
      <c r="J58" s="2"/>
      <c r="K58" s="2"/>
      <c r="P58" s="15"/>
      <c r="Q58" s="15"/>
      <c r="R58" s="15"/>
      <c r="T58" s="15"/>
      <c r="U58" s="42"/>
      <c r="V58" s="15"/>
      <c r="X58" s="11"/>
      <c r="Y58" s="11"/>
      <c r="Z58" s="47"/>
      <c r="AA58" s="44"/>
      <c r="AB58" s="15"/>
      <c r="AD58" s="45"/>
      <c r="AE58" s="45"/>
      <c r="AG58" s="45"/>
      <c r="AX58" s="2"/>
      <c r="BG58" s="2"/>
    </row>
    <row r="59" spans="7:59">
      <c r="G59" s="2"/>
      <c r="H59" s="2"/>
      <c r="I59" s="2"/>
      <c r="J59" s="2"/>
      <c r="K59" s="2"/>
      <c r="P59" s="15"/>
      <c r="Q59" s="15"/>
      <c r="R59" s="15"/>
      <c r="T59" s="15"/>
      <c r="U59" s="42"/>
      <c r="V59" s="15"/>
      <c r="X59" s="11"/>
      <c r="Y59" s="11"/>
      <c r="Z59" s="47"/>
      <c r="AA59" s="44"/>
      <c r="AB59" s="15"/>
      <c r="AD59" s="45"/>
      <c r="AE59" s="45"/>
      <c r="AG59" s="45"/>
      <c r="AX59" s="2"/>
      <c r="BG59" s="2"/>
    </row>
    <row r="60" spans="7:59">
      <c r="G60" s="2"/>
      <c r="H60" s="2"/>
      <c r="I60" s="2"/>
      <c r="J60" s="2"/>
      <c r="K60" s="2"/>
      <c r="P60" s="15"/>
      <c r="Q60" s="15"/>
      <c r="R60" s="15"/>
      <c r="T60" s="15"/>
      <c r="U60" s="42"/>
      <c r="V60" s="15"/>
      <c r="X60" s="11"/>
      <c r="Y60" s="11"/>
      <c r="Z60" s="47"/>
      <c r="AA60" s="44"/>
      <c r="AB60" s="15"/>
      <c r="AD60" s="45"/>
      <c r="AE60" s="45"/>
      <c r="AG60" s="45"/>
      <c r="AX60" s="2"/>
      <c r="BG60" s="2"/>
    </row>
    <row r="61" spans="7:59">
      <c r="G61" s="2"/>
      <c r="H61" s="2"/>
      <c r="I61" s="2"/>
      <c r="J61" s="2"/>
      <c r="K61" s="2"/>
      <c r="P61" s="15"/>
      <c r="Q61" s="15"/>
      <c r="R61" s="15"/>
      <c r="T61" s="15"/>
      <c r="U61" s="42"/>
      <c r="V61" s="15"/>
      <c r="X61" s="11"/>
      <c r="Y61" s="11"/>
      <c r="Z61" s="47"/>
      <c r="AA61" s="44"/>
      <c r="AB61" s="15"/>
      <c r="AD61" s="45"/>
      <c r="AE61" s="45"/>
      <c r="AG61" s="45"/>
      <c r="AX61" s="2"/>
      <c r="BG61" s="2"/>
    </row>
    <row r="62" spans="7:59">
      <c r="G62" s="2"/>
      <c r="H62" s="2"/>
      <c r="I62" s="2"/>
      <c r="J62" s="2"/>
      <c r="K62" s="2"/>
      <c r="P62" s="15"/>
      <c r="Q62" s="15"/>
      <c r="R62" s="15"/>
      <c r="T62" s="15"/>
      <c r="U62" s="42"/>
      <c r="V62" s="15"/>
      <c r="X62" s="11"/>
      <c r="Y62" s="11"/>
      <c r="Z62" s="47"/>
      <c r="AA62" s="44"/>
      <c r="AB62" s="15"/>
      <c r="AD62" s="45"/>
      <c r="AE62" s="45"/>
      <c r="AG62" s="45"/>
      <c r="AX62" s="2"/>
      <c r="BG62" s="2"/>
    </row>
    <row r="63" spans="7:59">
      <c r="G63" s="2"/>
      <c r="H63" s="2"/>
      <c r="I63" s="2"/>
      <c r="J63" s="2"/>
      <c r="K63" s="2"/>
      <c r="P63" s="15"/>
      <c r="Q63" s="15"/>
      <c r="R63" s="15"/>
      <c r="T63" s="15"/>
      <c r="U63" s="42"/>
      <c r="V63" s="15"/>
      <c r="X63" s="11"/>
      <c r="Y63" s="11"/>
      <c r="Z63" s="47"/>
      <c r="AA63" s="44"/>
      <c r="AB63" s="15"/>
      <c r="AD63" s="45"/>
      <c r="AE63" s="45"/>
      <c r="AG63" s="45"/>
      <c r="AX63" s="2"/>
      <c r="BG63" s="2"/>
    </row>
    <row r="64" spans="7:59">
      <c r="G64" s="2"/>
      <c r="H64" s="2"/>
      <c r="I64" s="2"/>
      <c r="J64" s="2"/>
      <c r="K64" s="2"/>
      <c r="P64" s="15"/>
      <c r="Q64" s="15"/>
      <c r="R64" s="15"/>
      <c r="T64" s="15"/>
      <c r="U64" s="42"/>
      <c r="V64" s="15"/>
      <c r="X64" s="11"/>
      <c r="Y64" s="11"/>
      <c r="Z64" s="47"/>
      <c r="AA64" s="44"/>
      <c r="AB64" s="15"/>
      <c r="AD64" s="45"/>
      <c r="AE64" s="45"/>
      <c r="AG64" s="45"/>
      <c r="AX64" s="2"/>
      <c r="BG64" s="2"/>
    </row>
    <row r="65" spans="7:59">
      <c r="G65" s="2"/>
      <c r="H65" s="2"/>
      <c r="I65" s="2"/>
      <c r="J65" s="2"/>
      <c r="K65" s="2"/>
      <c r="P65" s="15"/>
      <c r="Q65" s="15"/>
      <c r="R65" s="15"/>
      <c r="T65" s="15"/>
      <c r="U65" s="42"/>
      <c r="V65" s="15"/>
      <c r="X65" s="11"/>
      <c r="Y65" s="11"/>
      <c r="Z65" s="47"/>
      <c r="AA65" s="44"/>
      <c r="AB65" s="15"/>
      <c r="AD65" s="45"/>
      <c r="AE65" s="45"/>
      <c r="AG65" s="45"/>
      <c r="AX65" s="2"/>
      <c r="BG65" s="2"/>
    </row>
    <row r="66" spans="7:59">
      <c r="G66" s="2"/>
      <c r="H66" s="2"/>
      <c r="I66" s="2"/>
      <c r="J66" s="2"/>
      <c r="K66" s="2"/>
      <c r="P66" s="15"/>
      <c r="Q66" s="15"/>
      <c r="R66" s="15"/>
      <c r="T66" s="15"/>
      <c r="U66" s="42"/>
      <c r="V66" s="15"/>
      <c r="X66" s="11"/>
      <c r="Y66" s="11"/>
      <c r="Z66" s="47"/>
      <c r="AA66" s="44"/>
      <c r="AB66" s="15"/>
      <c r="AD66" s="45"/>
      <c r="AE66" s="45"/>
      <c r="AG66" s="45"/>
      <c r="AX66" s="2"/>
      <c r="BG66" s="2"/>
    </row>
    <row r="67" spans="7:59">
      <c r="G67" s="2"/>
      <c r="H67" s="2"/>
      <c r="I67" s="2"/>
      <c r="J67" s="2"/>
      <c r="K67" s="2"/>
      <c r="P67" s="15"/>
      <c r="Q67" s="15"/>
      <c r="R67" s="15"/>
      <c r="T67" s="15"/>
      <c r="U67" s="42"/>
      <c r="V67" s="15"/>
      <c r="X67" s="11"/>
      <c r="Y67" s="11"/>
      <c r="Z67" s="47"/>
      <c r="AA67" s="44"/>
      <c r="AB67" s="15"/>
      <c r="AD67" s="45"/>
      <c r="AE67" s="45"/>
      <c r="AG67" s="45"/>
      <c r="AX67" s="2"/>
      <c r="BG67" s="2"/>
    </row>
    <row r="68" spans="7:59">
      <c r="G68" s="2"/>
      <c r="H68" s="2"/>
      <c r="I68" s="2"/>
      <c r="J68" s="2"/>
      <c r="K68" s="2"/>
      <c r="P68" s="15"/>
      <c r="Q68" s="15"/>
      <c r="R68" s="15"/>
      <c r="T68" s="15"/>
      <c r="U68" s="42"/>
      <c r="V68" s="15"/>
      <c r="X68" s="11"/>
      <c r="Y68" s="11"/>
      <c r="Z68" s="47"/>
      <c r="AA68" s="44"/>
      <c r="AB68" s="15"/>
      <c r="AD68" s="45"/>
      <c r="AE68" s="45"/>
      <c r="AG68" s="45"/>
      <c r="AX68" s="2"/>
      <c r="BG68" s="2"/>
    </row>
    <row r="69" spans="7:59">
      <c r="G69" s="2"/>
      <c r="H69" s="2"/>
      <c r="I69" s="2"/>
      <c r="J69" s="2"/>
      <c r="K69" s="2"/>
      <c r="P69" s="15"/>
      <c r="Q69" s="15"/>
      <c r="R69" s="15"/>
      <c r="T69" s="15"/>
      <c r="U69" s="42"/>
      <c r="V69" s="15"/>
      <c r="X69" s="11"/>
      <c r="Y69" s="11"/>
      <c r="Z69" s="47"/>
      <c r="AA69" s="44"/>
      <c r="AB69" s="15"/>
      <c r="AD69" s="45"/>
      <c r="AE69" s="45"/>
      <c r="AG69" s="45"/>
      <c r="AX69" s="2"/>
      <c r="BG69" s="2"/>
    </row>
    <row r="70" spans="7:59">
      <c r="G70" s="2"/>
      <c r="H70" s="2"/>
      <c r="I70" s="2"/>
      <c r="J70" s="2"/>
      <c r="K70" s="2"/>
      <c r="P70" s="15"/>
      <c r="Q70" s="15"/>
      <c r="R70" s="15"/>
      <c r="T70" s="15"/>
      <c r="U70" s="42"/>
      <c r="V70" s="15"/>
      <c r="X70" s="11"/>
      <c r="Y70" s="11"/>
      <c r="Z70" s="47"/>
      <c r="AA70" s="44"/>
      <c r="AB70" s="15"/>
      <c r="AD70" s="45"/>
      <c r="AE70" s="45"/>
      <c r="AG70" s="45"/>
      <c r="AX70" s="2"/>
      <c r="BG70" s="2"/>
    </row>
    <row r="71" spans="7:59">
      <c r="G71" s="2"/>
      <c r="H71" s="2"/>
      <c r="I71" s="2"/>
      <c r="J71" s="2"/>
      <c r="K71" s="2"/>
      <c r="P71" s="15"/>
      <c r="Q71" s="15"/>
      <c r="R71" s="15"/>
      <c r="T71" s="15"/>
      <c r="U71" s="42"/>
      <c r="V71" s="15"/>
      <c r="X71" s="11"/>
      <c r="Y71" s="11"/>
      <c r="Z71" s="47"/>
      <c r="AA71" s="44"/>
      <c r="AB71" s="15"/>
      <c r="AD71" s="45"/>
      <c r="AE71" s="45"/>
      <c r="AG71" s="45"/>
      <c r="AX71" s="2"/>
      <c r="BG71" s="2"/>
    </row>
    <row r="72" spans="7:59">
      <c r="G72" s="2"/>
      <c r="H72" s="2"/>
      <c r="I72" s="2"/>
      <c r="J72" s="2"/>
      <c r="K72" s="2"/>
      <c r="P72" s="15"/>
      <c r="Q72" s="15"/>
      <c r="R72" s="15"/>
      <c r="T72" s="15"/>
      <c r="U72" s="42"/>
      <c r="V72" s="15"/>
      <c r="X72" s="11"/>
      <c r="Y72" s="11"/>
      <c r="Z72" s="47"/>
      <c r="AA72" s="44"/>
      <c r="AB72" s="15"/>
      <c r="AD72" s="45"/>
      <c r="AE72" s="45"/>
      <c r="AG72" s="45"/>
      <c r="AX72" s="2"/>
      <c r="BG72" s="2"/>
    </row>
    <row r="73" spans="7:59">
      <c r="G73" s="2"/>
      <c r="H73" s="2"/>
      <c r="I73" s="2"/>
      <c r="J73" s="2"/>
      <c r="K73" s="2"/>
      <c r="P73" s="15"/>
      <c r="Q73" s="15"/>
      <c r="R73" s="15"/>
      <c r="T73" s="15"/>
      <c r="U73" s="42"/>
      <c r="V73" s="15"/>
      <c r="X73" s="11"/>
      <c r="Y73" s="11"/>
      <c r="Z73" s="47"/>
      <c r="AA73" s="44"/>
      <c r="AB73" s="15"/>
      <c r="AD73" s="45"/>
      <c r="AE73" s="45"/>
      <c r="AG73" s="45"/>
      <c r="AX73" s="2"/>
      <c r="BG73" s="2"/>
    </row>
    <row r="74" spans="7:59">
      <c r="G74" s="2"/>
      <c r="H74" s="2"/>
      <c r="I74" s="2"/>
      <c r="J74" s="2"/>
      <c r="K74" s="2"/>
      <c r="P74" s="15"/>
      <c r="Q74" s="15"/>
      <c r="R74" s="15"/>
      <c r="T74" s="15"/>
      <c r="U74" s="42"/>
      <c r="V74" s="15"/>
      <c r="X74" s="11"/>
      <c r="Y74" s="11"/>
      <c r="Z74" s="47"/>
      <c r="AA74" s="44"/>
      <c r="AB74" s="15"/>
      <c r="AD74" s="45"/>
      <c r="AE74" s="45"/>
      <c r="AG74" s="45"/>
      <c r="AX74" s="2"/>
      <c r="BG74" s="2"/>
    </row>
    <row r="75" spans="7:59">
      <c r="G75" s="2"/>
      <c r="H75" s="2"/>
      <c r="I75" s="2"/>
      <c r="J75" s="2"/>
      <c r="K75" s="2"/>
      <c r="P75" s="15"/>
      <c r="Q75" s="15"/>
      <c r="R75" s="15"/>
      <c r="T75" s="15"/>
      <c r="U75" s="42"/>
      <c r="V75" s="15"/>
      <c r="X75" s="11"/>
      <c r="Y75" s="11"/>
      <c r="Z75" s="47"/>
      <c r="AA75" s="44"/>
      <c r="AB75" s="15"/>
      <c r="AD75" s="45"/>
      <c r="AE75" s="45"/>
      <c r="AG75" s="45"/>
      <c r="AX75" s="2"/>
      <c r="BG75" s="2"/>
    </row>
    <row r="76" spans="7:59">
      <c r="G76" s="2"/>
      <c r="H76" s="2"/>
      <c r="I76" s="2"/>
      <c r="J76" s="2"/>
      <c r="K76" s="2"/>
      <c r="P76" s="15"/>
      <c r="Q76" s="15"/>
      <c r="R76" s="15"/>
      <c r="T76" s="15"/>
      <c r="U76" s="42"/>
      <c r="V76" s="15"/>
      <c r="X76" s="11"/>
      <c r="Y76" s="11"/>
      <c r="Z76" s="47"/>
      <c r="AA76" s="44"/>
      <c r="AB76" s="15"/>
      <c r="AD76" s="45"/>
      <c r="AE76" s="45"/>
      <c r="AG76" s="45"/>
      <c r="AX76" s="2"/>
      <c r="BG76" s="2"/>
    </row>
    <row r="77" spans="7:59">
      <c r="G77" s="2"/>
      <c r="H77" s="2"/>
      <c r="I77" s="2"/>
      <c r="J77" s="2"/>
      <c r="K77" s="2"/>
      <c r="P77" s="15"/>
      <c r="Q77" s="15"/>
      <c r="R77" s="15"/>
      <c r="T77" s="15"/>
      <c r="U77" s="42"/>
      <c r="V77" s="15"/>
      <c r="X77" s="11"/>
      <c r="Y77" s="11"/>
      <c r="Z77" s="47"/>
      <c r="AA77" s="44"/>
      <c r="AB77" s="15"/>
      <c r="AD77" s="45"/>
      <c r="AE77" s="45"/>
      <c r="AG77" s="45"/>
      <c r="AX77" s="2"/>
      <c r="BG77" s="2"/>
    </row>
    <row r="78" spans="7:59">
      <c r="G78" s="2"/>
      <c r="H78" s="2"/>
      <c r="I78" s="2"/>
      <c r="J78" s="2"/>
      <c r="K78" s="2"/>
      <c r="P78" s="15"/>
      <c r="Q78" s="15"/>
      <c r="R78" s="15"/>
      <c r="T78" s="15"/>
      <c r="U78" s="42"/>
      <c r="V78" s="15"/>
      <c r="X78" s="11"/>
      <c r="Y78" s="11"/>
      <c r="Z78" s="47"/>
      <c r="AA78" s="44"/>
      <c r="AB78" s="15"/>
      <c r="AD78" s="45"/>
      <c r="AE78" s="45"/>
      <c r="AG78" s="45"/>
      <c r="AX78" s="2"/>
      <c r="BG78" s="2"/>
    </row>
    <row r="79" spans="7:59">
      <c r="G79" s="2"/>
      <c r="H79" s="2"/>
      <c r="I79" s="2"/>
      <c r="J79" s="2"/>
      <c r="K79" s="2"/>
      <c r="P79" s="15"/>
      <c r="Q79" s="15"/>
      <c r="R79" s="15"/>
      <c r="T79" s="15"/>
      <c r="U79" s="42"/>
      <c r="V79" s="15"/>
      <c r="X79" s="11"/>
      <c r="Y79" s="11"/>
      <c r="Z79" s="47"/>
      <c r="AA79" s="44"/>
      <c r="AB79" s="15"/>
      <c r="AD79" s="45"/>
      <c r="AE79" s="45"/>
      <c r="AG79" s="45"/>
      <c r="AX79" s="2"/>
      <c r="BG79" s="2"/>
    </row>
    <row r="80" spans="7:59">
      <c r="G80" s="2"/>
      <c r="H80" s="2"/>
      <c r="I80" s="2"/>
      <c r="J80" s="2"/>
      <c r="K80" s="2"/>
      <c r="P80" s="15"/>
      <c r="Q80" s="15"/>
      <c r="R80" s="15"/>
      <c r="T80" s="15"/>
      <c r="U80" s="42"/>
      <c r="V80" s="15"/>
      <c r="X80" s="11"/>
      <c r="Y80" s="11"/>
      <c r="Z80" s="47"/>
      <c r="AA80" s="44"/>
      <c r="AB80" s="15"/>
      <c r="AD80" s="45"/>
      <c r="AE80" s="45"/>
      <c r="AG80" s="45"/>
      <c r="AX80" s="2"/>
      <c r="BG80" s="2"/>
    </row>
    <row r="81" spans="7:59">
      <c r="G81" s="2"/>
      <c r="H81" s="2"/>
      <c r="I81" s="2"/>
      <c r="J81" s="2"/>
      <c r="K81" s="2"/>
      <c r="P81" s="15"/>
      <c r="Q81" s="15"/>
      <c r="R81" s="15"/>
      <c r="T81" s="15"/>
      <c r="U81" s="42"/>
      <c r="V81" s="15"/>
      <c r="X81" s="11"/>
      <c r="Y81" s="11"/>
      <c r="Z81" s="47"/>
      <c r="AA81" s="44"/>
      <c r="AB81" s="15"/>
      <c r="AD81" s="45"/>
      <c r="AE81" s="45"/>
      <c r="AG81" s="45"/>
      <c r="AX81" s="2"/>
      <c r="BG81" s="2"/>
    </row>
    <row r="82" spans="7:59">
      <c r="G82" s="2"/>
      <c r="H82" s="2"/>
      <c r="I82" s="2"/>
      <c r="J82" s="2"/>
      <c r="K82" s="2"/>
      <c r="P82" s="15"/>
      <c r="Q82" s="15"/>
      <c r="R82" s="15"/>
      <c r="T82" s="15"/>
      <c r="U82" s="42"/>
      <c r="V82" s="15"/>
      <c r="X82" s="11"/>
      <c r="Y82" s="11"/>
      <c r="Z82" s="47"/>
      <c r="AA82" s="44"/>
      <c r="AB82" s="15"/>
      <c r="AD82" s="45"/>
      <c r="AE82" s="45"/>
      <c r="AG82" s="45"/>
      <c r="AX82" s="2"/>
      <c r="BG82" s="2"/>
    </row>
    <row r="83" spans="7:59">
      <c r="G83" s="2"/>
      <c r="H83" s="2"/>
      <c r="I83" s="2"/>
      <c r="J83" s="2"/>
      <c r="K83" s="2"/>
      <c r="P83" s="15"/>
      <c r="Q83" s="15"/>
      <c r="R83" s="15"/>
      <c r="T83" s="15"/>
      <c r="U83" s="42"/>
      <c r="V83" s="15"/>
      <c r="X83" s="11"/>
      <c r="Y83" s="11"/>
      <c r="Z83" s="47"/>
      <c r="AA83" s="44"/>
      <c r="AB83" s="15"/>
      <c r="AD83" s="45"/>
      <c r="AE83" s="45"/>
      <c r="AG83" s="45"/>
      <c r="AX83" s="2"/>
      <c r="BG83" s="2"/>
    </row>
    <row r="84" spans="7:59">
      <c r="G84" s="2"/>
      <c r="H84" s="2"/>
      <c r="I84" s="2"/>
      <c r="J84" s="2"/>
      <c r="K84" s="2"/>
      <c r="P84" s="15"/>
      <c r="Q84" s="15"/>
      <c r="R84" s="15"/>
      <c r="T84" s="15"/>
      <c r="U84" s="42"/>
      <c r="V84" s="15"/>
      <c r="X84" s="11"/>
      <c r="Y84" s="11"/>
      <c r="Z84" s="47"/>
      <c r="AA84" s="44"/>
      <c r="AB84" s="15"/>
      <c r="AD84" s="45"/>
      <c r="AE84" s="45"/>
      <c r="AG84" s="45"/>
      <c r="AX84" s="2"/>
      <c r="BG84" s="2"/>
    </row>
    <row r="85" spans="7:59">
      <c r="G85" s="2"/>
      <c r="H85" s="2"/>
      <c r="I85" s="2"/>
      <c r="J85" s="2"/>
      <c r="K85" s="2"/>
      <c r="P85" s="15"/>
      <c r="Q85" s="15"/>
      <c r="R85" s="15"/>
      <c r="T85" s="15"/>
      <c r="U85" s="42"/>
      <c r="V85" s="15"/>
      <c r="X85" s="11"/>
      <c r="Y85" s="11"/>
      <c r="Z85" s="47"/>
      <c r="AA85" s="44"/>
      <c r="AB85" s="15"/>
      <c r="AD85" s="45"/>
      <c r="AE85" s="45"/>
      <c r="AG85" s="45"/>
      <c r="AX85" s="2"/>
      <c r="BG85" s="2"/>
    </row>
    <row r="86" spans="7:59">
      <c r="G86" s="2"/>
      <c r="H86" s="2"/>
      <c r="I86" s="2"/>
      <c r="J86" s="2"/>
      <c r="K86" s="2"/>
      <c r="P86" s="15"/>
      <c r="Q86" s="15"/>
      <c r="R86" s="15"/>
      <c r="T86" s="15"/>
      <c r="U86" s="42"/>
      <c r="V86" s="15"/>
      <c r="X86" s="11"/>
      <c r="Y86" s="11"/>
      <c r="Z86" s="47"/>
      <c r="AA86" s="44"/>
      <c r="AB86" s="15"/>
      <c r="AD86" s="45"/>
      <c r="AE86" s="45"/>
      <c r="AG86" s="45"/>
      <c r="AX86" s="2"/>
      <c r="BG86" s="2"/>
    </row>
    <row r="87" spans="7:59">
      <c r="G87" s="2"/>
      <c r="H87" s="2"/>
      <c r="I87" s="2"/>
      <c r="J87" s="2"/>
      <c r="K87" s="2"/>
      <c r="P87" s="15"/>
      <c r="Q87" s="15"/>
      <c r="R87" s="15"/>
      <c r="T87" s="15"/>
      <c r="U87" s="42"/>
      <c r="V87" s="15"/>
      <c r="X87" s="11"/>
      <c r="Y87" s="11"/>
      <c r="Z87" s="47"/>
      <c r="AA87" s="44"/>
      <c r="AB87" s="15"/>
      <c r="AD87" s="45"/>
      <c r="AE87" s="45"/>
      <c r="AG87" s="45"/>
      <c r="AX87" s="2"/>
      <c r="BG87" s="2"/>
    </row>
    <row r="88" spans="7:59">
      <c r="G88" s="2"/>
      <c r="H88" s="2"/>
      <c r="I88" s="2"/>
      <c r="J88" s="2"/>
      <c r="K88" s="2"/>
      <c r="P88" s="15"/>
      <c r="Q88" s="15"/>
      <c r="R88" s="15"/>
      <c r="T88" s="15"/>
      <c r="U88" s="42"/>
      <c r="V88" s="15"/>
      <c r="X88" s="11"/>
      <c r="Y88" s="11"/>
      <c r="Z88" s="47"/>
      <c r="AA88" s="44"/>
      <c r="AB88" s="15"/>
      <c r="AD88" s="45"/>
      <c r="AE88" s="45"/>
      <c r="AG88" s="45"/>
      <c r="AX88" s="2"/>
      <c r="BG88" s="2"/>
    </row>
    <row r="89" spans="7:59">
      <c r="G89" s="2"/>
      <c r="H89" s="2"/>
      <c r="I89" s="2"/>
      <c r="J89" s="2"/>
      <c r="K89" s="2"/>
      <c r="P89" s="15"/>
      <c r="Q89" s="15"/>
      <c r="R89" s="15"/>
      <c r="T89" s="15"/>
      <c r="U89" s="42"/>
      <c r="V89" s="15"/>
      <c r="X89" s="11"/>
      <c r="Y89" s="11"/>
      <c r="Z89" s="47"/>
      <c r="AA89" s="44"/>
      <c r="AB89" s="15"/>
      <c r="AD89" s="45"/>
      <c r="AE89" s="45"/>
      <c r="AG89" s="45"/>
      <c r="AX89" s="2"/>
      <c r="BG89" s="2"/>
    </row>
    <row r="90" spans="7:59">
      <c r="G90" s="2"/>
      <c r="H90" s="2"/>
      <c r="I90" s="2"/>
      <c r="J90" s="2"/>
      <c r="K90" s="2"/>
      <c r="P90" s="15"/>
      <c r="Q90" s="15"/>
      <c r="R90" s="15"/>
      <c r="T90" s="15"/>
      <c r="U90" s="42"/>
      <c r="V90" s="15"/>
      <c r="X90" s="11"/>
      <c r="Y90" s="11"/>
      <c r="Z90" s="47"/>
      <c r="AA90" s="44"/>
      <c r="AB90" s="15"/>
      <c r="AD90" s="45"/>
      <c r="AE90" s="45"/>
      <c r="AG90" s="45"/>
      <c r="AX90" s="2"/>
      <c r="BG90" s="2"/>
    </row>
    <row r="91" spans="7:59">
      <c r="G91" s="2"/>
      <c r="H91" s="2"/>
      <c r="I91" s="2"/>
      <c r="J91" s="2"/>
      <c r="K91" s="2"/>
      <c r="P91" s="15"/>
      <c r="Q91" s="15"/>
      <c r="R91" s="15"/>
      <c r="T91" s="15"/>
      <c r="U91" s="42"/>
      <c r="V91" s="15"/>
      <c r="X91" s="11"/>
      <c r="Y91" s="11"/>
      <c r="Z91" s="47"/>
      <c r="AA91" s="44"/>
      <c r="AB91" s="15"/>
      <c r="AD91" s="45"/>
      <c r="AE91" s="45"/>
      <c r="AG91" s="45"/>
      <c r="AX91" s="2"/>
      <c r="BG91" s="2"/>
    </row>
    <row r="92" spans="7:59">
      <c r="G92" s="2"/>
      <c r="H92" s="2"/>
      <c r="I92" s="2"/>
      <c r="J92" s="2"/>
      <c r="K92" s="2"/>
      <c r="P92" s="15"/>
      <c r="Q92" s="15"/>
      <c r="R92" s="15"/>
      <c r="T92" s="15"/>
      <c r="U92" s="42"/>
      <c r="V92" s="15"/>
      <c r="X92" s="11"/>
      <c r="Y92" s="11"/>
      <c r="Z92" s="47"/>
      <c r="AA92" s="44"/>
      <c r="AB92" s="15"/>
      <c r="AD92" s="45"/>
      <c r="AE92" s="45"/>
      <c r="AG92" s="45"/>
      <c r="AX92" s="2"/>
      <c r="BG92" s="2"/>
    </row>
    <row r="93" spans="7:59">
      <c r="G93" s="2"/>
      <c r="H93" s="2"/>
      <c r="I93" s="2"/>
      <c r="J93" s="2"/>
      <c r="K93" s="2"/>
      <c r="P93" s="15"/>
      <c r="Q93" s="15"/>
      <c r="R93" s="15"/>
      <c r="T93" s="15"/>
      <c r="U93" s="42"/>
      <c r="V93" s="15"/>
      <c r="X93" s="11"/>
      <c r="Y93" s="11"/>
      <c r="Z93" s="47"/>
      <c r="AA93" s="44"/>
      <c r="AB93" s="15"/>
      <c r="AD93" s="45"/>
      <c r="AE93" s="45"/>
      <c r="AG93" s="45"/>
      <c r="AX93" s="2"/>
      <c r="BG93" s="2"/>
    </row>
    <row r="94" spans="7:59">
      <c r="G94" s="2"/>
      <c r="H94" s="2"/>
      <c r="I94" s="2"/>
      <c r="J94" s="2"/>
      <c r="K94" s="2"/>
      <c r="P94" s="15"/>
      <c r="Q94" s="15"/>
      <c r="R94" s="15"/>
      <c r="T94" s="15"/>
      <c r="U94" s="42"/>
      <c r="V94" s="15"/>
      <c r="X94" s="11"/>
      <c r="Y94" s="11"/>
      <c r="Z94" s="47"/>
      <c r="AA94" s="44"/>
      <c r="AB94" s="15"/>
      <c r="AD94" s="45"/>
      <c r="AE94" s="45"/>
      <c r="AG94" s="45"/>
      <c r="AX94" s="2"/>
      <c r="BG94" s="2"/>
    </row>
    <row r="95" spans="7:59">
      <c r="G95" s="2"/>
      <c r="H95" s="2"/>
      <c r="I95" s="2"/>
      <c r="J95" s="2"/>
      <c r="K95" s="2"/>
      <c r="P95" s="15"/>
      <c r="Q95" s="15"/>
      <c r="R95" s="15"/>
      <c r="T95" s="15"/>
      <c r="U95" s="42"/>
      <c r="V95" s="15"/>
      <c r="X95" s="11"/>
      <c r="Y95" s="11"/>
      <c r="Z95" s="47"/>
      <c r="AA95" s="44"/>
      <c r="AB95" s="15"/>
      <c r="AD95" s="45"/>
      <c r="AE95" s="45"/>
      <c r="AG95" s="45"/>
      <c r="AX95" s="2"/>
      <c r="BG95" s="2"/>
    </row>
    <row r="96" spans="7:59">
      <c r="G96" s="2"/>
      <c r="H96" s="2"/>
      <c r="I96" s="2"/>
      <c r="J96" s="2"/>
      <c r="K96" s="2"/>
      <c r="P96" s="15"/>
      <c r="Q96" s="15"/>
      <c r="R96" s="15"/>
      <c r="T96" s="15"/>
      <c r="U96" s="42"/>
      <c r="V96" s="15"/>
      <c r="X96" s="11"/>
      <c r="Y96" s="11"/>
      <c r="Z96" s="47"/>
      <c r="AA96" s="44"/>
      <c r="AB96" s="15"/>
      <c r="AD96" s="45"/>
      <c r="AE96" s="45"/>
      <c r="AG96" s="45"/>
      <c r="AX96" s="2"/>
      <c r="BG96" s="2"/>
    </row>
    <row r="97" spans="7:59">
      <c r="G97" s="2"/>
      <c r="H97" s="2"/>
      <c r="I97" s="2"/>
      <c r="J97" s="2"/>
      <c r="K97" s="2"/>
      <c r="P97" s="15"/>
      <c r="Q97" s="15"/>
      <c r="R97" s="15"/>
      <c r="T97" s="15"/>
      <c r="U97" s="42"/>
      <c r="V97" s="15"/>
      <c r="X97" s="11"/>
      <c r="Y97" s="11"/>
      <c r="Z97" s="47"/>
      <c r="AA97" s="44"/>
      <c r="AB97" s="15"/>
      <c r="AD97" s="45"/>
      <c r="AE97" s="45"/>
      <c r="AG97" s="45"/>
      <c r="AX97" s="2"/>
      <c r="BG97" s="2"/>
    </row>
    <row r="98" spans="7:59">
      <c r="G98" s="2"/>
      <c r="H98" s="2"/>
      <c r="I98" s="2"/>
      <c r="J98" s="2"/>
      <c r="K98" s="2"/>
      <c r="P98" s="15"/>
      <c r="Q98" s="15"/>
      <c r="R98" s="15"/>
      <c r="T98" s="15"/>
      <c r="U98" s="42"/>
      <c r="V98" s="15"/>
      <c r="X98" s="11"/>
      <c r="Y98" s="11"/>
      <c r="Z98" s="47"/>
      <c r="AA98" s="44"/>
      <c r="AB98" s="15"/>
      <c r="AD98" s="45"/>
      <c r="AE98" s="45"/>
      <c r="AG98" s="45"/>
      <c r="AX98" s="2"/>
      <c r="BG98" s="2"/>
    </row>
    <row r="99" spans="7:59">
      <c r="G99" s="2"/>
      <c r="H99" s="2"/>
      <c r="I99" s="2"/>
      <c r="J99" s="2"/>
      <c r="K99" s="2"/>
      <c r="P99" s="15"/>
      <c r="Q99" s="15"/>
      <c r="R99" s="15"/>
      <c r="T99" s="15"/>
      <c r="U99" s="42"/>
      <c r="V99" s="15"/>
      <c r="X99" s="11"/>
      <c r="Y99" s="11"/>
      <c r="Z99" s="47"/>
      <c r="AA99" s="44"/>
      <c r="AB99" s="15"/>
      <c r="AD99" s="45"/>
      <c r="AE99" s="45"/>
      <c r="AG99" s="45"/>
      <c r="AX99" s="2"/>
      <c r="BG99" s="2"/>
    </row>
    <row r="100" spans="7:59">
      <c r="G100" s="2"/>
      <c r="H100" s="2"/>
      <c r="I100" s="2"/>
      <c r="J100" s="2"/>
      <c r="K100" s="2"/>
      <c r="P100" s="15"/>
      <c r="Q100" s="15"/>
      <c r="R100" s="15"/>
      <c r="T100" s="15"/>
      <c r="U100" s="42"/>
      <c r="V100" s="15"/>
      <c r="X100" s="11"/>
      <c r="Y100" s="11"/>
      <c r="Z100" s="47"/>
      <c r="AA100" s="44"/>
      <c r="AB100" s="15"/>
      <c r="AD100" s="45"/>
      <c r="AE100" s="45"/>
      <c r="AG100" s="45"/>
      <c r="AX100" s="2"/>
      <c r="BG100" s="2"/>
    </row>
    <row r="101" spans="7:59">
      <c r="G101" s="2"/>
      <c r="H101" s="2"/>
      <c r="I101" s="2"/>
      <c r="J101" s="2"/>
      <c r="K101" s="2"/>
      <c r="P101" s="15"/>
      <c r="Q101" s="15"/>
      <c r="R101" s="15"/>
      <c r="T101" s="15"/>
      <c r="U101" s="42"/>
      <c r="V101" s="15"/>
      <c r="X101" s="11"/>
      <c r="Y101" s="11"/>
      <c r="Z101" s="47"/>
      <c r="AA101" s="44"/>
      <c r="AB101" s="15"/>
      <c r="AD101" s="45"/>
      <c r="AE101" s="45"/>
      <c r="AG101" s="45"/>
      <c r="AX101" s="2"/>
      <c r="BG101" s="2"/>
    </row>
    <row r="102" spans="7:59">
      <c r="G102" s="2"/>
      <c r="H102" s="2"/>
      <c r="I102" s="2"/>
      <c r="J102" s="2"/>
      <c r="K102" s="2"/>
      <c r="P102" s="15"/>
      <c r="Q102" s="15"/>
      <c r="R102" s="15"/>
      <c r="T102" s="15"/>
      <c r="U102" s="42"/>
      <c r="V102" s="15"/>
      <c r="X102" s="11"/>
      <c r="Y102" s="11"/>
      <c r="Z102" s="47"/>
      <c r="AA102" s="44"/>
      <c r="AB102" s="15"/>
      <c r="AD102" s="45"/>
      <c r="AE102" s="45"/>
      <c r="AG102" s="45"/>
      <c r="AX102" s="2"/>
      <c r="BG102" s="2"/>
    </row>
    <row r="103" spans="7:59">
      <c r="G103" s="2"/>
      <c r="H103" s="2"/>
      <c r="I103" s="2"/>
      <c r="J103" s="2"/>
      <c r="K103" s="2"/>
      <c r="P103" s="15"/>
      <c r="Q103" s="15"/>
      <c r="R103" s="15"/>
      <c r="T103" s="15"/>
      <c r="U103" s="42"/>
      <c r="V103" s="15"/>
      <c r="X103" s="11"/>
      <c r="Y103" s="11"/>
      <c r="Z103" s="47"/>
      <c r="AA103" s="44"/>
      <c r="AB103" s="15"/>
      <c r="AD103" s="45"/>
      <c r="AE103" s="45"/>
      <c r="AG103" s="45"/>
      <c r="AX103" s="2"/>
      <c r="BG103" s="2"/>
    </row>
    <row r="104" spans="7:59">
      <c r="G104" s="2"/>
      <c r="H104" s="2"/>
      <c r="I104" s="2"/>
      <c r="J104" s="2"/>
      <c r="K104" s="2"/>
      <c r="P104" s="15"/>
      <c r="Q104" s="15"/>
      <c r="R104" s="15"/>
      <c r="T104" s="15"/>
      <c r="U104" s="42"/>
      <c r="V104" s="15"/>
      <c r="X104" s="11"/>
      <c r="Y104" s="11"/>
      <c r="Z104" s="47"/>
      <c r="AA104" s="44"/>
      <c r="AB104" s="15"/>
      <c r="AD104" s="45"/>
      <c r="AE104" s="45"/>
      <c r="AG104" s="45"/>
      <c r="AX104" s="2"/>
      <c r="BG104" s="2"/>
    </row>
    <row r="105" spans="7:59">
      <c r="G105" s="2"/>
      <c r="H105" s="2"/>
      <c r="I105" s="2"/>
      <c r="J105" s="2"/>
      <c r="K105" s="2"/>
      <c r="P105" s="15"/>
      <c r="Q105" s="15"/>
      <c r="R105" s="15"/>
      <c r="T105" s="15"/>
      <c r="U105" s="42"/>
      <c r="V105" s="15"/>
      <c r="X105" s="11"/>
      <c r="Y105" s="11"/>
      <c r="Z105" s="47"/>
      <c r="AA105" s="44"/>
      <c r="AB105" s="15"/>
      <c r="AD105" s="45"/>
      <c r="AE105" s="45"/>
      <c r="AG105" s="45"/>
      <c r="AX105" s="2"/>
      <c r="BG105" s="2"/>
    </row>
    <row r="106" spans="7:59">
      <c r="G106" s="2"/>
      <c r="H106" s="2"/>
      <c r="I106" s="2"/>
      <c r="J106" s="2"/>
      <c r="K106" s="2"/>
      <c r="P106" s="15"/>
      <c r="Q106" s="15"/>
      <c r="R106" s="15"/>
      <c r="T106" s="15"/>
      <c r="U106" s="42"/>
      <c r="V106" s="15"/>
      <c r="X106" s="11"/>
      <c r="Y106" s="11"/>
      <c r="Z106" s="47"/>
      <c r="AA106" s="44"/>
      <c r="AB106" s="15"/>
      <c r="AD106" s="45"/>
      <c r="AE106" s="45"/>
      <c r="AG106" s="45"/>
      <c r="AX106" s="2"/>
      <c r="BG106" s="2"/>
    </row>
    <row r="107" spans="7:59">
      <c r="G107" s="2"/>
      <c r="H107" s="2"/>
      <c r="I107" s="2"/>
      <c r="J107" s="2"/>
      <c r="K107" s="2"/>
      <c r="P107" s="15"/>
      <c r="Q107" s="15"/>
      <c r="R107" s="15"/>
      <c r="T107" s="15"/>
      <c r="U107" s="42"/>
      <c r="V107" s="15"/>
      <c r="X107" s="11"/>
      <c r="Y107" s="11"/>
      <c r="Z107" s="47"/>
      <c r="AA107" s="44"/>
      <c r="AB107" s="15"/>
      <c r="AD107" s="45"/>
      <c r="AE107" s="45"/>
      <c r="AG107" s="45"/>
      <c r="AX107" s="2"/>
      <c r="BG107" s="2"/>
    </row>
    <row r="108" spans="7:59">
      <c r="G108" s="2"/>
      <c r="H108" s="2"/>
      <c r="I108" s="2"/>
      <c r="J108" s="2"/>
      <c r="K108" s="2"/>
      <c r="P108" s="15"/>
      <c r="Q108" s="15"/>
      <c r="R108" s="15"/>
      <c r="T108" s="15"/>
      <c r="U108" s="42"/>
      <c r="V108" s="15"/>
      <c r="X108" s="11"/>
      <c r="Y108" s="11"/>
      <c r="Z108" s="47"/>
      <c r="AA108" s="44"/>
      <c r="AB108" s="15"/>
      <c r="AD108" s="45"/>
      <c r="AE108" s="45"/>
      <c r="AG108" s="45"/>
      <c r="AX108" s="2"/>
      <c r="BG108" s="2"/>
    </row>
    <row r="109" spans="7:59">
      <c r="G109" s="2"/>
      <c r="H109" s="2"/>
      <c r="I109" s="2"/>
      <c r="J109" s="2"/>
      <c r="K109" s="2"/>
      <c r="P109" s="15"/>
      <c r="Q109" s="15"/>
      <c r="R109" s="15"/>
      <c r="T109" s="15"/>
      <c r="U109" s="42"/>
      <c r="V109" s="15"/>
      <c r="X109" s="11"/>
      <c r="Y109" s="11"/>
      <c r="Z109" s="47"/>
      <c r="AA109" s="44"/>
      <c r="AB109" s="15"/>
      <c r="AD109" s="45"/>
      <c r="AE109" s="45"/>
      <c r="AG109" s="45"/>
      <c r="AX109" s="2"/>
      <c r="BG109" s="2"/>
    </row>
    <row r="110" spans="7:59">
      <c r="G110" s="2"/>
      <c r="H110" s="2"/>
      <c r="I110" s="2"/>
      <c r="J110" s="2"/>
      <c r="K110" s="2"/>
      <c r="P110" s="15"/>
      <c r="Q110" s="15"/>
      <c r="R110" s="15"/>
      <c r="T110" s="15"/>
      <c r="U110" s="42"/>
      <c r="V110" s="15"/>
      <c r="X110" s="11"/>
      <c r="Y110" s="11"/>
      <c r="Z110" s="47"/>
      <c r="AA110" s="44"/>
      <c r="AB110" s="15"/>
      <c r="AD110" s="45"/>
      <c r="AE110" s="45"/>
      <c r="AG110" s="45"/>
      <c r="AX110" s="2"/>
      <c r="BG110" s="2"/>
    </row>
    <row r="111" spans="7:59">
      <c r="G111" s="2"/>
      <c r="H111" s="2"/>
      <c r="I111" s="2"/>
      <c r="J111" s="2"/>
      <c r="K111" s="2"/>
      <c r="P111" s="15"/>
      <c r="Q111" s="15"/>
      <c r="R111" s="15"/>
      <c r="T111" s="15"/>
      <c r="U111" s="42"/>
      <c r="V111" s="15"/>
      <c r="X111" s="11"/>
      <c r="Y111" s="11"/>
      <c r="Z111" s="47"/>
      <c r="AA111" s="44"/>
      <c r="AB111" s="15"/>
      <c r="AD111" s="45"/>
      <c r="AE111" s="45"/>
      <c r="AG111" s="45"/>
      <c r="AX111" s="2"/>
      <c r="BG111" s="2"/>
    </row>
    <row r="112" spans="7:59">
      <c r="G112" s="2"/>
      <c r="H112" s="2"/>
      <c r="I112" s="2"/>
      <c r="J112" s="2"/>
      <c r="K112" s="2"/>
      <c r="P112" s="15"/>
      <c r="Q112" s="15"/>
      <c r="R112" s="15"/>
      <c r="T112" s="15"/>
      <c r="U112" s="42"/>
      <c r="V112" s="15"/>
      <c r="X112" s="11"/>
      <c r="Y112" s="11"/>
      <c r="Z112" s="47"/>
      <c r="AA112" s="44"/>
      <c r="AB112" s="15"/>
      <c r="AD112" s="45"/>
      <c r="AE112" s="45"/>
      <c r="AG112" s="45"/>
      <c r="AX112" s="2"/>
      <c r="BG112" s="2"/>
    </row>
    <row r="113" spans="7:59">
      <c r="G113" s="2"/>
      <c r="H113" s="2"/>
      <c r="I113" s="2"/>
      <c r="J113" s="2"/>
      <c r="K113" s="2"/>
      <c r="P113" s="15"/>
      <c r="Q113" s="15"/>
      <c r="R113" s="15"/>
      <c r="T113" s="15"/>
      <c r="U113" s="42"/>
      <c r="V113" s="15"/>
      <c r="X113" s="11"/>
      <c r="Y113" s="11"/>
      <c r="Z113" s="47"/>
      <c r="AA113" s="44"/>
      <c r="AB113" s="15"/>
      <c r="AD113" s="45"/>
      <c r="AE113" s="45"/>
      <c r="AG113" s="45"/>
      <c r="AX113" s="2"/>
      <c r="BG113" s="2"/>
    </row>
    <row r="114" spans="7:59">
      <c r="G114" s="2"/>
      <c r="H114" s="2"/>
      <c r="I114" s="2"/>
      <c r="J114" s="2"/>
      <c r="K114" s="2"/>
      <c r="P114" s="15"/>
      <c r="Q114" s="15"/>
      <c r="R114" s="15"/>
      <c r="T114" s="15"/>
      <c r="U114" s="42"/>
      <c r="V114" s="15"/>
      <c r="X114" s="11"/>
      <c r="Y114" s="11"/>
      <c r="Z114" s="47"/>
      <c r="AA114" s="44"/>
      <c r="AB114" s="15"/>
      <c r="AD114" s="45"/>
      <c r="AE114" s="45"/>
      <c r="AG114" s="45"/>
      <c r="AX114" s="2"/>
      <c r="BG114" s="2"/>
    </row>
    <row r="115" spans="7:59">
      <c r="G115" s="2"/>
      <c r="H115" s="2"/>
      <c r="I115" s="2"/>
      <c r="J115" s="2"/>
      <c r="K115" s="2"/>
      <c r="P115" s="15"/>
      <c r="Q115" s="15"/>
      <c r="R115" s="15"/>
      <c r="T115" s="15"/>
      <c r="U115" s="42"/>
      <c r="V115" s="15"/>
      <c r="X115" s="11"/>
      <c r="Y115" s="11"/>
      <c r="Z115" s="47"/>
      <c r="AA115" s="44"/>
      <c r="AB115" s="15"/>
      <c r="AD115" s="45"/>
      <c r="AE115" s="45"/>
      <c r="AG115" s="45"/>
      <c r="AX115" s="2"/>
      <c r="BG115" s="2"/>
    </row>
    <row r="116" spans="7:59">
      <c r="G116" s="2"/>
      <c r="H116" s="2"/>
      <c r="I116" s="2"/>
      <c r="J116" s="2"/>
      <c r="K116" s="2"/>
      <c r="P116" s="15"/>
      <c r="Q116" s="15"/>
      <c r="R116" s="15"/>
      <c r="T116" s="15"/>
      <c r="U116" s="42"/>
      <c r="V116" s="15"/>
      <c r="X116" s="11"/>
      <c r="Y116" s="11"/>
      <c r="Z116" s="47"/>
      <c r="AA116" s="44"/>
      <c r="AB116" s="15"/>
      <c r="AD116" s="45"/>
      <c r="AE116" s="45"/>
      <c r="AG116" s="45"/>
      <c r="AX116" s="2"/>
      <c r="BG116" s="2"/>
    </row>
    <row r="117" spans="7:59">
      <c r="G117" s="2"/>
      <c r="H117" s="2"/>
      <c r="I117" s="2"/>
      <c r="J117" s="2"/>
      <c r="K117" s="2"/>
      <c r="P117" s="15"/>
      <c r="Q117" s="15"/>
      <c r="R117" s="15"/>
      <c r="T117" s="15"/>
      <c r="U117" s="42"/>
      <c r="V117" s="15"/>
      <c r="X117" s="11"/>
      <c r="Y117" s="11"/>
      <c r="Z117" s="47"/>
      <c r="AA117" s="44"/>
      <c r="AB117" s="15"/>
      <c r="AD117" s="45"/>
      <c r="AE117" s="45"/>
      <c r="AG117" s="45"/>
      <c r="AX117" s="2"/>
      <c r="BG117" s="2"/>
    </row>
    <row r="118" spans="7:59">
      <c r="G118" s="2"/>
      <c r="H118" s="2"/>
      <c r="I118" s="2"/>
      <c r="J118" s="2"/>
      <c r="K118" s="2"/>
      <c r="P118" s="15"/>
      <c r="Q118" s="15"/>
      <c r="R118" s="15"/>
      <c r="T118" s="15"/>
      <c r="U118" s="42"/>
      <c r="V118" s="15"/>
      <c r="X118" s="11"/>
      <c r="Y118" s="11"/>
      <c r="Z118" s="47"/>
      <c r="AA118" s="44"/>
      <c r="AB118" s="15"/>
      <c r="AD118" s="45"/>
      <c r="AE118" s="45"/>
      <c r="AG118" s="45"/>
      <c r="AX118" s="2"/>
      <c r="BG118" s="2"/>
    </row>
    <row r="119" spans="7:59">
      <c r="G119" s="2"/>
      <c r="H119" s="2"/>
      <c r="I119" s="2"/>
      <c r="J119" s="2"/>
      <c r="K119" s="2"/>
      <c r="P119" s="15"/>
      <c r="Q119" s="15"/>
      <c r="R119" s="15"/>
      <c r="T119" s="15"/>
      <c r="U119" s="42"/>
      <c r="V119" s="15"/>
      <c r="X119" s="11"/>
      <c r="Y119" s="11"/>
      <c r="Z119" s="47"/>
      <c r="AA119" s="44"/>
      <c r="AB119" s="15"/>
      <c r="AD119" s="45"/>
      <c r="AE119" s="45"/>
      <c r="AG119" s="45"/>
      <c r="AX119" s="2"/>
      <c r="BG119" s="2"/>
    </row>
    <row r="120" spans="7:59">
      <c r="G120" s="2"/>
      <c r="H120" s="2"/>
      <c r="I120" s="2"/>
      <c r="J120" s="2"/>
      <c r="K120" s="2"/>
      <c r="P120" s="15"/>
      <c r="Q120" s="15"/>
      <c r="R120" s="15"/>
      <c r="T120" s="15"/>
      <c r="U120" s="42"/>
      <c r="V120" s="15"/>
      <c r="X120" s="11"/>
      <c r="Y120" s="11"/>
      <c r="Z120" s="47"/>
      <c r="AA120" s="44"/>
      <c r="AB120" s="15"/>
      <c r="AD120" s="45"/>
      <c r="AE120" s="45"/>
      <c r="AG120" s="45"/>
      <c r="AX120" s="2"/>
      <c r="BG120" s="2"/>
    </row>
    <row r="121" spans="7:59">
      <c r="G121" s="2"/>
      <c r="H121" s="2"/>
      <c r="I121" s="2"/>
      <c r="J121" s="2"/>
      <c r="K121" s="2"/>
      <c r="P121" s="15"/>
      <c r="Q121" s="15"/>
      <c r="R121" s="15"/>
      <c r="T121" s="15"/>
      <c r="U121" s="42"/>
      <c r="V121" s="15"/>
      <c r="X121" s="11"/>
      <c r="Y121" s="11"/>
      <c r="Z121" s="47"/>
      <c r="AA121" s="44"/>
      <c r="AB121" s="15"/>
      <c r="AD121" s="45"/>
      <c r="AE121" s="45"/>
      <c r="AG121" s="45"/>
      <c r="AX121" s="2"/>
      <c r="BG121" s="2"/>
    </row>
    <row r="122" spans="7:59">
      <c r="G122" s="2"/>
      <c r="H122" s="2"/>
      <c r="I122" s="2"/>
      <c r="J122" s="2"/>
      <c r="K122" s="2"/>
      <c r="P122" s="15"/>
      <c r="Q122" s="15"/>
      <c r="R122" s="15"/>
      <c r="T122" s="15"/>
      <c r="U122" s="42"/>
      <c r="V122" s="15"/>
      <c r="X122" s="11"/>
      <c r="Y122" s="11"/>
      <c r="Z122" s="47"/>
      <c r="AA122" s="44"/>
      <c r="AB122" s="15"/>
      <c r="AD122" s="45"/>
      <c r="AE122" s="45"/>
      <c r="AG122" s="45"/>
      <c r="AX122" s="2"/>
      <c r="BG122" s="2"/>
    </row>
    <row r="123" spans="7:59">
      <c r="G123" s="2"/>
      <c r="H123" s="2"/>
      <c r="I123" s="2"/>
      <c r="J123" s="2"/>
      <c r="K123" s="2"/>
      <c r="P123" s="15"/>
      <c r="Q123" s="15"/>
      <c r="R123" s="15"/>
      <c r="T123" s="15"/>
      <c r="U123" s="42"/>
      <c r="V123" s="15"/>
      <c r="X123" s="11"/>
      <c r="Y123" s="11"/>
      <c r="Z123" s="47"/>
      <c r="AA123" s="44"/>
      <c r="AB123" s="15"/>
      <c r="AD123" s="45"/>
      <c r="AE123" s="45"/>
      <c r="AG123" s="45"/>
      <c r="AX123" s="2"/>
      <c r="BG123" s="2"/>
    </row>
    <row r="124" spans="7:59">
      <c r="G124" s="2"/>
      <c r="H124" s="2"/>
      <c r="I124" s="2"/>
      <c r="J124" s="2"/>
      <c r="K124" s="2"/>
      <c r="P124" s="15"/>
      <c r="Q124" s="15"/>
      <c r="R124" s="15"/>
      <c r="T124" s="15"/>
      <c r="U124" s="42"/>
      <c r="V124" s="15"/>
      <c r="X124" s="11"/>
      <c r="Y124" s="11"/>
      <c r="Z124" s="47"/>
      <c r="AA124" s="44"/>
      <c r="AB124" s="15"/>
      <c r="AD124" s="45"/>
      <c r="AE124" s="45"/>
      <c r="AG124" s="45"/>
      <c r="AX124" s="2"/>
      <c r="BG124" s="2"/>
    </row>
    <row r="125" spans="7:59">
      <c r="G125" s="2"/>
      <c r="H125" s="2"/>
      <c r="I125" s="2"/>
      <c r="J125" s="2"/>
      <c r="K125" s="2"/>
      <c r="P125" s="15"/>
      <c r="Q125" s="15"/>
      <c r="R125" s="15"/>
      <c r="T125" s="15"/>
      <c r="U125" s="42"/>
      <c r="V125" s="15"/>
      <c r="X125" s="11"/>
      <c r="Y125" s="11"/>
      <c r="Z125" s="47"/>
      <c r="AA125" s="44"/>
      <c r="AB125" s="15"/>
      <c r="AD125" s="45"/>
      <c r="AE125" s="45"/>
      <c r="AG125" s="45"/>
      <c r="AX125" s="2"/>
      <c r="BG125" s="2"/>
    </row>
    <row r="126" spans="7:59">
      <c r="G126" s="2"/>
      <c r="H126" s="2"/>
      <c r="I126" s="2"/>
      <c r="J126" s="2"/>
      <c r="K126" s="2"/>
      <c r="P126" s="15"/>
      <c r="Q126" s="15"/>
      <c r="R126" s="15"/>
      <c r="T126" s="15"/>
      <c r="U126" s="42"/>
      <c r="V126" s="15"/>
      <c r="X126" s="11"/>
      <c r="Y126" s="11"/>
      <c r="Z126" s="47"/>
      <c r="AA126" s="44"/>
      <c r="AB126" s="15"/>
      <c r="AD126" s="45"/>
      <c r="AE126" s="45"/>
      <c r="AG126" s="45"/>
      <c r="AX126" s="2"/>
      <c r="BG126" s="2"/>
    </row>
    <row r="127" spans="7:59">
      <c r="G127" s="2"/>
      <c r="H127" s="2"/>
      <c r="I127" s="2"/>
      <c r="J127" s="2"/>
      <c r="K127" s="2"/>
      <c r="P127" s="15"/>
      <c r="Q127" s="15"/>
      <c r="R127" s="15"/>
      <c r="T127" s="15"/>
      <c r="U127" s="42"/>
      <c r="V127" s="15"/>
      <c r="X127" s="11"/>
      <c r="Y127" s="11"/>
      <c r="Z127" s="47"/>
      <c r="AA127" s="44"/>
      <c r="AB127" s="15"/>
      <c r="AD127" s="45"/>
      <c r="AE127" s="45"/>
      <c r="AG127" s="45"/>
      <c r="AX127" s="2"/>
      <c r="BG127" s="2"/>
    </row>
    <row r="128" spans="7:59">
      <c r="G128" s="2"/>
      <c r="H128" s="2"/>
      <c r="I128" s="2"/>
      <c r="J128" s="2"/>
      <c r="K128" s="2"/>
      <c r="P128" s="15"/>
      <c r="Q128" s="15"/>
      <c r="R128" s="15"/>
      <c r="T128" s="15"/>
      <c r="U128" s="42"/>
      <c r="V128" s="15"/>
      <c r="X128" s="11"/>
      <c r="Y128" s="11"/>
      <c r="Z128" s="47"/>
      <c r="AA128" s="44"/>
      <c r="AB128" s="15"/>
      <c r="AD128" s="45"/>
      <c r="AE128" s="45"/>
      <c r="AG128" s="45"/>
      <c r="AX128" s="2"/>
      <c r="BG128" s="2"/>
    </row>
    <row r="129" spans="7:59">
      <c r="G129" s="2"/>
      <c r="H129" s="2"/>
      <c r="I129" s="2"/>
      <c r="J129" s="2"/>
      <c r="K129" s="2"/>
      <c r="P129" s="15"/>
      <c r="Q129" s="15"/>
      <c r="R129" s="15"/>
      <c r="T129" s="15"/>
      <c r="U129" s="42"/>
      <c r="V129" s="15"/>
      <c r="X129" s="11"/>
      <c r="Y129" s="11"/>
      <c r="Z129" s="47"/>
      <c r="AA129" s="44"/>
      <c r="AB129" s="15"/>
      <c r="AD129" s="45"/>
      <c r="AE129" s="45"/>
      <c r="AG129" s="45"/>
      <c r="AX129" s="2"/>
      <c r="BG129" s="2"/>
    </row>
    <row r="130" spans="7:59">
      <c r="G130" s="2"/>
      <c r="H130" s="2"/>
      <c r="I130" s="2"/>
      <c r="J130" s="2"/>
      <c r="K130" s="2"/>
      <c r="P130" s="15"/>
      <c r="Q130" s="15"/>
      <c r="R130" s="15"/>
      <c r="T130" s="15"/>
      <c r="U130" s="42"/>
      <c r="V130" s="15"/>
      <c r="X130" s="11"/>
      <c r="Y130" s="11"/>
      <c r="Z130" s="47"/>
      <c r="AA130" s="44"/>
      <c r="AB130" s="15"/>
      <c r="AD130" s="45"/>
      <c r="AE130" s="45"/>
      <c r="AG130" s="45"/>
      <c r="AX130" s="2"/>
      <c r="BG130" s="2"/>
    </row>
    <row r="131" spans="7:59">
      <c r="G131" s="2"/>
      <c r="H131" s="2"/>
      <c r="I131" s="2"/>
      <c r="J131" s="2"/>
      <c r="K131" s="2"/>
      <c r="P131" s="15"/>
      <c r="Q131" s="15"/>
      <c r="R131" s="15"/>
      <c r="T131" s="15"/>
      <c r="U131" s="42"/>
      <c r="V131" s="15"/>
      <c r="X131" s="11"/>
      <c r="Y131" s="11"/>
      <c r="Z131" s="47"/>
      <c r="AA131" s="44"/>
      <c r="AB131" s="15"/>
      <c r="AD131" s="45"/>
      <c r="AE131" s="45"/>
      <c r="AG131" s="45"/>
      <c r="AX131" s="2"/>
      <c r="BG131" s="2"/>
    </row>
    <row r="132" spans="7:59">
      <c r="G132" s="2"/>
      <c r="H132" s="2"/>
      <c r="I132" s="2"/>
      <c r="J132" s="2"/>
      <c r="K132" s="2"/>
      <c r="P132" s="15"/>
      <c r="Q132" s="15"/>
      <c r="R132" s="15"/>
      <c r="T132" s="15"/>
      <c r="U132" s="42"/>
      <c r="V132" s="15"/>
      <c r="X132" s="11"/>
      <c r="Y132" s="11"/>
      <c r="Z132" s="47"/>
      <c r="AA132" s="44"/>
      <c r="AB132" s="15"/>
      <c r="AD132" s="45"/>
      <c r="AE132" s="45"/>
      <c r="AG132" s="45"/>
      <c r="AX132" s="2"/>
      <c r="BG132" s="2"/>
    </row>
    <row r="133" spans="7:59">
      <c r="G133" s="2"/>
      <c r="H133" s="2"/>
      <c r="I133" s="2"/>
      <c r="J133" s="2"/>
      <c r="K133" s="2"/>
      <c r="P133" s="15"/>
      <c r="Q133" s="15"/>
      <c r="R133" s="15"/>
      <c r="T133" s="15"/>
      <c r="U133" s="42"/>
      <c r="V133" s="15"/>
      <c r="X133" s="11"/>
      <c r="Y133" s="11"/>
      <c r="Z133" s="47"/>
      <c r="AA133" s="44"/>
      <c r="AB133" s="15"/>
      <c r="AD133" s="45"/>
      <c r="AE133" s="45"/>
      <c r="AG133" s="45"/>
      <c r="AX133" s="2"/>
      <c r="BG133" s="2"/>
    </row>
    <row r="134" spans="7:59">
      <c r="G134" s="2"/>
      <c r="H134" s="2"/>
      <c r="I134" s="2"/>
      <c r="J134" s="2"/>
      <c r="K134" s="2"/>
      <c r="P134" s="15"/>
      <c r="Q134" s="15"/>
      <c r="R134" s="15"/>
      <c r="T134" s="15"/>
      <c r="U134" s="42"/>
      <c r="V134" s="15"/>
      <c r="X134" s="11"/>
      <c r="Y134" s="11"/>
      <c r="Z134" s="47"/>
      <c r="AA134" s="44"/>
      <c r="AB134" s="15"/>
      <c r="AD134" s="45"/>
      <c r="AE134" s="45"/>
      <c r="AG134" s="45"/>
      <c r="AX134" s="2"/>
      <c r="BG134" s="2"/>
    </row>
    <row r="135" spans="7:59">
      <c r="G135" s="2"/>
      <c r="H135" s="2"/>
      <c r="I135" s="2"/>
      <c r="J135" s="2"/>
      <c r="K135" s="2"/>
      <c r="P135" s="15"/>
      <c r="Q135" s="15"/>
      <c r="R135" s="15"/>
      <c r="T135" s="15"/>
      <c r="U135" s="42"/>
      <c r="V135" s="15"/>
      <c r="X135" s="11"/>
      <c r="Y135" s="11"/>
      <c r="Z135" s="47"/>
      <c r="AA135" s="44"/>
      <c r="AB135" s="15"/>
      <c r="AD135" s="45"/>
      <c r="AE135" s="45"/>
      <c r="AG135" s="45"/>
      <c r="AX135" s="2"/>
      <c r="BG135" s="2"/>
    </row>
    <row r="136" spans="7:59">
      <c r="G136" s="2"/>
      <c r="H136" s="2"/>
      <c r="I136" s="2"/>
      <c r="J136" s="2"/>
      <c r="K136" s="2"/>
      <c r="P136" s="15"/>
      <c r="Q136" s="15"/>
      <c r="R136" s="15"/>
      <c r="T136" s="15"/>
      <c r="U136" s="42"/>
      <c r="V136" s="15"/>
      <c r="X136" s="11"/>
      <c r="Y136" s="11"/>
      <c r="Z136" s="47"/>
      <c r="AA136" s="44"/>
      <c r="AB136" s="15"/>
      <c r="AD136" s="45"/>
      <c r="AE136" s="45"/>
      <c r="AG136" s="45"/>
      <c r="AX136" s="2"/>
      <c r="BG136" s="2"/>
    </row>
    <row r="137" spans="7:59">
      <c r="G137" s="2"/>
      <c r="H137" s="2"/>
      <c r="I137" s="2"/>
      <c r="J137" s="2"/>
      <c r="K137" s="2"/>
      <c r="P137" s="15"/>
      <c r="Q137" s="15"/>
      <c r="R137" s="15"/>
      <c r="T137" s="15"/>
      <c r="U137" s="42"/>
      <c r="V137" s="15"/>
      <c r="X137" s="11"/>
      <c r="Y137" s="11"/>
      <c r="Z137" s="47"/>
      <c r="AA137" s="44"/>
      <c r="AB137" s="15"/>
      <c r="AD137" s="45"/>
      <c r="AE137" s="45"/>
      <c r="AG137" s="45"/>
      <c r="AX137" s="2"/>
      <c r="BG137" s="2"/>
    </row>
    <row r="138" spans="7:59">
      <c r="G138" s="2"/>
      <c r="H138" s="2"/>
      <c r="I138" s="2"/>
      <c r="J138" s="2"/>
      <c r="K138" s="2"/>
      <c r="P138" s="15"/>
      <c r="Q138" s="15"/>
      <c r="R138" s="15"/>
      <c r="T138" s="15"/>
      <c r="U138" s="42"/>
      <c r="V138" s="15"/>
      <c r="X138" s="11"/>
      <c r="Y138" s="11"/>
      <c r="Z138" s="47"/>
      <c r="AA138" s="44"/>
      <c r="AB138" s="15"/>
      <c r="AD138" s="45"/>
      <c r="AE138" s="45"/>
      <c r="AG138" s="45"/>
      <c r="AX138" s="2"/>
      <c r="BG138" s="2"/>
    </row>
    <row r="139" spans="7:59">
      <c r="G139" s="2"/>
      <c r="H139" s="2"/>
      <c r="I139" s="2"/>
      <c r="J139" s="2"/>
      <c r="K139" s="2"/>
      <c r="P139" s="15"/>
      <c r="Q139" s="15"/>
      <c r="R139" s="15"/>
      <c r="T139" s="15"/>
      <c r="U139" s="42"/>
      <c r="V139" s="15"/>
      <c r="X139" s="11"/>
      <c r="Y139" s="11"/>
      <c r="Z139" s="47"/>
      <c r="AA139" s="44"/>
      <c r="AB139" s="15"/>
      <c r="AD139" s="45"/>
      <c r="AE139" s="45"/>
      <c r="AG139" s="45"/>
      <c r="AX139" s="2"/>
      <c r="BG139" s="2"/>
    </row>
    <row r="140" spans="7:59">
      <c r="G140" s="2"/>
      <c r="H140" s="2"/>
      <c r="I140" s="2"/>
      <c r="J140" s="2"/>
      <c r="K140" s="2"/>
      <c r="P140" s="15"/>
      <c r="Q140" s="15"/>
      <c r="R140" s="15"/>
      <c r="T140" s="15"/>
      <c r="U140" s="42"/>
      <c r="V140" s="15"/>
      <c r="X140" s="11"/>
      <c r="Y140" s="11"/>
      <c r="Z140" s="47"/>
      <c r="AA140" s="44"/>
      <c r="AB140" s="15"/>
      <c r="AD140" s="45"/>
      <c r="AE140" s="45"/>
      <c r="AG140" s="45"/>
      <c r="AX140" s="2"/>
      <c r="BG140" s="2"/>
    </row>
    <row r="141" spans="7:59">
      <c r="G141" s="2"/>
      <c r="H141" s="2"/>
      <c r="I141" s="2"/>
      <c r="J141" s="2"/>
      <c r="K141" s="2"/>
      <c r="P141" s="15"/>
      <c r="Q141" s="15"/>
      <c r="R141" s="15"/>
      <c r="T141" s="15"/>
      <c r="U141" s="42"/>
      <c r="V141" s="15"/>
      <c r="X141" s="11"/>
      <c r="Y141" s="11"/>
      <c r="Z141" s="47"/>
      <c r="AA141" s="44"/>
      <c r="AB141" s="15"/>
      <c r="AD141" s="45"/>
      <c r="AE141" s="45"/>
      <c r="AG141" s="45"/>
      <c r="AX141" s="2"/>
      <c r="BG141" s="2"/>
    </row>
    <row r="142" spans="7:59">
      <c r="G142" s="2"/>
      <c r="H142" s="2"/>
      <c r="I142" s="2"/>
      <c r="J142" s="2"/>
      <c r="K142" s="2"/>
      <c r="P142" s="15"/>
      <c r="Q142" s="15"/>
      <c r="R142" s="15"/>
      <c r="T142" s="15"/>
      <c r="U142" s="42"/>
      <c r="V142" s="15"/>
      <c r="X142" s="11"/>
      <c r="Y142" s="11"/>
      <c r="Z142" s="47"/>
      <c r="AA142" s="44"/>
      <c r="AB142" s="15"/>
      <c r="AD142" s="45"/>
      <c r="AE142" s="45"/>
      <c r="AG142" s="45"/>
      <c r="AX142" s="2"/>
      <c r="BG142" s="2"/>
    </row>
    <row r="143" spans="7:59">
      <c r="G143" s="2"/>
      <c r="H143" s="2"/>
      <c r="I143" s="2"/>
      <c r="J143" s="2"/>
      <c r="K143" s="2"/>
      <c r="P143" s="15"/>
      <c r="Q143" s="15"/>
      <c r="R143" s="15"/>
      <c r="T143" s="15"/>
      <c r="U143" s="42"/>
      <c r="V143" s="15"/>
      <c r="X143" s="11"/>
      <c r="Y143" s="11"/>
      <c r="Z143" s="47"/>
      <c r="AA143" s="44"/>
      <c r="AB143" s="15"/>
      <c r="AD143" s="45"/>
      <c r="AE143" s="45"/>
      <c r="AG143" s="45"/>
      <c r="AX143" s="2"/>
      <c r="BG143" s="2"/>
    </row>
    <row r="144" spans="7:59">
      <c r="G144" s="2"/>
      <c r="H144" s="2"/>
      <c r="I144" s="2"/>
      <c r="J144" s="2"/>
      <c r="K144" s="2"/>
      <c r="P144" s="15"/>
      <c r="Q144" s="15"/>
      <c r="R144" s="15"/>
      <c r="T144" s="15"/>
      <c r="U144" s="42"/>
      <c r="V144" s="15"/>
      <c r="X144" s="11"/>
      <c r="Y144" s="11"/>
      <c r="Z144" s="47"/>
      <c r="AA144" s="44"/>
      <c r="AB144" s="15"/>
      <c r="AD144" s="45"/>
      <c r="AE144" s="45"/>
      <c r="AG144" s="45"/>
      <c r="AX144" s="2"/>
      <c r="BG144" s="2"/>
    </row>
    <row r="145" spans="7:59">
      <c r="G145" s="2"/>
      <c r="H145" s="2"/>
      <c r="I145" s="2"/>
      <c r="J145" s="2"/>
      <c r="K145" s="2"/>
      <c r="P145" s="15"/>
      <c r="Q145" s="15"/>
      <c r="R145" s="15"/>
      <c r="T145" s="15"/>
      <c r="U145" s="42"/>
      <c r="V145" s="15"/>
      <c r="X145" s="11"/>
      <c r="Y145" s="11"/>
      <c r="Z145" s="47"/>
      <c r="AA145" s="44"/>
      <c r="AB145" s="15"/>
      <c r="AD145" s="45"/>
      <c r="AE145" s="45"/>
      <c r="AG145" s="45"/>
      <c r="AX145" s="2"/>
      <c r="BG145" s="2"/>
    </row>
    <row r="146" spans="7:59">
      <c r="G146" s="2"/>
      <c r="H146" s="2"/>
      <c r="I146" s="2"/>
      <c r="J146" s="2"/>
      <c r="K146" s="2"/>
      <c r="P146" s="15"/>
      <c r="Q146" s="15"/>
      <c r="R146" s="15"/>
      <c r="T146" s="15"/>
      <c r="U146" s="42"/>
      <c r="V146" s="15"/>
      <c r="X146" s="11"/>
      <c r="Y146" s="11"/>
      <c r="Z146" s="47"/>
      <c r="AA146" s="44"/>
      <c r="AB146" s="15"/>
      <c r="AD146" s="45"/>
      <c r="AE146" s="45"/>
      <c r="AG146" s="45"/>
      <c r="AX146" s="2"/>
      <c r="BG146" s="2"/>
    </row>
    <row r="147" spans="7:59">
      <c r="G147" s="2"/>
      <c r="H147" s="2"/>
      <c r="I147" s="2"/>
      <c r="J147" s="2"/>
      <c r="K147" s="2"/>
      <c r="P147" s="15"/>
      <c r="Q147" s="15"/>
      <c r="R147" s="15"/>
      <c r="T147" s="15"/>
      <c r="U147" s="42"/>
      <c r="V147" s="15"/>
      <c r="X147" s="11"/>
      <c r="Y147" s="11"/>
      <c r="Z147" s="47"/>
      <c r="AA147" s="44"/>
      <c r="AB147" s="15"/>
      <c r="AD147" s="45"/>
      <c r="AE147" s="45"/>
      <c r="AG147" s="45"/>
      <c r="AX147" s="2"/>
      <c r="BG147" s="2"/>
    </row>
    <row r="148" spans="7:59">
      <c r="G148" s="2"/>
      <c r="H148" s="2"/>
      <c r="I148" s="2"/>
      <c r="J148" s="2"/>
      <c r="K148" s="2"/>
      <c r="P148" s="15"/>
      <c r="Q148" s="15"/>
      <c r="R148" s="15"/>
      <c r="T148" s="15"/>
      <c r="U148" s="42"/>
      <c r="V148" s="15"/>
      <c r="X148" s="11"/>
      <c r="Y148" s="11"/>
      <c r="Z148" s="47"/>
      <c r="AA148" s="44"/>
      <c r="AB148" s="15"/>
      <c r="AD148" s="45"/>
      <c r="AE148" s="45"/>
      <c r="AG148" s="45"/>
      <c r="AX148" s="2"/>
      <c r="BG148" s="2"/>
    </row>
    <row r="149" spans="7:59">
      <c r="G149" s="2"/>
      <c r="H149" s="2"/>
      <c r="I149" s="2"/>
      <c r="J149" s="2"/>
      <c r="K149" s="2"/>
      <c r="P149" s="15"/>
      <c r="Q149" s="15"/>
      <c r="R149" s="15"/>
      <c r="T149" s="15"/>
      <c r="U149" s="42"/>
      <c r="V149" s="15"/>
      <c r="X149" s="11"/>
      <c r="Y149" s="11"/>
      <c r="Z149" s="47"/>
      <c r="AA149" s="44"/>
      <c r="AB149" s="15"/>
      <c r="AD149" s="45"/>
      <c r="AE149" s="45"/>
      <c r="AG149" s="45"/>
      <c r="AX149" s="2"/>
      <c r="BG149" s="2"/>
    </row>
    <row r="150" spans="7:59">
      <c r="G150" s="2"/>
      <c r="H150" s="2"/>
      <c r="I150" s="2"/>
      <c r="J150" s="2"/>
      <c r="K150" s="2"/>
      <c r="P150" s="15"/>
      <c r="Q150" s="15"/>
      <c r="R150" s="15"/>
      <c r="T150" s="15"/>
      <c r="U150" s="42"/>
      <c r="V150" s="15"/>
      <c r="X150" s="11"/>
      <c r="Y150" s="11"/>
      <c r="Z150" s="47"/>
      <c r="AA150" s="44"/>
      <c r="AB150" s="15"/>
      <c r="AD150" s="45"/>
      <c r="AE150" s="45"/>
      <c r="AG150" s="45"/>
      <c r="AX150" s="2"/>
      <c r="BG150" s="2"/>
    </row>
    <row r="151" spans="7:59">
      <c r="G151" s="2"/>
      <c r="H151" s="2"/>
      <c r="I151" s="2"/>
      <c r="J151" s="2"/>
      <c r="K151" s="2"/>
      <c r="P151" s="15"/>
      <c r="Q151" s="15"/>
      <c r="R151" s="15"/>
      <c r="T151" s="15"/>
      <c r="U151" s="42"/>
      <c r="V151" s="15"/>
      <c r="X151" s="11"/>
      <c r="Y151" s="11"/>
      <c r="Z151" s="47"/>
      <c r="AA151" s="44"/>
      <c r="AB151" s="15"/>
      <c r="AD151" s="45"/>
      <c r="AE151" s="45"/>
      <c r="AG151" s="45"/>
      <c r="AX151" s="2"/>
      <c r="BG151" s="2"/>
    </row>
    <row r="152" spans="7:59">
      <c r="G152" s="2"/>
      <c r="H152" s="2"/>
      <c r="I152" s="2"/>
      <c r="J152" s="2"/>
      <c r="K152" s="2"/>
      <c r="P152" s="15"/>
      <c r="Q152" s="15"/>
      <c r="R152" s="15"/>
      <c r="T152" s="15"/>
      <c r="U152" s="42"/>
      <c r="V152" s="15"/>
      <c r="X152" s="11"/>
      <c r="Y152" s="11"/>
      <c r="Z152" s="47"/>
      <c r="AA152" s="44"/>
      <c r="AB152" s="15"/>
      <c r="AD152" s="45"/>
      <c r="AE152" s="45"/>
      <c r="AG152" s="45"/>
      <c r="AX152" s="2"/>
      <c r="BG152" s="2"/>
    </row>
    <row r="153" spans="7:59">
      <c r="G153" s="2"/>
      <c r="H153" s="2"/>
      <c r="I153" s="2"/>
      <c r="J153" s="2"/>
      <c r="K153" s="2"/>
      <c r="P153" s="15"/>
      <c r="Q153" s="15"/>
      <c r="R153" s="15"/>
      <c r="T153" s="15"/>
      <c r="U153" s="42"/>
      <c r="V153" s="15"/>
      <c r="X153" s="11"/>
      <c r="Y153" s="11"/>
      <c r="Z153" s="47"/>
      <c r="AA153" s="44"/>
      <c r="AB153" s="15"/>
      <c r="AD153" s="45"/>
      <c r="AE153" s="45"/>
      <c r="AG153" s="45"/>
      <c r="AX153" s="2"/>
      <c r="BG153" s="2"/>
    </row>
    <row r="154" spans="7:59">
      <c r="G154" s="2"/>
      <c r="H154" s="2"/>
      <c r="I154" s="2"/>
      <c r="J154" s="2"/>
      <c r="K154" s="2"/>
      <c r="P154" s="15"/>
      <c r="Q154" s="15"/>
      <c r="R154" s="15"/>
      <c r="T154" s="15"/>
      <c r="U154" s="42"/>
      <c r="V154" s="15"/>
      <c r="X154" s="11"/>
      <c r="Y154" s="11"/>
      <c r="Z154" s="47"/>
      <c r="AA154" s="44"/>
      <c r="AB154" s="15"/>
      <c r="AD154" s="45"/>
      <c r="AE154" s="45"/>
      <c r="AG154" s="45"/>
      <c r="AX154" s="2"/>
      <c r="BG154" s="2"/>
    </row>
    <row r="155" spans="7:59">
      <c r="G155" s="2"/>
      <c r="H155" s="2"/>
      <c r="I155" s="2"/>
      <c r="J155" s="2"/>
      <c r="K155" s="2"/>
      <c r="P155" s="15"/>
      <c r="Q155" s="15"/>
      <c r="R155" s="15"/>
      <c r="T155" s="15"/>
      <c r="U155" s="42"/>
      <c r="V155" s="15"/>
      <c r="X155" s="11"/>
      <c r="Y155" s="11"/>
      <c r="Z155" s="47"/>
      <c r="AA155" s="44"/>
      <c r="AB155" s="15"/>
      <c r="AD155" s="45"/>
      <c r="AE155" s="45"/>
      <c r="AG155" s="45"/>
      <c r="AX155" s="2"/>
      <c r="BG155" s="2"/>
    </row>
    <row r="156" spans="7:59">
      <c r="G156" s="2"/>
      <c r="H156" s="2"/>
      <c r="I156" s="2"/>
      <c r="J156" s="2"/>
      <c r="K156" s="2"/>
      <c r="P156" s="15"/>
      <c r="Q156" s="15"/>
      <c r="R156" s="15"/>
      <c r="T156" s="15"/>
      <c r="U156" s="42"/>
      <c r="V156" s="15"/>
      <c r="X156" s="11"/>
      <c r="Y156" s="11"/>
      <c r="Z156" s="47"/>
      <c r="AA156" s="44"/>
      <c r="AB156" s="15"/>
      <c r="AD156" s="45"/>
      <c r="AE156" s="45"/>
      <c r="AG156" s="45"/>
      <c r="AX156" s="2"/>
      <c r="BG156" s="2"/>
    </row>
    <row r="157" spans="7:59">
      <c r="G157" s="2"/>
      <c r="H157" s="2"/>
      <c r="I157" s="2"/>
      <c r="J157" s="2"/>
      <c r="K157" s="2"/>
      <c r="P157" s="15"/>
      <c r="Q157" s="15"/>
      <c r="R157" s="15"/>
      <c r="T157" s="15"/>
      <c r="U157" s="42"/>
      <c r="V157" s="15"/>
      <c r="X157" s="11"/>
      <c r="Y157" s="11"/>
      <c r="Z157" s="47"/>
      <c r="AA157" s="44"/>
      <c r="AB157" s="15"/>
      <c r="AD157" s="45"/>
      <c r="AE157" s="45"/>
      <c r="AG157" s="45"/>
      <c r="AX157" s="2"/>
      <c r="BG157" s="2"/>
    </row>
    <row r="158" spans="7:59">
      <c r="G158" s="2"/>
      <c r="H158" s="2"/>
      <c r="I158" s="2"/>
      <c r="J158" s="2"/>
      <c r="K158" s="2"/>
      <c r="P158" s="15"/>
      <c r="Q158" s="15"/>
      <c r="R158" s="15"/>
      <c r="T158" s="15"/>
      <c r="U158" s="42"/>
      <c r="V158" s="15"/>
      <c r="X158" s="11"/>
      <c r="Y158" s="11"/>
      <c r="Z158" s="47"/>
      <c r="AA158" s="44"/>
      <c r="AB158" s="15"/>
      <c r="AD158" s="45"/>
      <c r="AE158" s="45"/>
      <c r="AG158" s="45"/>
      <c r="AX158" s="2"/>
      <c r="BG158" s="2"/>
    </row>
    <row r="159" spans="7:59">
      <c r="G159" s="2"/>
      <c r="H159" s="2"/>
      <c r="I159" s="2"/>
      <c r="J159" s="2"/>
      <c r="K159" s="2"/>
      <c r="P159" s="15"/>
      <c r="Q159" s="15"/>
      <c r="R159" s="15"/>
      <c r="T159" s="15"/>
      <c r="U159" s="42"/>
      <c r="V159" s="15"/>
      <c r="X159" s="11"/>
      <c r="Y159" s="11"/>
      <c r="Z159" s="47"/>
      <c r="AA159" s="44"/>
      <c r="AB159" s="15"/>
      <c r="AD159" s="45"/>
      <c r="AE159" s="45"/>
      <c r="AG159" s="45"/>
      <c r="AX159" s="2"/>
      <c r="BG159" s="2"/>
    </row>
    <row r="160" spans="7:59">
      <c r="G160" s="2"/>
      <c r="K160" s="2"/>
      <c r="P160" s="15"/>
      <c r="Q160" s="15"/>
      <c r="R160" s="15"/>
      <c r="T160" s="15"/>
      <c r="U160" s="15"/>
      <c r="V160" s="15"/>
      <c r="X160" s="11"/>
      <c r="Y160" s="11"/>
      <c r="Z160" s="47"/>
      <c r="AA160" s="44"/>
      <c r="AB160" s="15"/>
      <c r="AD160" s="45"/>
      <c r="AE160" s="45"/>
      <c r="AG160" s="45"/>
      <c r="AX160" s="2"/>
      <c r="BG160" s="2"/>
    </row>
    <row r="161" spans="7:59">
      <c r="G161" s="2"/>
      <c r="K161" s="2"/>
      <c r="P161" s="15"/>
      <c r="Q161" s="15"/>
      <c r="R161" s="15"/>
      <c r="T161" s="15"/>
      <c r="U161" s="15"/>
      <c r="V161" s="15"/>
      <c r="X161" s="11"/>
      <c r="Y161" s="11"/>
      <c r="Z161" s="47"/>
      <c r="AA161" s="44"/>
      <c r="AB161" s="15"/>
      <c r="AD161" s="45"/>
      <c r="AE161" s="45"/>
      <c r="AG161" s="45"/>
      <c r="AX161" s="2"/>
      <c r="BG161" s="2"/>
    </row>
    <row r="162" spans="7:59">
      <c r="G162" s="2"/>
      <c r="K162" s="2"/>
      <c r="P162" s="15"/>
      <c r="Q162" s="15"/>
      <c r="R162" s="15"/>
      <c r="T162" s="15"/>
      <c r="U162" s="15"/>
      <c r="V162" s="15"/>
      <c r="X162" s="11"/>
      <c r="Y162" s="11"/>
      <c r="Z162" s="47"/>
      <c r="AA162" s="44"/>
      <c r="AB162" s="15"/>
      <c r="AD162" s="45"/>
      <c r="AE162" s="45"/>
      <c r="AG162" s="45"/>
      <c r="AX162" s="2"/>
      <c r="BG162" s="2"/>
    </row>
    <row r="163" spans="7:59">
      <c r="G163" s="2"/>
      <c r="K163" s="2"/>
      <c r="P163" s="15"/>
      <c r="Q163" s="15"/>
      <c r="R163" s="15"/>
      <c r="T163" s="15"/>
      <c r="U163" s="15"/>
      <c r="V163" s="15"/>
      <c r="X163" s="11"/>
      <c r="Y163" s="11"/>
      <c r="Z163" s="47"/>
      <c r="AA163" s="44"/>
      <c r="AB163" s="15"/>
      <c r="AD163" s="45"/>
      <c r="AE163" s="45"/>
      <c r="AG163" s="45"/>
      <c r="AX163" s="2"/>
      <c r="BG163" s="2"/>
    </row>
    <row r="164" spans="7:59">
      <c r="G164" s="2"/>
      <c r="K164" s="2"/>
      <c r="P164" s="15"/>
      <c r="Q164" s="15"/>
      <c r="R164" s="15"/>
      <c r="T164" s="15"/>
      <c r="U164" s="15"/>
      <c r="V164" s="15"/>
      <c r="X164" s="11"/>
      <c r="Y164" s="11"/>
      <c r="Z164" s="47"/>
      <c r="AA164" s="44"/>
      <c r="AB164" s="15"/>
      <c r="AD164" s="45"/>
      <c r="AE164" s="45"/>
      <c r="AG164" s="45"/>
      <c r="AX164" s="2"/>
      <c r="BG164" s="2"/>
    </row>
    <row r="165" spans="7:59">
      <c r="G165" s="2"/>
      <c r="K165" s="2"/>
      <c r="P165" s="15"/>
      <c r="Q165" s="15"/>
      <c r="R165" s="15"/>
      <c r="T165" s="15"/>
      <c r="U165" s="15"/>
      <c r="V165" s="15"/>
      <c r="X165" s="11"/>
      <c r="Y165" s="11"/>
      <c r="Z165" s="47"/>
      <c r="AA165" s="44"/>
      <c r="AB165" s="15"/>
      <c r="AD165" s="45"/>
      <c r="AE165" s="45"/>
      <c r="AG165" s="45"/>
      <c r="AX165" s="2"/>
      <c r="BG165" s="2"/>
    </row>
    <row r="166" spans="7:59">
      <c r="G166" s="2"/>
      <c r="K166" s="2"/>
      <c r="P166" s="15"/>
      <c r="Q166" s="15"/>
      <c r="R166" s="15"/>
      <c r="T166" s="15"/>
      <c r="U166" s="15"/>
      <c r="V166" s="15"/>
      <c r="X166" s="11"/>
      <c r="Y166" s="11"/>
      <c r="Z166" s="47"/>
      <c r="AA166" s="44"/>
      <c r="AB166" s="15"/>
      <c r="AD166" s="45"/>
      <c r="AE166" s="45"/>
      <c r="AG166" s="45"/>
      <c r="AX166" s="2"/>
      <c r="BG166" s="2"/>
    </row>
    <row r="167" spans="7:59">
      <c r="G167" s="2"/>
      <c r="K167" s="2"/>
      <c r="P167" s="15"/>
      <c r="Q167" s="15"/>
      <c r="R167" s="15"/>
      <c r="T167" s="15"/>
      <c r="U167" s="15"/>
      <c r="V167" s="15"/>
      <c r="X167" s="11"/>
      <c r="Y167" s="11"/>
      <c r="Z167" s="47"/>
      <c r="AA167" s="44"/>
      <c r="AB167" s="15"/>
      <c r="AD167" s="45"/>
      <c r="AE167" s="45"/>
      <c r="AG167" s="45"/>
      <c r="AX167" s="2"/>
      <c r="BG167" s="2"/>
    </row>
    <row r="168" spans="7:59">
      <c r="G168" s="2"/>
      <c r="K168" s="2"/>
      <c r="P168" s="15"/>
      <c r="Q168" s="15"/>
      <c r="R168" s="15"/>
      <c r="T168" s="15"/>
      <c r="U168" s="15"/>
      <c r="V168" s="15"/>
      <c r="X168" s="11"/>
      <c r="Y168" s="11"/>
      <c r="Z168" s="47"/>
      <c r="AA168" s="44"/>
      <c r="AB168" s="15"/>
      <c r="AD168" s="45"/>
      <c r="AE168" s="45"/>
      <c r="AG168" s="45"/>
      <c r="AX168" s="2"/>
      <c r="BG168" s="2"/>
    </row>
    <row r="169" spans="7:59">
      <c r="G169" s="2"/>
      <c r="K169" s="2"/>
      <c r="P169" s="15"/>
      <c r="Q169" s="15"/>
      <c r="R169" s="15"/>
      <c r="T169" s="15"/>
      <c r="U169" s="15"/>
      <c r="V169" s="15"/>
      <c r="X169" s="11"/>
      <c r="Y169" s="11"/>
      <c r="Z169" s="47"/>
      <c r="AA169" s="44"/>
      <c r="AB169" s="15"/>
      <c r="AD169" s="45"/>
      <c r="AE169" s="45"/>
      <c r="AG169" s="45"/>
      <c r="AX169" s="2"/>
      <c r="BG169" s="2"/>
    </row>
    <row r="170" spans="7:59">
      <c r="G170" s="2"/>
      <c r="K170" s="2"/>
      <c r="P170" s="15"/>
      <c r="Q170" s="15"/>
      <c r="R170" s="15"/>
      <c r="T170" s="15"/>
      <c r="U170" s="15"/>
      <c r="V170" s="15"/>
      <c r="X170" s="11"/>
      <c r="Y170" s="11"/>
      <c r="Z170" s="47"/>
      <c r="AA170" s="44"/>
      <c r="AB170" s="15"/>
      <c r="AD170" s="45"/>
      <c r="AE170" s="45"/>
      <c r="AG170" s="45"/>
      <c r="AX170" s="2"/>
      <c r="BG170" s="2"/>
    </row>
    <row r="171" spans="7:59">
      <c r="G171" s="2"/>
      <c r="K171" s="2"/>
      <c r="P171" s="15"/>
      <c r="Q171" s="15"/>
      <c r="R171" s="15"/>
      <c r="T171" s="15"/>
      <c r="U171" s="15"/>
      <c r="V171" s="15"/>
      <c r="X171" s="11"/>
      <c r="Y171" s="11"/>
      <c r="Z171" s="47"/>
      <c r="AA171" s="44"/>
      <c r="AB171" s="15"/>
      <c r="AD171" s="45"/>
      <c r="AE171" s="45"/>
      <c r="AG171" s="45"/>
      <c r="AX171" s="2"/>
      <c r="BG171" s="2"/>
    </row>
    <row r="172" spans="7:59">
      <c r="G172" s="2"/>
      <c r="K172" s="2"/>
      <c r="P172" s="15"/>
      <c r="Q172" s="15"/>
      <c r="R172" s="15"/>
      <c r="T172" s="15"/>
      <c r="U172" s="15"/>
      <c r="V172" s="15"/>
      <c r="X172" s="11"/>
      <c r="Y172" s="11"/>
      <c r="Z172" s="47"/>
      <c r="AA172" s="44"/>
      <c r="AB172" s="15"/>
      <c r="AD172" s="45"/>
      <c r="AE172" s="45"/>
      <c r="AG172" s="45"/>
      <c r="AX172" s="2"/>
      <c r="BG172" s="2"/>
    </row>
    <row r="173" spans="7:59">
      <c r="G173" s="2"/>
      <c r="K173" s="2"/>
      <c r="P173" s="15"/>
      <c r="Q173" s="15"/>
      <c r="R173" s="15"/>
      <c r="T173" s="15"/>
      <c r="U173" s="15"/>
      <c r="V173" s="15"/>
      <c r="X173" s="11"/>
      <c r="Y173" s="11"/>
      <c r="Z173" s="47"/>
      <c r="AA173" s="44"/>
      <c r="AB173" s="15"/>
      <c r="AD173" s="45"/>
      <c r="AE173" s="45"/>
      <c r="AG173" s="45"/>
      <c r="AX173" s="2"/>
      <c r="BG173" s="2"/>
    </row>
    <row r="174" spans="7:59">
      <c r="G174" s="2"/>
      <c r="K174" s="2"/>
      <c r="P174" s="15"/>
      <c r="Q174" s="15"/>
      <c r="R174" s="15"/>
      <c r="T174" s="15"/>
      <c r="U174" s="15"/>
      <c r="V174" s="15"/>
      <c r="X174" s="11"/>
      <c r="Y174" s="11"/>
      <c r="Z174" s="47"/>
      <c r="AA174" s="44"/>
      <c r="AB174" s="15"/>
      <c r="AD174" s="45"/>
      <c r="AE174" s="45"/>
      <c r="AG174" s="45"/>
      <c r="AX174" s="2"/>
      <c r="BG174" s="2"/>
    </row>
    <row r="175" spans="7:59">
      <c r="G175" s="2"/>
      <c r="K175" s="2"/>
      <c r="P175" s="15"/>
      <c r="Q175" s="15"/>
      <c r="R175" s="15"/>
      <c r="T175" s="15"/>
      <c r="U175" s="15"/>
      <c r="V175" s="15"/>
      <c r="X175" s="11"/>
      <c r="Y175" s="11"/>
      <c r="Z175" s="47"/>
      <c r="AA175" s="44"/>
      <c r="AB175" s="15"/>
      <c r="AD175" s="45"/>
      <c r="AE175" s="45"/>
      <c r="AG175" s="45"/>
      <c r="AX175" s="2"/>
      <c r="BG175" s="2"/>
    </row>
    <row r="176" spans="7:59">
      <c r="G176" s="2"/>
      <c r="K176" s="2"/>
      <c r="P176" s="15"/>
      <c r="Q176" s="15"/>
      <c r="R176" s="15"/>
      <c r="T176" s="15"/>
      <c r="U176" s="15"/>
      <c r="V176" s="15"/>
      <c r="X176" s="11"/>
      <c r="Y176" s="11"/>
      <c r="Z176" s="47"/>
      <c r="AA176" s="44"/>
      <c r="AB176" s="15"/>
      <c r="AD176" s="45"/>
      <c r="AE176" s="45"/>
      <c r="AG176" s="45"/>
      <c r="AX176" s="2"/>
      <c r="BG176" s="2"/>
    </row>
    <row r="177" spans="7:59">
      <c r="G177" s="2"/>
      <c r="K177" s="2"/>
      <c r="P177" s="15"/>
      <c r="Q177" s="15"/>
      <c r="R177" s="15"/>
      <c r="T177" s="15"/>
      <c r="U177" s="15"/>
      <c r="V177" s="15"/>
      <c r="X177" s="11"/>
      <c r="Y177" s="11"/>
      <c r="Z177" s="47"/>
      <c r="AA177" s="44"/>
      <c r="AB177" s="15"/>
      <c r="AD177" s="45"/>
      <c r="AE177" s="45"/>
      <c r="AG177" s="45"/>
      <c r="AX177" s="2"/>
      <c r="BG177" s="2"/>
    </row>
    <row r="178" spans="7:59">
      <c r="G178" s="2"/>
      <c r="K178" s="2"/>
      <c r="P178" s="15"/>
      <c r="Q178" s="15"/>
      <c r="R178" s="15"/>
      <c r="T178" s="15"/>
      <c r="U178" s="15"/>
      <c r="V178" s="15"/>
      <c r="X178" s="11"/>
      <c r="Y178" s="11"/>
      <c r="Z178" s="47"/>
      <c r="AA178" s="44"/>
      <c r="AB178" s="15"/>
      <c r="AD178" s="45"/>
      <c r="AE178" s="45"/>
      <c r="AG178" s="45"/>
      <c r="AX178" s="2"/>
      <c r="BG178" s="2"/>
    </row>
    <row r="179" spans="7:59">
      <c r="G179" s="2"/>
      <c r="K179" s="2"/>
      <c r="P179" s="15"/>
      <c r="Q179" s="15"/>
      <c r="R179" s="15"/>
      <c r="T179" s="15"/>
      <c r="U179" s="15"/>
      <c r="V179" s="15"/>
      <c r="X179" s="11"/>
      <c r="Y179" s="11"/>
      <c r="Z179" s="47"/>
      <c r="AA179" s="44"/>
      <c r="AB179" s="15"/>
      <c r="AD179" s="45"/>
      <c r="AE179" s="45"/>
      <c r="AG179" s="45"/>
      <c r="AX179" s="2"/>
      <c r="BG179" s="2"/>
    </row>
    <row r="180" spans="7:59">
      <c r="G180" s="2"/>
      <c r="K180" s="2"/>
      <c r="P180" s="15"/>
      <c r="Q180" s="15"/>
      <c r="R180" s="15"/>
      <c r="T180" s="15"/>
      <c r="U180" s="15"/>
      <c r="V180" s="15"/>
      <c r="X180" s="11"/>
      <c r="Y180" s="11"/>
      <c r="Z180" s="47"/>
      <c r="AA180" s="44"/>
      <c r="AB180" s="15"/>
      <c r="AD180" s="45"/>
      <c r="AE180" s="45"/>
      <c r="AG180" s="45"/>
      <c r="AX180" s="2"/>
      <c r="BG180" s="2"/>
    </row>
    <row r="181" spans="7:59">
      <c r="G181" s="2"/>
      <c r="K181" s="2"/>
      <c r="P181" s="15"/>
      <c r="Q181" s="15"/>
      <c r="R181" s="15"/>
      <c r="T181" s="15"/>
      <c r="U181" s="15"/>
      <c r="V181" s="15"/>
      <c r="X181" s="11"/>
      <c r="Y181" s="11"/>
      <c r="Z181" s="47"/>
      <c r="AA181" s="44"/>
      <c r="AB181" s="15"/>
      <c r="AD181" s="45"/>
      <c r="AE181" s="45"/>
      <c r="AG181" s="45"/>
      <c r="AX181" s="2"/>
      <c r="BG181" s="2"/>
    </row>
    <row r="182" spans="7:59">
      <c r="G182" s="2"/>
      <c r="K182" s="2"/>
      <c r="P182" s="15"/>
      <c r="Q182" s="15"/>
      <c r="R182" s="15"/>
      <c r="T182" s="15"/>
      <c r="U182" s="15"/>
      <c r="V182" s="15"/>
      <c r="X182" s="11"/>
      <c r="Y182" s="11"/>
      <c r="Z182" s="47"/>
      <c r="AA182" s="44"/>
      <c r="AB182" s="15"/>
      <c r="AD182" s="45"/>
      <c r="AE182" s="45"/>
      <c r="AG182" s="45"/>
      <c r="AX182" s="2"/>
      <c r="BG182" s="2"/>
    </row>
    <row r="183" spans="7:59">
      <c r="G183" s="2"/>
      <c r="K183" s="2"/>
      <c r="P183" s="15"/>
      <c r="Q183" s="15"/>
      <c r="R183" s="15"/>
      <c r="T183" s="15"/>
      <c r="U183" s="15"/>
      <c r="V183" s="15"/>
      <c r="X183" s="11"/>
      <c r="Y183" s="11"/>
      <c r="Z183" s="47"/>
      <c r="AA183" s="44"/>
      <c r="AB183" s="15"/>
      <c r="AD183" s="45"/>
      <c r="AE183" s="45"/>
      <c r="AG183" s="45"/>
      <c r="AX183" s="2"/>
      <c r="BG183" s="2"/>
    </row>
    <row r="184" spans="7:59">
      <c r="G184" s="2"/>
      <c r="K184" s="2"/>
      <c r="P184" s="15"/>
      <c r="Q184" s="15"/>
      <c r="R184" s="15"/>
      <c r="T184" s="15"/>
      <c r="U184" s="15"/>
      <c r="V184" s="15"/>
      <c r="X184" s="11"/>
      <c r="Y184" s="11"/>
      <c r="Z184" s="47"/>
      <c r="AA184" s="44"/>
      <c r="AB184" s="15"/>
      <c r="AD184" s="45"/>
      <c r="AE184" s="45"/>
      <c r="AG184" s="45"/>
      <c r="AX184" s="2"/>
      <c r="BG184" s="2"/>
    </row>
    <row r="185" spans="7:59">
      <c r="G185" s="2"/>
      <c r="K185" s="2"/>
      <c r="P185" s="15"/>
      <c r="Q185" s="15"/>
      <c r="R185" s="15"/>
      <c r="T185" s="15"/>
      <c r="U185" s="15"/>
      <c r="V185" s="15"/>
      <c r="X185" s="11"/>
      <c r="Y185" s="11"/>
      <c r="Z185" s="47"/>
      <c r="AA185" s="44"/>
      <c r="AB185" s="15"/>
      <c r="AD185" s="45"/>
      <c r="AE185" s="45"/>
      <c r="AG185" s="45"/>
      <c r="AX185" s="2"/>
      <c r="BG185" s="2"/>
    </row>
    <row r="186" spans="7:59">
      <c r="G186" s="2"/>
      <c r="K186" s="2"/>
      <c r="P186" s="15"/>
      <c r="Q186" s="15"/>
      <c r="R186" s="15"/>
      <c r="T186" s="15"/>
      <c r="U186" s="15"/>
      <c r="V186" s="15"/>
      <c r="X186" s="11"/>
      <c r="Y186" s="11"/>
      <c r="Z186" s="47"/>
      <c r="AA186" s="44"/>
      <c r="AB186" s="15"/>
      <c r="AD186" s="45"/>
      <c r="AE186" s="45"/>
      <c r="AG186" s="45"/>
      <c r="AX186" s="2"/>
      <c r="BG186" s="2"/>
    </row>
    <row r="187" spans="7:59">
      <c r="G187" s="2"/>
      <c r="K187" s="2"/>
      <c r="P187" s="15"/>
      <c r="Q187" s="15"/>
      <c r="R187" s="15"/>
      <c r="T187" s="15"/>
      <c r="U187" s="15"/>
      <c r="V187" s="15"/>
      <c r="X187" s="11"/>
      <c r="Y187" s="11"/>
      <c r="Z187" s="47"/>
      <c r="AA187" s="44"/>
      <c r="AB187" s="15"/>
      <c r="AD187" s="45"/>
      <c r="AE187" s="45"/>
      <c r="AG187" s="45"/>
      <c r="AX187" s="2"/>
      <c r="BG187" s="2"/>
    </row>
    <row r="188" spans="7:59">
      <c r="G188" s="2"/>
      <c r="K188" s="2"/>
      <c r="P188" s="15"/>
      <c r="Q188" s="15"/>
      <c r="R188" s="15"/>
      <c r="T188" s="15"/>
      <c r="U188" s="15"/>
      <c r="V188" s="15"/>
      <c r="X188" s="11"/>
      <c r="Y188" s="11"/>
      <c r="Z188" s="47"/>
      <c r="AA188" s="44"/>
      <c r="AB188" s="15"/>
      <c r="AD188" s="45"/>
      <c r="AE188" s="45"/>
      <c r="AG188" s="45"/>
      <c r="AX188" s="2"/>
      <c r="BG188" s="2"/>
    </row>
    <row r="189" spans="7:59">
      <c r="G189" s="2"/>
      <c r="K189" s="2"/>
      <c r="P189" s="15"/>
      <c r="Q189" s="15"/>
      <c r="R189" s="15"/>
      <c r="T189" s="15"/>
      <c r="U189" s="15"/>
      <c r="V189" s="15"/>
      <c r="X189" s="11"/>
      <c r="Y189" s="11"/>
      <c r="Z189" s="47"/>
      <c r="AA189" s="44"/>
      <c r="AB189" s="15"/>
      <c r="AD189" s="45"/>
      <c r="AE189" s="45"/>
      <c r="AG189" s="45"/>
      <c r="AX189" s="2"/>
      <c r="BG189" s="2"/>
    </row>
    <row r="190" spans="7:59">
      <c r="G190" s="2"/>
      <c r="K190" s="2"/>
      <c r="P190" s="15"/>
      <c r="Q190" s="15"/>
      <c r="R190" s="15"/>
      <c r="T190" s="15"/>
      <c r="U190" s="15"/>
      <c r="V190" s="15"/>
      <c r="X190" s="11"/>
      <c r="Y190" s="11"/>
      <c r="Z190" s="47"/>
      <c r="AA190" s="44"/>
      <c r="AB190" s="15"/>
      <c r="AD190" s="45"/>
      <c r="AE190" s="45"/>
      <c r="AG190" s="45"/>
    </row>
    <row r="191" spans="7:59">
      <c r="G191" s="2"/>
      <c r="K191" s="2"/>
      <c r="P191" s="15"/>
      <c r="Q191" s="15"/>
      <c r="R191" s="15"/>
      <c r="T191" s="15"/>
      <c r="U191" s="15"/>
      <c r="V191" s="15"/>
      <c r="X191" s="11"/>
      <c r="Y191" s="11"/>
      <c r="Z191" s="47"/>
      <c r="AA191" s="44"/>
      <c r="AB191" s="15"/>
      <c r="AD191" s="45"/>
      <c r="AE191" s="45"/>
      <c r="AG191" s="45"/>
    </row>
    <row r="192" spans="7:59">
      <c r="G192" s="2"/>
      <c r="K192" s="2"/>
      <c r="P192" s="15"/>
      <c r="Q192" s="15"/>
      <c r="R192" s="15"/>
      <c r="T192" s="15"/>
      <c r="U192" s="15"/>
      <c r="V192" s="15"/>
      <c r="X192" s="11"/>
      <c r="Y192" s="11"/>
      <c r="Z192" s="47"/>
      <c r="AA192" s="44"/>
      <c r="AB192" s="15"/>
      <c r="AD192" s="45"/>
      <c r="AE192" s="45"/>
      <c r="AG192" s="45"/>
    </row>
    <row r="193" spans="7:33">
      <c r="G193" s="2"/>
      <c r="K193" s="2"/>
      <c r="P193" s="15"/>
      <c r="Q193" s="15"/>
      <c r="R193" s="15"/>
      <c r="T193" s="15"/>
      <c r="U193" s="15"/>
      <c r="V193" s="15"/>
      <c r="X193" s="11"/>
      <c r="Y193" s="11"/>
      <c r="Z193" s="47"/>
      <c r="AA193" s="44"/>
      <c r="AB193" s="15"/>
      <c r="AD193" s="45"/>
      <c r="AE193" s="45"/>
      <c r="AG193" s="45"/>
    </row>
    <row r="194" spans="7:33">
      <c r="G194" s="2"/>
      <c r="K194" s="2"/>
      <c r="P194" s="15"/>
      <c r="Q194" s="15"/>
      <c r="R194" s="15"/>
      <c r="T194" s="15"/>
      <c r="U194" s="15"/>
      <c r="V194" s="15"/>
      <c r="X194" s="11"/>
      <c r="Y194" s="11"/>
      <c r="Z194" s="47"/>
      <c r="AA194" s="44"/>
      <c r="AB194" s="15"/>
      <c r="AD194" s="45"/>
      <c r="AE194" s="45"/>
      <c r="AG194" s="45"/>
    </row>
    <row r="195" spans="7:33">
      <c r="G195" s="2"/>
      <c r="K195" s="2"/>
      <c r="P195" s="15"/>
      <c r="Q195" s="15"/>
      <c r="R195" s="15"/>
      <c r="T195" s="15"/>
      <c r="U195" s="15"/>
      <c r="V195" s="15"/>
      <c r="X195" s="11"/>
      <c r="Y195" s="11"/>
      <c r="Z195" s="47"/>
      <c r="AA195" s="44"/>
      <c r="AB195" s="15"/>
      <c r="AD195" s="45"/>
      <c r="AE195" s="45"/>
      <c r="AG195" s="45"/>
    </row>
    <row r="196" spans="7:33">
      <c r="G196" s="2"/>
      <c r="K196" s="2"/>
      <c r="P196" s="15"/>
      <c r="Q196" s="15"/>
      <c r="R196" s="15"/>
      <c r="T196" s="15"/>
      <c r="U196" s="15"/>
      <c r="V196" s="15"/>
      <c r="X196" s="11"/>
      <c r="Y196" s="11"/>
      <c r="Z196" s="47"/>
      <c r="AA196" s="44"/>
      <c r="AB196" s="15"/>
      <c r="AD196" s="45"/>
      <c r="AE196" s="45"/>
      <c r="AG196" s="45"/>
    </row>
    <row r="197" spans="7:33">
      <c r="G197" s="2"/>
      <c r="K197" s="2"/>
      <c r="P197" s="15"/>
      <c r="Q197" s="15"/>
      <c r="R197" s="15"/>
      <c r="T197" s="15"/>
      <c r="U197" s="15"/>
      <c r="V197" s="15"/>
      <c r="X197" s="11"/>
      <c r="Y197" s="11"/>
      <c r="Z197" s="47"/>
      <c r="AA197" s="44"/>
      <c r="AB197" s="15"/>
      <c r="AD197" s="45"/>
      <c r="AE197" s="45"/>
      <c r="AG197" s="45"/>
    </row>
    <row r="198" spans="7:33">
      <c r="G198" s="2"/>
      <c r="K198" s="2"/>
      <c r="P198" s="15"/>
      <c r="Q198" s="15"/>
      <c r="R198" s="15"/>
      <c r="T198" s="15"/>
      <c r="U198" s="15"/>
      <c r="V198" s="15"/>
      <c r="X198" s="11"/>
      <c r="Y198" s="11"/>
      <c r="Z198" s="47"/>
      <c r="AA198" s="44"/>
      <c r="AB198" s="15"/>
      <c r="AD198" s="45"/>
      <c r="AE198" s="45"/>
      <c r="AG198" s="45"/>
    </row>
    <row r="199" spans="7:33">
      <c r="G199" s="2"/>
      <c r="K199" s="2"/>
      <c r="P199" s="15"/>
      <c r="Q199" s="15"/>
      <c r="R199" s="15"/>
      <c r="T199" s="15"/>
      <c r="U199" s="15"/>
      <c r="V199" s="15"/>
      <c r="X199" s="11"/>
      <c r="Y199" s="11"/>
      <c r="Z199" s="47"/>
      <c r="AA199" s="44"/>
      <c r="AB199" s="15"/>
      <c r="AD199" s="45"/>
      <c r="AE199" s="45"/>
      <c r="AG199" s="45"/>
    </row>
    <row r="200" spans="7:33">
      <c r="G200" s="2"/>
      <c r="K200" s="2"/>
      <c r="P200" s="15"/>
      <c r="Q200" s="15"/>
      <c r="R200" s="15"/>
      <c r="T200" s="15"/>
      <c r="U200" s="15"/>
      <c r="V200" s="15"/>
      <c r="X200" s="11"/>
      <c r="Y200" s="11"/>
      <c r="Z200" s="47"/>
      <c r="AA200" s="44"/>
      <c r="AB200" s="15"/>
      <c r="AD200" s="45"/>
      <c r="AE200" s="45"/>
      <c r="AG200" s="45"/>
    </row>
    <row r="201" spans="7:33">
      <c r="G201" s="2"/>
      <c r="K201" s="2"/>
      <c r="P201" s="15"/>
      <c r="Q201" s="15"/>
      <c r="R201" s="15"/>
      <c r="T201" s="15"/>
      <c r="U201" s="15"/>
      <c r="V201" s="15"/>
      <c r="X201" s="11"/>
      <c r="Y201" s="11"/>
      <c r="Z201" s="47"/>
      <c r="AA201" s="44"/>
      <c r="AB201" s="15"/>
      <c r="AD201" s="45"/>
      <c r="AE201" s="45"/>
      <c r="AG201" s="45"/>
    </row>
    <row r="202" spans="7:33">
      <c r="G202" s="2"/>
      <c r="K202" s="2"/>
      <c r="P202" s="15"/>
      <c r="Q202" s="15"/>
      <c r="R202" s="15"/>
      <c r="T202" s="15"/>
      <c r="U202" s="15"/>
      <c r="V202" s="15"/>
      <c r="X202" s="11"/>
      <c r="Y202" s="11"/>
      <c r="Z202" s="47"/>
      <c r="AA202" s="44"/>
      <c r="AB202" s="15"/>
      <c r="AD202" s="45"/>
      <c r="AE202" s="45"/>
      <c r="AG202" s="45"/>
    </row>
    <row r="203" spans="7:33">
      <c r="G203" s="2"/>
      <c r="K203" s="2"/>
      <c r="P203" s="15"/>
      <c r="Q203" s="15"/>
      <c r="R203" s="15"/>
      <c r="T203" s="15"/>
      <c r="U203" s="15"/>
      <c r="V203" s="15"/>
      <c r="X203" s="11"/>
      <c r="Y203" s="11"/>
      <c r="Z203" s="47"/>
      <c r="AA203" s="44"/>
      <c r="AB203" s="15"/>
      <c r="AD203" s="45"/>
      <c r="AE203" s="45"/>
      <c r="AG203" s="45"/>
    </row>
    <row r="204" spans="7:33">
      <c r="G204" s="2"/>
      <c r="K204" s="2"/>
      <c r="P204" s="15"/>
      <c r="Q204" s="15"/>
      <c r="R204" s="15"/>
      <c r="T204" s="15"/>
      <c r="U204" s="15"/>
      <c r="V204" s="15"/>
      <c r="X204" s="11"/>
      <c r="Y204" s="11"/>
      <c r="Z204" s="47"/>
      <c r="AA204" s="44"/>
      <c r="AB204" s="15"/>
      <c r="AD204" s="45"/>
      <c r="AE204" s="45"/>
      <c r="AG204" s="45"/>
    </row>
    <row r="205" spans="7:33">
      <c r="G205" s="2"/>
      <c r="K205" s="2"/>
      <c r="P205" s="15"/>
      <c r="Q205" s="15"/>
      <c r="R205" s="15"/>
      <c r="T205" s="15"/>
      <c r="U205" s="15"/>
      <c r="V205" s="15"/>
      <c r="X205" s="11"/>
      <c r="Y205" s="11"/>
      <c r="Z205" s="47"/>
      <c r="AA205" s="44"/>
      <c r="AB205" s="15"/>
      <c r="AD205" s="45"/>
      <c r="AE205" s="45"/>
      <c r="AG205" s="45"/>
    </row>
    <row r="206" spans="7:33">
      <c r="G206" s="2"/>
      <c r="K206" s="2"/>
      <c r="P206" s="15"/>
      <c r="Q206" s="15"/>
      <c r="R206" s="15"/>
      <c r="T206" s="15"/>
      <c r="U206" s="15"/>
      <c r="V206" s="15"/>
      <c r="X206" s="11"/>
      <c r="Y206" s="11"/>
      <c r="Z206" s="47"/>
      <c r="AA206" s="44"/>
      <c r="AB206" s="15"/>
      <c r="AD206" s="45"/>
      <c r="AE206" s="45"/>
      <c r="AG206" s="45"/>
    </row>
    <row r="207" spans="7:33">
      <c r="G207" s="2"/>
      <c r="K207" s="2"/>
      <c r="P207" s="15"/>
      <c r="Q207" s="15"/>
      <c r="R207" s="15"/>
      <c r="T207" s="15"/>
      <c r="U207" s="15"/>
      <c r="V207" s="15"/>
      <c r="X207" s="11"/>
      <c r="Y207" s="11"/>
      <c r="Z207" s="47"/>
      <c r="AA207" s="44"/>
      <c r="AB207" s="15"/>
      <c r="AD207" s="45"/>
      <c r="AE207" s="45"/>
      <c r="AG207" s="45"/>
    </row>
    <row r="208" spans="7:33">
      <c r="G208" s="2"/>
      <c r="K208" s="2"/>
      <c r="P208" s="15"/>
      <c r="Q208" s="15"/>
      <c r="R208" s="15"/>
      <c r="T208" s="15"/>
      <c r="U208" s="15"/>
      <c r="V208" s="15"/>
      <c r="X208" s="11"/>
      <c r="Y208" s="11"/>
      <c r="Z208" s="47"/>
      <c r="AA208" s="44"/>
      <c r="AB208" s="15"/>
      <c r="AD208" s="45"/>
      <c r="AE208" s="45"/>
      <c r="AG208" s="45"/>
    </row>
    <row r="209" spans="7:33">
      <c r="G209" s="2"/>
      <c r="K209" s="2"/>
      <c r="P209" s="15"/>
      <c r="Q209" s="15"/>
      <c r="R209" s="15"/>
      <c r="T209" s="15"/>
      <c r="U209" s="15"/>
      <c r="V209" s="15"/>
      <c r="X209" s="11"/>
      <c r="Y209" s="11"/>
      <c r="Z209" s="47"/>
      <c r="AA209" s="44"/>
      <c r="AB209" s="15"/>
      <c r="AD209" s="45"/>
      <c r="AE209" s="45"/>
      <c r="AG209" s="45"/>
    </row>
    <row r="210" spans="7:33">
      <c r="G210" s="2"/>
      <c r="K210" s="2"/>
      <c r="P210" s="15"/>
      <c r="Q210" s="15"/>
      <c r="R210" s="15"/>
      <c r="T210" s="15"/>
      <c r="U210" s="15"/>
      <c r="V210" s="15"/>
      <c r="X210" s="11"/>
      <c r="Y210" s="11"/>
      <c r="Z210" s="47"/>
      <c r="AA210" s="44"/>
      <c r="AB210" s="15"/>
      <c r="AD210" s="45"/>
      <c r="AE210" s="45"/>
      <c r="AG210" s="45"/>
    </row>
    <row r="211" spans="7:33">
      <c r="G211" s="2"/>
      <c r="K211" s="2"/>
      <c r="P211" s="15"/>
      <c r="Q211" s="15"/>
      <c r="R211" s="15"/>
      <c r="T211" s="15"/>
      <c r="U211" s="15"/>
      <c r="V211" s="15"/>
      <c r="X211" s="11"/>
      <c r="Y211" s="11"/>
      <c r="Z211" s="47"/>
      <c r="AA211" s="44"/>
      <c r="AB211" s="15"/>
      <c r="AD211" s="45"/>
      <c r="AE211" s="45"/>
      <c r="AG211" s="45"/>
    </row>
    <row r="212" spans="7:33">
      <c r="G212" s="2"/>
      <c r="K212" s="2"/>
      <c r="P212" s="15"/>
      <c r="Q212" s="15"/>
      <c r="R212" s="15"/>
      <c r="T212" s="15"/>
      <c r="U212" s="15"/>
      <c r="V212" s="15"/>
      <c r="X212" s="11"/>
      <c r="Y212" s="11"/>
      <c r="Z212" s="47"/>
      <c r="AA212" s="44"/>
      <c r="AB212" s="15"/>
      <c r="AD212" s="45"/>
      <c r="AE212" s="45"/>
      <c r="AG212" s="45"/>
    </row>
    <row r="213" spans="7:33">
      <c r="G213" s="2"/>
      <c r="K213" s="2"/>
      <c r="P213" s="15"/>
      <c r="Q213" s="15"/>
      <c r="R213" s="15"/>
      <c r="T213" s="15"/>
      <c r="U213" s="15"/>
      <c r="V213" s="15"/>
      <c r="X213" s="11"/>
      <c r="Y213" s="11"/>
      <c r="Z213" s="47"/>
      <c r="AA213" s="44"/>
      <c r="AB213" s="15"/>
      <c r="AD213" s="45"/>
      <c r="AE213" s="45"/>
      <c r="AG213" s="45"/>
    </row>
    <row r="214" spans="7:33">
      <c r="G214" s="2"/>
      <c r="K214" s="2"/>
      <c r="P214" s="15"/>
      <c r="Q214" s="15"/>
      <c r="R214" s="15"/>
      <c r="T214" s="15"/>
      <c r="U214" s="15"/>
      <c r="V214" s="15"/>
      <c r="X214" s="11"/>
      <c r="Y214" s="11"/>
      <c r="Z214" s="47"/>
      <c r="AA214" s="44"/>
      <c r="AB214" s="15"/>
      <c r="AD214" s="45"/>
      <c r="AE214" s="45"/>
      <c r="AG214" s="45"/>
    </row>
    <row r="215" spans="7:33">
      <c r="G215" s="2"/>
      <c r="K215" s="2"/>
      <c r="P215" s="15"/>
      <c r="Q215" s="15"/>
      <c r="R215" s="15"/>
      <c r="T215" s="15"/>
      <c r="U215" s="15"/>
      <c r="V215" s="15"/>
      <c r="X215" s="11"/>
      <c r="Y215" s="11"/>
      <c r="Z215" s="47"/>
      <c r="AA215" s="44"/>
      <c r="AB215" s="15"/>
      <c r="AD215" s="45"/>
      <c r="AE215" s="45"/>
      <c r="AG215" s="45"/>
    </row>
    <row r="216" spans="7:33">
      <c r="G216" s="2"/>
      <c r="K216" s="2"/>
      <c r="P216" s="15"/>
      <c r="Q216" s="15"/>
      <c r="R216" s="15"/>
      <c r="T216" s="15"/>
      <c r="U216" s="15"/>
      <c r="V216" s="15"/>
      <c r="X216" s="11"/>
      <c r="Y216" s="11"/>
      <c r="Z216" s="47"/>
      <c r="AA216" s="44"/>
      <c r="AB216" s="15"/>
      <c r="AD216" s="45"/>
      <c r="AE216" s="45"/>
      <c r="AG216" s="45"/>
    </row>
    <row r="217" spans="7:33">
      <c r="G217" s="2"/>
      <c r="K217" s="2"/>
      <c r="P217" s="15"/>
      <c r="Q217" s="15"/>
      <c r="R217" s="15"/>
      <c r="T217" s="15"/>
      <c r="U217" s="15"/>
      <c r="V217" s="15"/>
      <c r="X217" s="11"/>
      <c r="Y217" s="11"/>
      <c r="Z217" s="47"/>
      <c r="AA217" s="44"/>
      <c r="AB217" s="15"/>
      <c r="AD217" s="45"/>
      <c r="AE217" s="45"/>
      <c r="AG217" s="45"/>
    </row>
    <row r="218" spans="7:33">
      <c r="G218" s="2"/>
      <c r="K218" s="2"/>
      <c r="P218" s="15"/>
      <c r="Q218" s="15"/>
      <c r="R218" s="15"/>
      <c r="T218" s="15"/>
      <c r="U218" s="15"/>
      <c r="V218" s="15"/>
      <c r="X218" s="11"/>
      <c r="Y218" s="11"/>
      <c r="Z218" s="47"/>
      <c r="AA218" s="44"/>
      <c r="AB218" s="15"/>
      <c r="AD218" s="45"/>
      <c r="AE218" s="45"/>
      <c r="AG218" s="45"/>
    </row>
    <row r="219" spans="7:33">
      <c r="G219" s="2"/>
      <c r="K219" s="2"/>
      <c r="P219" s="15"/>
      <c r="Q219" s="15"/>
      <c r="R219" s="15"/>
      <c r="T219" s="15"/>
      <c r="U219" s="15"/>
      <c r="V219" s="15"/>
      <c r="X219" s="11"/>
      <c r="Y219" s="11"/>
      <c r="Z219" s="47"/>
      <c r="AA219" s="44"/>
      <c r="AB219" s="15"/>
      <c r="AD219" s="45"/>
      <c r="AE219" s="45"/>
      <c r="AG219" s="45"/>
    </row>
    <row r="220" spans="7:33">
      <c r="G220" s="2"/>
      <c r="K220" s="2"/>
      <c r="P220" s="15"/>
      <c r="Q220" s="15"/>
      <c r="R220" s="15"/>
      <c r="T220" s="15"/>
      <c r="U220" s="15"/>
      <c r="V220" s="15"/>
      <c r="X220" s="11"/>
      <c r="Y220" s="11"/>
      <c r="Z220" s="47"/>
      <c r="AA220" s="44"/>
      <c r="AB220" s="15"/>
      <c r="AD220" s="45"/>
      <c r="AE220" s="45"/>
      <c r="AG220" s="45"/>
    </row>
    <row r="221" spans="7:33">
      <c r="G221" s="2"/>
      <c r="K221" s="2"/>
      <c r="P221" s="15"/>
      <c r="Q221" s="15"/>
      <c r="R221" s="15"/>
      <c r="T221" s="15"/>
      <c r="U221" s="15"/>
      <c r="V221" s="15"/>
      <c r="X221" s="11"/>
      <c r="Y221" s="11"/>
      <c r="Z221" s="47"/>
      <c r="AA221" s="44"/>
      <c r="AB221" s="15"/>
      <c r="AD221" s="45"/>
      <c r="AE221" s="45"/>
      <c r="AG221" s="45"/>
    </row>
    <row r="222" spans="7:33">
      <c r="G222" s="2"/>
      <c r="K222" s="2"/>
      <c r="P222" s="15"/>
      <c r="Q222" s="15"/>
      <c r="R222" s="15"/>
      <c r="T222" s="15"/>
      <c r="U222" s="15"/>
      <c r="V222" s="15"/>
      <c r="X222" s="11"/>
      <c r="Y222" s="11"/>
      <c r="Z222" s="47"/>
      <c r="AA222" s="44"/>
      <c r="AB222" s="15"/>
      <c r="AD222" s="45"/>
      <c r="AE222" s="45"/>
      <c r="AG222" s="45"/>
    </row>
    <row r="223" spans="7:33">
      <c r="G223" s="2"/>
      <c r="K223" s="2"/>
      <c r="P223" s="15"/>
      <c r="Q223" s="15"/>
      <c r="R223" s="15"/>
      <c r="T223" s="15"/>
      <c r="U223" s="15"/>
      <c r="V223" s="15"/>
      <c r="X223" s="11"/>
      <c r="Y223" s="11"/>
      <c r="Z223" s="47"/>
      <c r="AA223" s="44"/>
      <c r="AB223" s="15"/>
      <c r="AD223" s="45"/>
      <c r="AE223" s="45"/>
      <c r="AG223" s="45"/>
    </row>
    <row r="224" spans="7:33">
      <c r="G224" s="2"/>
      <c r="K224" s="2"/>
      <c r="P224" s="15"/>
      <c r="Q224" s="15"/>
      <c r="R224" s="15"/>
      <c r="T224" s="15"/>
      <c r="U224" s="15"/>
      <c r="V224" s="15"/>
      <c r="X224" s="11"/>
      <c r="Y224" s="11"/>
      <c r="Z224" s="47"/>
      <c r="AA224" s="44"/>
      <c r="AB224" s="15"/>
      <c r="AD224" s="45"/>
      <c r="AE224" s="45"/>
      <c r="AG224" s="45"/>
    </row>
    <row r="225" spans="7:33">
      <c r="G225" s="2"/>
      <c r="K225" s="2"/>
      <c r="P225" s="15"/>
      <c r="Q225" s="15"/>
      <c r="R225" s="15"/>
      <c r="T225" s="15"/>
      <c r="U225" s="15"/>
      <c r="V225" s="15"/>
      <c r="X225" s="11"/>
      <c r="Y225" s="11"/>
      <c r="Z225" s="47"/>
      <c r="AA225" s="44"/>
      <c r="AB225" s="15"/>
      <c r="AD225" s="45"/>
      <c r="AE225" s="45"/>
      <c r="AG225" s="45"/>
    </row>
    <row r="226" spans="7:33">
      <c r="G226" s="2"/>
      <c r="K226" s="2"/>
      <c r="P226" s="15"/>
      <c r="Q226" s="15"/>
      <c r="R226" s="15"/>
      <c r="T226" s="15"/>
      <c r="U226" s="15"/>
      <c r="V226" s="15"/>
      <c r="X226" s="11"/>
      <c r="Y226" s="11"/>
      <c r="Z226" s="47"/>
      <c r="AA226" s="44"/>
      <c r="AB226" s="15"/>
      <c r="AD226" s="45"/>
      <c r="AE226" s="45"/>
      <c r="AG226" s="45"/>
    </row>
    <row r="227" spans="7:33">
      <c r="G227" s="2"/>
      <c r="K227" s="2"/>
      <c r="P227" s="15"/>
      <c r="Q227" s="15"/>
      <c r="R227" s="15"/>
      <c r="T227" s="15"/>
      <c r="U227" s="15"/>
      <c r="V227" s="15"/>
      <c r="X227" s="11"/>
      <c r="Y227" s="11"/>
      <c r="Z227" s="47"/>
      <c r="AA227" s="44"/>
      <c r="AB227" s="15"/>
      <c r="AD227" s="45"/>
      <c r="AE227" s="45"/>
      <c r="AG227" s="45"/>
    </row>
    <row r="228" spans="7:33">
      <c r="G228" s="2"/>
      <c r="K228" s="2"/>
      <c r="P228" s="15"/>
      <c r="Q228" s="15"/>
      <c r="R228" s="15"/>
      <c r="T228" s="15"/>
      <c r="U228" s="15"/>
      <c r="V228" s="15"/>
      <c r="X228" s="11"/>
      <c r="Y228" s="11"/>
      <c r="Z228" s="47"/>
      <c r="AA228" s="44"/>
      <c r="AB228" s="15"/>
      <c r="AD228" s="45"/>
      <c r="AE228" s="45"/>
      <c r="AG228" s="45"/>
    </row>
    <row r="229" spans="7:33">
      <c r="G229" s="2"/>
      <c r="K229" s="2"/>
      <c r="P229" s="15"/>
      <c r="Q229" s="15"/>
      <c r="R229" s="15"/>
      <c r="T229" s="15"/>
      <c r="U229" s="15"/>
      <c r="V229" s="15"/>
      <c r="X229" s="11"/>
      <c r="Y229" s="11"/>
      <c r="Z229" s="47"/>
      <c r="AA229" s="44"/>
      <c r="AB229" s="15"/>
      <c r="AD229" s="45"/>
      <c r="AE229" s="45"/>
      <c r="AG229" s="45"/>
    </row>
    <row r="230" spans="7:33">
      <c r="G230" s="2"/>
      <c r="K230" s="2"/>
      <c r="P230" s="15"/>
      <c r="Q230" s="15"/>
      <c r="R230" s="15"/>
      <c r="T230" s="15"/>
      <c r="U230" s="15"/>
      <c r="V230" s="15"/>
      <c r="X230" s="11"/>
      <c r="Y230" s="11"/>
      <c r="Z230" s="47"/>
      <c r="AA230" s="44"/>
      <c r="AB230" s="15"/>
      <c r="AD230" s="45"/>
      <c r="AE230" s="45"/>
      <c r="AG230" s="45"/>
    </row>
    <row r="231" spans="7:33">
      <c r="G231" s="2"/>
      <c r="K231" s="2"/>
      <c r="P231" s="15"/>
      <c r="Q231" s="15"/>
      <c r="R231" s="15"/>
      <c r="T231" s="15"/>
      <c r="U231" s="15"/>
      <c r="V231" s="15"/>
      <c r="X231" s="11"/>
      <c r="Y231" s="11"/>
      <c r="Z231" s="47"/>
      <c r="AA231" s="44"/>
      <c r="AB231" s="15"/>
      <c r="AD231" s="45"/>
      <c r="AE231" s="45"/>
      <c r="AG231" s="45"/>
    </row>
    <row r="232" spans="7:33">
      <c r="G232" s="2"/>
      <c r="K232" s="2"/>
      <c r="P232" s="15"/>
      <c r="Q232" s="15"/>
      <c r="R232" s="15"/>
      <c r="T232" s="15"/>
      <c r="U232" s="15"/>
      <c r="V232" s="15"/>
      <c r="X232" s="11"/>
      <c r="Y232" s="11"/>
      <c r="Z232" s="47"/>
      <c r="AA232" s="44"/>
      <c r="AB232" s="15"/>
      <c r="AD232" s="45"/>
      <c r="AE232" s="45"/>
      <c r="AG232" s="45"/>
    </row>
    <row r="233" spans="7:33">
      <c r="G233" s="2"/>
      <c r="K233" s="2"/>
      <c r="P233" s="15"/>
      <c r="Q233" s="15"/>
      <c r="R233" s="15"/>
      <c r="T233" s="15"/>
      <c r="U233" s="15"/>
      <c r="V233" s="15"/>
      <c r="X233" s="11"/>
      <c r="Y233" s="11"/>
      <c r="Z233" s="47"/>
      <c r="AA233" s="44"/>
      <c r="AB233" s="15"/>
      <c r="AD233" s="45"/>
      <c r="AE233" s="45"/>
      <c r="AG233" s="45"/>
    </row>
    <row r="234" spans="7:33">
      <c r="G234" s="2"/>
      <c r="K234" s="2"/>
      <c r="P234" s="15"/>
      <c r="Q234" s="15"/>
      <c r="R234" s="15"/>
      <c r="T234" s="15"/>
      <c r="U234" s="15"/>
      <c r="V234" s="15"/>
      <c r="X234" s="11"/>
      <c r="Y234" s="11"/>
      <c r="Z234" s="47"/>
      <c r="AA234" s="44"/>
      <c r="AB234" s="15"/>
      <c r="AD234" s="45"/>
      <c r="AE234" s="45"/>
      <c r="AG234" s="45"/>
    </row>
  </sheetData>
  <mergeCells count="2">
    <mergeCell ref="AZ8:BE8"/>
    <mergeCell ref="BF8:BG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sheetPr codeName="Sheet12"/>
  <dimension ref="A1:AQ250"/>
  <sheetViews>
    <sheetView topLeftCell="A16" zoomScale="70" zoomScaleNormal="70" workbookViewId="0">
      <pane xSplit="3" topLeftCell="D1" activePane="topRight" state="frozen"/>
      <selection pane="topRight" activeCell="I49" sqref="I49:I63"/>
    </sheetView>
  </sheetViews>
  <sheetFormatPr defaultRowHeight="12.75"/>
  <cols>
    <col min="1" max="1" width="23.85546875" style="1" customWidth="1"/>
    <col min="2" max="2" width="29.42578125" style="1" customWidth="1"/>
    <col min="3" max="3" width="31.28515625" style="1" customWidth="1"/>
    <col min="4" max="4" width="19.85546875" style="1" customWidth="1"/>
    <col min="5" max="6" width="12.42578125" style="1" customWidth="1"/>
    <col min="7" max="10" width="12" style="1" customWidth="1"/>
    <col min="11" max="11" width="11.5703125" style="1" customWidth="1"/>
    <col min="12" max="13" width="9.140625" style="1"/>
    <col min="14" max="14" width="10" style="1" bestFit="1" customWidth="1"/>
    <col min="15" max="40" width="9.140625" style="1"/>
    <col min="41" max="43" width="10.7109375" style="1" customWidth="1"/>
    <col min="44" max="16384" width="9.140625" style="1"/>
  </cols>
  <sheetData>
    <row r="1" spans="1:21">
      <c r="H1" s="2" t="s">
        <v>31</v>
      </c>
      <c r="I1" s="2" t="s">
        <v>31</v>
      </c>
      <c r="J1" s="2" t="s">
        <v>28</v>
      </c>
      <c r="K1" s="2" t="s">
        <v>28</v>
      </c>
    </row>
    <row r="2" spans="1:21" ht="13.5" thickBot="1">
      <c r="B2" s="2" t="s">
        <v>72</v>
      </c>
    </row>
    <row r="3" spans="1:21" ht="39" thickBot="1">
      <c r="C3" s="48"/>
      <c r="D3" s="48"/>
      <c r="E3" s="390" t="s">
        <v>73</v>
      </c>
      <c r="F3" s="391"/>
      <c r="G3" s="392"/>
      <c r="H3" s="393" t="s">
        <v>74</v>
      </c>
      <c r="I3" s="394"/>
      <c r="J3" s="393" t="s">
        <v>75</v>
      </c>
      <c r="K3" s="394"/>
      <c r="N3" s="40" t="s">
        <v>76</v>
      </c>
      <c r="R3" s="17" t="s">
        <v>77</v>
      </c>
    </row>
    <row r="4" spans="1:21" ht="61.5" customHeight="1" thickBot="1">
      <c r="C4" s="49" t="str">
        <f>B24</f>
        <v>Lamp Type</v>
      </c>
      <c r="D4" s="50" t="s">
        <v>46</v>
      </c>
      <c r="E4" s="51" t="str">
        <f>C25</f>
        <v>Moderate and High-use Interior</v>
      </c>
      <c r="F4" s="52" t="str">
        <f>C26</f>
        <v>Low-use Interior</v>
      </c>
      <c r="G4" s="53" t="str">
        <f>C27</f>
        <v>Exterior</v>
      </c>
      <c r="H4" s="54" t="s">
        <v>78</v>
      </c>
      <c r="I4" s="55" t="s">
        <v>79</v>
      </c>
      <c r="J4" s="54" t="s">
        <v>78</v>
      </c>
      <c r="K4" s="55" t="s">
        <v>79</v>
      </c>
    </row>
    <row r="5" spans="1:21">
      <c r="A5" s="56" t="s">
        <v>29</v>
      </c>
      <c r="B5" s="57" t="s">
        <v>30</v>
      </c>
      <c r="C5" s="386" t="str">
        <f>A5</f>
        <v>Decorative and Mini-Base</v>
      </c>
      <c r="D5" s="58" t="str">
        <f>B5</f>
        <v>250 to 664 lumens</v>
      </c>
      <c r="E5" s="59">
        <v>1386</v>
      </c>
      <c r="F5" s="60">
        <v>494</v>
      </c>
      <c r="G5" s="61">
        <v>70</v>
      </c>
      <c r="H5" s="59">
        <v>13</v>
      </c>
      <c r="I5" s="61">
        <v>4332</v>
      </c>
      <c r="J5" s="59">
        <v>74</v>
      </c>
      <c r="K5" s="61">
        <v>0</v>
      </c>
      <c r="N5" s="1" t="str">
        <f t="shared" ref="N5:P19" si="0">CONCATENATE("YES","Incandescent and Halogen",E$4,$A5,$B5)</f>
        <v>YESIncandescent and HalogenModerate and High-use InteriorDecorative and Mini-Base250 to 664 lumens</v>
      </c>
      <c r="O5" s="1" t="str">
        <f t="shared" si="0"/>
        <v>YESIncandescent and HalogenLow-use InteriorDecorative and Mini-Base250 to 664 lumens</v>
      </c>
      <c r="P5" s="1" t="str">
        <f t="shared" si="0"/>
        <v>YESIncandescent and HalogenExteriorDecorative and Mini-Base250 to 664 lumens</v>
      </c>
      <c r="R5" s="1" t="str">
        <f t="shared" ref="R5:U19" si="1">H$1&amp;$A5&amp;$B5</f>
        <v>Compact FluorescentDecorative and Mini-Base250 to 664 lumens</v>
      </c>
      <c r="S5" s="1" t="str">
        <f t="shared" si="1"/>
        <v>Compact FluorescentDecorative and Mini-Base250 to 664 lumens</v>
      </c>
      <c r="T5" s="1" t="str">
        <f t="shared" si="1"/>
        <v>LEDDecorative and Mini-Base250 to 664 lumens</v>
      </c>
      <c r="U5" s="1" t="str">
        <f t="shared" si="1"/>
        <v>LEDDecorative and Mini-Base250 to 664 lumens</v>
      </c>
    </row>
    <row r="6" spans="1:21">
      <c r="A6" s="56" t="s">
        <v>29</v>
      </c>
      <c r="B6" s="57" t="s">
        <v>33</v>
      </c>
      <c r="C6" s="387"/>
      <c r="D6" s="57" t="str">
        <f t="shared" ref="D6:D19" si="2">B6</f>
        <v>665 to 1439 lumens</v>
      </c>
      <c r="E6" s="62">
        <v>353</v>
      </c>
      <c r="F6" s="63">
        <v>179</v>
      </c>
      <c r="G6" s="64">
        <v>33</v>
      </c>
      <c r="H6" s="62">
        <v>1</v>
      </c>
      <c r="I6" s="64">
        <v>2572</v>
      </c>
      <c r="J6" s="62">
        <v>0</v>
      </c>
      <c r="K6" s="64">
        <v>0</v>
      </c>
      <c r="N6" s="1" t="str">
        <f t="shared" si="0"/>
        <v>YESIncandescent and HalogenModerate and High-use InteriorDecorative and Mini-Base665 to 1439 lumens</v>
      </c>
      <c r="O6" s="1" t="str">
        <f t="shared" si="0"/>
        <v>YESIncandescent and HalogenLow-use InteriorDecorative and Mini-Base665 to 1439 lumens</v>
      </c>
      <c r="P6" s="1" t="str">
        <f t="shared" si="0"/>
        <v>YESIncandescent and HalogenExteriorDecorative and Mini-Base665 to 1439 lumens</v>
      </c>
      <c r="R6" s="1" t="str">
        <f t="shared" si="1"/>
        <v>Compact FluorescentDecorative and Mini-Base665 to 1439 lumens</v>
      </c>
      <c r="S6" s="1" t="str">
        <f t="shared" si="1"/>
        <v>Compact FluorescentDecorative and Mini-Base665 to 1439 lumens</v>
      </c>
      <c r="T6" s="1" t="str">
        <f t="shared" si="1"/>
        <v>LEDDecorative and Mini-Base665 to 1439 lumens</v>
      </c>
      <c r="U6" s="1" t="str">
        <f t="shared" si="1"/>
        <v>LEDDecorative and Mini-Base665 to 1439 lumens</v>
      </c>
    </row>
    <row r="7" spans="1:21" ht="13.5" thickBot="1">
      <c r="A7" s="56" t="s">
        <v>29</v>
      </c>
      <c r="B7" s="57" t="s">
        <v>35</v>
      </c>
      <c r="C7" s="388"/>
      <c r="D7" s="65" t="str">
        <f t="shared" si="2"/>
        <v>1440 to 2600 lumens</v>
      </c>
      <c r="E7" s="66">
        <v>11</v>
      </c>
      <c r="F7" s="67">
        <v>5</v>
      </c>
      <c r="G7" s="68">
        <v>1</v>
      </c>
      <c r="H7" s="66">
        <v>0</v>
      </c>
      <c r="I7" s="68">
        <v>0</v>
      </c>
      <c r="J7" s="66">
        <v>0</v>
      </c>
      <c r="K7" s="68">
        <v>0</v>
      </c>
      <c r="N7" s="1" t="str">
        <f t="shared" si="0"/>
        <v>YESIncandescent and HalogenModerate and High-use InteriorDecorative and Mini-Base1440 to 2600 lumens</v>
      </c>
      <c r="O7" s="1" t="str">
        <f t="shared" si="0"/>
        <v>YESIncandescent and HalogenLow-use InteriorDecorative and Mini-Base1440 to 2600 lumens</v>
      </c>
      <c r="P7" s="1" t="str">
        <f t="shared" si="0"/>
        <v>YESIncandescent and HalogenExteriorDecorative and Mini-Base1440 to 2600 lumens</v>
      </c>
      <c r="R7" s="1" t="str">
        <f t="shared" si="1"/>
        <v>Compact FluorescentDecorative and Mini-Base1440 to 2600 lumens</v>
      </c>
      <c r="S7" s="1" t="str">
        <f t="shared" si="1"/>
        <v>Compact FluorescentDecorative and Mini-Base1440 to 2600 lumens</v>
      </c>
      <c r="T7" s="1" t="str">
        <f t="shared" si="1"/>
        <v>LEDDecorative and Mini-Base1440 to 2600 lumens</v>
      </c>
      <c r="U7" s="1" t="str">
        <f t="shared" si="1"/>
        <v>LEDDecorative and Mini-Base1440 to 2600 lumens</v>
      </c>
    </row>
    <row r="8" spans="1:21">
      <c r="A8" s="56" t="s">
        <v>32</v>
      </c>
      <c r="B8" s="57" t="str">
        <f>B5</f>
        <v>250 to 664 lumens</v>
      </c>
      <c r="C8" s="386" t="str">
        <f>A8</f>
        <v>General Purpose and Dimmable</v>
      </c>
      <c r="D8" s="58" t="str">
        <f t="shared" si="2"/>
        <v>250 to 664 lumens</v>
      </c>
      <c r="E8" s="59">
        <v>1738</v>
      </c>
      <c r="F8" s="60">
        <v>934</v>
      </c>
      <c r="G8" s="61">
        <v>100</v>
      </c>
      <c r="H8" s="59">
        <v>73</v>
      </c>
      <c r="I8" s="61">
        <v>8813</v>
      </c>
      <c r="J8" s="59">
        <v>64</v>
      </c>
      <c r="K8" s="61">
        <v>497</v>
      </c>
      <c r="N8" s="1" t="str">
        <f t="shared" si="0"/>
        <v>YESIncandescent and HalogenModerate and High-use InteriorGeneral Purpose and Dimmable250 to 664 lumens</v>
      </c>
      <c r="O8" s="1" t="str">
        <f t="shared" si="0"/>
        <v>YESIncandescent and HalogenLow-use InteriorGeneral Purpose and Dimmable250 to 664 lumens</v>
      </c>
      <c r="P8" s="1" t="str">
        <f t="shared" si="0"/>
        <v>YESIncandescent and HalogenExteriorGeneral Purpose and Dimmable250 to 664 lumens</v>
      </c>
      <c r="R8" s="1" t="str">
        <f t="shared" si="1"/>
        <v>Compact FluorescentGeneral Purpose and Dimmable250 to 664 lumens</v>
      </c>
      <c r="S8" s="1" t="str">
        <f t="shared" si="1"/>
        <v>Compact FluorescentGeneral Purpose and Dimmable250 to 664 lumens</v>
      </c>
      <c r="T8" s="1" t="str">
        <f t="shared" si="1"/>
        <v>LEDGeneral Purpose and Dimmable250 to 664 lumens</v>
      </c>
      <c r="U8" s="1" t="str">
        <f t="shared" si="1"/>
        <v>LEDGeneral Purpose and Dimmable250 to 664 lumens</v>
      </c>
    </row>
    <row r="9" spans="1:21">
      <c r="A9" s="56" t="s">
        <v>32</v>
      </c>
      <c r="B9" s="57" t="str">
        <f t="shared" ref="B9:B19" si="3">B6</f>
        <v>665 to 1439 lumens</v>
      </c>
      <c r="C9" s="387"/>
      <c r="D9" s="57" t="str">
        <f t="shared" si="2"/>
        <v>665 to 1439 lumens</v>
      </c>
      <c r="E9" s="62">
        <v>7807</v>
      </c>
      <c r="F9" s="63">
        <v>4623</v>
      </c>
      <c r="G9" s="64">
        <v>1025</v>
      </c>
      <c r="H9" s="62">
        <v>313</v>
      </c>
      <c r="I9" s="64">
        <v>42110</v>
      </c>
      <c r="J9" s="62">
        <v>178</v>
      </c>
      <c r="K9" s="64">
        <v>844</v>
      </c>
      <c r="N9" s="1" t="str">
        <f t="shared" si="0"/>
        <v>YESIncandescent and HalogenModerate and High-use InteriorGeneral Purpose and Dimmable665 to 1439 lumens</v>
      </c>
      <c r="O9" s="1" t="str">
        <f t="shared" si="0"/>
        <v>YESIncandescent and HalogenLow-use InteriorGeneral Purpose and Dimmable665 to 1439 lumens</v>
      </c>
      <c r="P9" s="1" t="str">
        <f t="shared" si="0"/>
        <v>YESIncandescent and HalogenExteriorGeneral Purpose and Dimmable665 to 1439 lumens</v>
      </c>
      <c r="R9" s="1" t="str">
        <f t="shared" si="1"/>
        <v>Compact FluorescentGeneral Purpose and Dimmable665 to 1439 lumens</v>
      </c>
      <c r="S9" s="1" t="str">
        <f t="shared" si="1"/>
        <v>Compact FluorescentGeneral Purpose and Dimmable665 to 1439 lumens</v>
      </c>
      <c r="T9" s="1" t="str">
        <f t="shared" si="1"/>
        <v>LEDGeneral Purpose and Dimmable665 to 1439 lumens</v>
      </c>
      <c r="U9" s="1" t="str">
        <f t="shared" si="1"/>
        <v>LEDGeneral Purpose and Dimmable665 to 1439 lumens</v>
      </c>
    </row>
    <row r="10" spans="1:21" ht="13.5" thickBot="1">
      <c r="A10" s="56" t="s">
        <v>32</v>
      </c>
      <c r="B10" s="57" t="str">
        <f t="shared" si="3"/>
        <v>1440 to 2600 lumens</v>
      </c>
      <c r="C10" s="388"/>
      <c r="D10" s="65" t="str">
        <f t="shared" si="2"/>
        <v>1440 to 2600 lumens</v>
      </c>
      <c r="E10" s="66">
        <v>1190</v>
      </c>
      <c r="F10" s="67">
        <v>485</v>
      </c>
      <c r="G10" s="68">
        <v>153</v>
      </c>
      <c r="H10" s="66">
        <v>144</v>
      </c>
      <c r="I10" s="68">
        <v>20038</v>
      </c>
      <c r="J10" s="66">
        <v>23</v>
      </c>
      <c r="K10" s="68">
        <v>0</v>
      </c>
      <c r="N10" s="1" t="str">
        <f t="shared" si="0"/>
        <v>YESIncandescent and HalogenModerate and High-use InteriorGeneral Purpose and Dimmable1440 to 2600 lumens</v>
      </c>
      <c r="O10" s="1" t="str">
        <f t="shared" si="0"/>
        <v>YESIncandescent and HalogenLow-use InteriorGeneral Purpose and Dimmable1440 to 2600 lumens</v>
      </c>
      <c r="P10" s="1" t="str">
        <f t="shared" si="0"/>
        <v>YESIncandescent and HalogenExteriorGeneral Purpose and Dimmable1440 to 2600 lumens</v>
      </c>
      <c r="R10" s="1" t="str">
        <f t="shared" si="1"/>
        <v>Compact FluorescentGeneral Purpose and Dimmable1440 to 2600 lumens</v>
      </c>
      <c r="S10" s="1" t="str">
        <f t="shared" si="1"/>
        <v>Compact FluorescentGeneral Purpose and Dimmable1440 to 2600 lumens</v>
      </c>
      <c r="T10" s="1" t="str">
        <f t="shared" si="1"/>
        <v>LEDGeneral Purpose and Dimmable1440 to 2600 lumens</v>
      </c>
      <c r="U10" s="1" t="str">
        <f t="shared" si="1"/>
        <v>LEDGeneral Purpose and Dimmable1440 to 2600 lumens</v>
      </c>
    </row>
    <row r="11" spans="1:21">
      <c r="A11" s="56" t="s">
        <v>34</v>
      </c>
      <c r="B11" s="57" t="str">
        <f t="shared" si="3"/>
        <v>250 to 664 lumens</v>
      </c>
      <c r="C11" s="389" t="str">
        <f>A11</f>
        <v>Globe</v>
      </c>
      <c r="D11" s="69" t="str">
        <f t="shared" si="2"/>
        <v>250 to 664 lumens</v>
      </c>
      <c r="E11" s="70">
        <v>163</v>
      </c>
      <c r="F11" s="71">
        <v>691</v>
      </c>
      <c r="G11" s="72">
        <v>9</v>
      </c>
      <c r="H11" s="70">
        <v>19</v>
      </c>
      <c r="I11" s="72">
        <v>8940</v>
      </c>
      <c r="J11" s="70">
        <v>69</v>
      </c>
      <c r="K11" s="72">
        <v>144</v>
      </c>
      <c r="N11" s="1" t="str">
        <f t="shared" si="0"/>
        <v>YESIncandescent and HalogenModerate and High-use InteriorGlobe250 to 664 lumens</v>
      </c>
      <c r="O11" s="1" t="str">
        <f t="shared" si="0"/>
        <v>YESIncandescent and HalogenLow-use InteriorGlobe250 to 664 lumens</v>
      </c>
      <c r="P11" s="1" t="str">
        <f t="shared" si="0"/>
        <v>YESIncandescent and HalogenExteriorGlobe250 to 664 lumens</v>
      </c>
      <c r="R11" s="1" t="str">
        <f t="shared" si="1"/>
        <v>Compact FluorescentGlobe250 to 664 lumens</v>
      </c>
      <c r="S11" s="1" t="str">
        <f t="shared" si="1"/>
        <v>Compact FluorescentGlobe250 to 664 lumens</v>
      </c>
      <c r="T11" s="1" t="str">
        <f t="shared" si="1"/>
        <v>LEDGlobe250 to 664 lumens</v>
      </c>
      <c r="U11" s="1" t="str">
        <f t="shared" si="1"/>
        <v>LEDGlobe250 to 664 lumens</v>
      </c>
    </row>
    <row r="12" spans="1:21">
      <c r="A12" s="56" t="s">
        <v>34</v>
      </c>
      <c r="B12" s="57" t="str">
        <f t="shared" si="3"/>
        <v>665 to 1439 lumens</v>
      </c>
      <c r="C12" s="387"/>
      <c r="D12" s="57" t="str">
        <f t="shared" si="2"/>
        <v>665 to 1439 lumens</v>
      </c>
      <c r="E12" s="62">
        <v>143</v>
      </c>
      <c r="F12" s="63">
        <v>405</v>
      </c>
      <c r="G12" s="64">
        <v>8</v>
      </c>
      <c r="H12" s="62">
        <v>13</v>
      </c>
      <c r="I12" s="64">
        <v>4959</v>
      </c>
      <c r="J12" s="62">
        <v>3</v>
      </c>
      <c r="K12" s="64">
        <v>0</v>
      </c>
      <c r="N12" s="1" t="str">
        <f t="shared" si="0"/>
        <v>YESIncandescent and HalogenModerate and High-use InteriorGlobe665 to 1439 lumens</v>
      </c>
      <c r="O12" s="1" t="str">
        <f t="shared" si="0"/>
        <v>YESIncandescent and HalogenLow-use InteriorGlobe665 to 1439 lumens</v>
      </c>
      <c r="P12" s="1" t="str">
        <f t="shared" si="0"/>
        <v>YESIncandescent and HalogenExteriorGlobe665 to 1439 lumens</v>
      </c>
      <c r="R12" s="1" t="str">
        <f t="shared" si="1"/>
        <v>Compact FluorescentGlobe665 to 1439 lumens</v>
      </c>
      <c r="S12" s="1" t="str">
        <f t="shared" si="1"/>
        <v>Compact FluorescentGlobe665 to 1439 lumens</v>
      </c>
      <c r="T12" s="1" t="str">
        <f t="shared" si="1"/>
        <v>LEDGlobe665 to 1439 lumens</v>
      </c>
      <c r="U12" s="1" t="str">
        <f t="shared" si="1"/>
        <v>LEDGlobe665 to 1439 lumens</v>
      </c>
    </row>
    <row r="13" spans="1:21" ht="13.5" thickBot="1">
      <c r="A13" s="56" t="s">
        <v>34</v>
      </c>
      <c r="B13" s="57" t="str">
        <f t="shared" si="3"/>
        <v>1440 to 2600 lumens</v>
      </c>
      <c r="C13" s="395"/>
      <c r="D13" s="73" t="str">
        <f t="shared" si="2"/>
        <v>1440 to 2600 lumens</v>
      </c>
      <c r="E13" s="74">
        <v>42</v>
      </c>
      <c r="F13" s="75">
        <v>17</v>
      </c>
      <c r="G13" s="76">
        <v>1</v>
      </c>
      <c r="H13" s="74">
        <v>0</v>
      </c>
      <c r="I13" s="76">
        <v>0</v>
      </c>
      <c r="J13" s="74">
        <v>0</v>
      </c>
      <c r="K13" s="76">
        <v>0</v>
      </c>
      <c r="N13" s="1" t="str">
        <f t="shared" si="0"/>
        <v>YESIncandescent and HalogenModerate and High-use InteriorGlobe1440 to 2600 lumens</v>
      </c>
      <c r="O13" s="1" t="str">
        <f t="shared" si="0"/>
        <v>YESIncandescent and HalogenLow-use InteriorGlobe1440 to 2600 lumens</v>
      </c>
      <c r="P13" s="1" t="str">
        <f t="shared" si="0"/>
        <v>YESIncandescent and HalogenExteriorGlobe1440 to 2600 lumens</v>
      </c>
      <c r="R13" s="1" t="str">
        <f t="shared" si="1"/>
        <v>Compact FluorescentGlobe1440 to 2600 lumens</v>
      </c>
      <c r="S13" s="1" t="str">
        <f t="shared" si="1"/>
        <v>Compact FluorescentGlobe1440 to 2600 lumens</v>
      </c>
      <c r="T13" s="1" t="str">
        <f t="shared" si="1"/>
        <v>LEDGlobe1440 to 2600 lumens</v>
      </c>
      <c r="U13" s="1" t="str">
        <f t="shared" si="1"/>
        <v>LEDGlobe1440 to 2600 lumens</v>
      </c>
    </row>
    <row r="14" spans="1:21">
      <c r="A14" s="56" t="s">
        <v>36</v>
      </c>
      <c r="B14" s="57" t="str">
        <f t="shared" si="3"/>
        <v>250 to 664 lumens</v>
      </c>
      <c r="C14" s="386" t="str">
        <f>A14</f>
        <v>Reflectors and Outdoor</v>
      </c>
      <c r="D14" s="58" t="str">
        <f t="shared" si="2"/>
        <v>250 to 664 lumens</v>
      </c>
      <c r="E14" s="59">
        <v>235</v>
      </c>
      <c r="F14" s="60">
        <v>93</v>
      </c>
      <c r="G14" s="61">
        <v>16</v>
      </c>
      <c r="H14" s="59">
        <v>25</v>
      </c>
      <c r="I14" s="61">
        <v>11910</v>
      </c>
      <c r="J14" s="59">
        <v>460</v>
      </c>
      <c r="K14" s="61">
        <v>767</v>
      </c>
      <c r="N14" s="1" t="str">
        <f t="shared" si="0"/>
        <v>YESIncandescent and HalogenModerate and High-use InteriorReflectors and Outdoor250 to 664 lumens</v>
      </c>
      <c r="O14" s="1" t="str">
        <f t="shared" si="0"/>
        <v>YESIncandescent and HalogenLow-use InteriorReflectors and Outdoor250 to 664 lumens</v>
      </c>
      <c r="P14" s="1" t="str">
        <f t="shared" si="0"/>
        <v>YESIncandescent and HalogenExteriorReflectors and Outdoor250 to 664 lumens</v>
      </c>
      <c r="R14" s="1" t="str">
        <f t="shared" si="1"/>
        <v>Compact FluorescentReflectors and Outdoor250 to 664 lumens</v>
      </c>
      <c r="S14" s="1" t="str">
        <f t="shared" si="1"/>
        <v>Compact FluorescentReflectors and Outdoor250 to 664 lumens</v>
      </c>
      <c r="T14" s="1" t="str">
        <f t="shared" si="1"/>
        <v>LEDReflectors and Outdoor250 to 664 lumens</v>
      </c>
      <c r="U14" s="1" t="str">
        <f t="shared" si="1"/>
        <v>LEDReflectors and Outdoor250 to 664 lumens</v>
      </c>
    </row>
    <row r="15" spans="1:21">
      <c r="A15" s="56" t="s">
        <v>36</v>
      </c>
      <c r="B15" s="57" t="str">
        <f t="shared" si="3"/>
        <v>665 to 1439 lumens</v>
      </c>
      <c r="C15" s="387"/>
      <c r="D15" s="57" t="str">
        <f t="shared" si="2"/>
        <v>665 to 1439 lumens</v>
      </c>
      <c r="E15" s="62">
        <v>1395</v>
      </c>
      <c r="F15" s="63">
        <v>873</v>
      </c>
      <c r="G15" s="64">
        <v>442</v>
      </c>
      <c r="H15" s="62">
        <v>60</v>
      </c>
      <c r="I15" s="64">
        <v>35018</v>
      </c>
      <c r="J15" s="62">
        <v>998</v>
      </c>
      <c r="K15" s="64">
        <v>2217</v>
      </c>
      <c r="N15" s="1" t="str">
        <f t="shared" si="0"/>
        <v>YESIncandescent and HalogenModerate and High-use InteriorReflectors and Outdoor665 to 1439 lumens</v>
      </c>
      <c r="O15" s="1" t="str">
        <f t="shared" si="0"/>
        <v>YESIncandescent and HalogenLow-use InteriorReflectors and Outdoor665 to 1439 lumens</v>
      </c>
      <c r="P15" s="1" t="str">
        <f t="shared" si="0"/>
        <v>YESIncandescent and HalogenExteriorReflectors and Outdoor665 to 1439 lumens</v>
      </c>
      <c r="R15" s="1" t="str">
        <f t="shared" si="1"/>
        <v>Compact FluorescentReflectors and Outdoor665 to 1439 lumens</v>
      </c>
      <c r="S15" s="1" t="str">
        <f t="shared" si="1"/>
        <v>Compact FluorescentReflectors and Outdoor665 to 1439 lumens</v>
      </c>
      <c r="T15" s="1" t="str">
        <f t="shared" si="1"/>
        <v>LEDReflectors and Outdoor665 to 1439 lumens</v>
      </c>
      <c r="U15" s="1" t="str">
        <f t="shared" si="1"/>
        <v>LEDReflectors and Outdoor665 to 1439 lumens</v>
      </c>
    </row>
    <row r="16" spans="1:21" ht="13.5" thickBot="1">
      <c r="A16" s="56" t="s">
        <v>36</v>
      </c>
      <c r="B16" s="57" t="str">
        <f t="shared" si="3"/>
        <v>1440 to 2600 lumens</v>
      </c>
      <c r="C16" s="388"/>
      <c r="D16" s="65" t="str">
        <f t="shared" si="2"/>
        <v>1440 to 2600 lumens</v>
      </c>
      <c r="E16" s="66">
        <v>42</v>
      </c>
      <c r="F16" s="67">
        <v>80</v>
      </c>
      <c r="G16" s="68">
        <v>205</v>
      </c>
      <c r="H16" s="66">
        <v>0</v>
      </c>
      <c r="I16" s="68">
        <v>10</v>
      </c>
      <c r="J16" s="66">
        <v>17</v>
      </c>
      <c r="K16" s="68">
        <v>0</v>
      </c>
      <c r="N16" s="1" t="str">
        <f t="shared" si="0"/>
        <v>YESIncandescent and HalogenModerate and High-use InteriorReflectors and Outdoor1440 to 2600 lumens</v>
      </c>
      <c r="O16" s="1" t="str">
        <f t="shared" si="0"/>
        <v>YESIncandescent and HalogenLow-use InteriorReflectors and Outdoor1440 to 2600 lumens</v>
      </c>
      <c r="P16" s="1" t="str">
        <f t="shared" si="0"/>
        <v>YESIncandescent and HalogenExteriorReflectors and Outdoor1440 to 2600 lumens</v>
      </c>
      <c r="R16" s="1" t="str">
        <f t="shared" si="1"/>
        <v>Compact FluorescentReflectors and Outdoor1440 to 2600 lumens</v>
      </c>
      <c r="S16" s="1" t="str">
        <f t="shared" si="1"/>
        <v>Compact FluorescentReflectors and Outdoor1440 to 2600 lumens</v>
      </c>
      <c r="T16" s="1" t="str">
        <f t="shared" si="1"/>
        <v>LEDReflectors and Outdoor1440 to 2600 lumens</v>
      </c>
      <c r="U16" s="1" t="str">
        <f t="shared" si="1"/>
        <v>LEDReflectors and Outdoor1440 to 2600 lumens</v>
      </c>
    </row>
    <row r="17" spans="1:43">
      <c r="A17" s="56" t="s">
        <v>37</v>
      </c>
      <c r="B17" s="57" t="str">
        <f t="shared" si="3"/>
        <v>250 to 664 lumens</v>
      </c>
      <c r="C17" s="389" t="str">
        <f>A17</f>
        <v>Three-Way</v>
      </c>
      <c r="D17" s="69" t="str">
        <f t="shared" si="2"/>
        <v>250 to 664 lumens</v>
      </c>
      <c r="E17" s="70">
        <v>6</v>
      </c>
      <c r="F17" s="71">
        <v>1</v>
      </c>
      <c r="G17" s="77">
        <v>0</v>
      </c>
      <c r="H17" s="70">
        <v>0</v>
      </c>
      <c r="I17" s="72">
        <v>0</v>
      </c>
      <c r="J17" s="70">
        <v>0</v>
      </c>
      <c r="K17" s="72">
        <v>0</v>
      </c>
      <c r="N17" s="1" t="str">
        <f t="shared" si="0"/>
        <v>YESIncandescent and HalogenModerate and High-use InteriorThree-Way250 to 664 lumens</v>
      </c>
      <c r="O17" s="1" t="str">
        <f t="shared" si="0"/>
        <v>YESIncandescent and HalogenLow-use InteriorThree-Way250 to 664 lumens</v>
      </c>
      <c r="P17" s="1" t="str">
        <f t="shared" si="0"/>
        <v>YESIncandescent and HalogenExteriorThree-Way250 to 664 lumens</v>
      </c>
      <c r="R17" s="1" t="str">
        <f t="shared" si="1"/>
        <v>Compact FluorescentThree-Way250 to 664 lumens</v>
      </c>
      <c r="S17" s="1" t="str">
        <f t="shared" si="1"/>
        <v>Compact FluorescentThree-Way250 to 664 lumens</v>
      </c>
      <c r="T17" s="1" t="str">
        <f t="shared" si="1"/>
        <v>LEDThree-Way250 to 664 lumens</v>
      </c>
      <c r="U17" s="1" t="str">
        <f t="shared" si="1"/>
        <v>LEDThree-Way250 to 664 lumens</v>
      </c>
    </row>
    <row r="18" spans="1:43">
      <c r="A18" s="56" t="s">
        <v>37</v>
      </c>
      <c r="B18" s="57" t="str">
        <f t="shared" si="3"/>
        <v>665 to 1439 lumens</v>
      </c>
      <c r="C18" s="387"/>
      <c r="D18" s="57" t="str">
        <f t="shared" si="2"/>
        <v>665 to 1439 lumens</v>
      </c>
      <c r="E18" s="62">
        <v>105</v>
      </c>
      <c r="F18" s="63">
        <v>3</v>
      </c>
      <c r="G18" s="78">
        <v>0</v>
      </c>
      <c r="H18" s="62">
        <v>0</v>
      </c>
      <c r="I18" s="64">
        <v>4816</v>
      </c>
      <c r="J18" s="62">
        <v>0</v>
      </c>
      <c r="K18" s="64">
        <v>0</v>
      </c>
      <c r="N18" s="1" t="str">
        <f t="shared" si="0"/>
        <v>YESIncandescent and HalogenModerate and High-use InteriorThree-Way665 to 1439 lumens</v>
      </c>
      <c r="O18" s="1" t="str">
        <f t="shared" si="0"/>
        <v>YESIncandescent and HalogenLow-use InteriorThree-Way665 to 1439 lumens</v>
      </c>
      <c r="P18" s="1" t="str">
        <f t="shared" si="0"/>
        <v>YESIncandescent and HalogenExteriorThree-Way665 to 1439 lumens</v>
      </c>
      <c r="R18" s="1" t="str">
        <f t="shared" si="1"/>
        <v>Compact FluorescentThree-Way665 to 1439 lumens</v>
      </c>
      <c r="S18" s="1" t="str">
        <f t="shared" si="1"/>
        <v>Compact FluorescentThree-Way665 to 1439 lumens</v>
      </c>
      <c r="T18" s="1" t="str">
        <f t="shared" si="1"/>
        <v>LEDThree-Way665 to 1439 lumens</v>
      </c>
      <c r="U18" s="1" t="str">
        <f t="shared" si="1"/>
        <v>LEDThree-Way665 to 1439 lumens</v>
      </c>
    </row>
    <row r="19" spans="1:43" ht="13.5" thickBot="1">
      <c r="A19" s="56" t="s">
        <v>37</v>
      </c>
      <c r="B19" s="57" t="str">
        <f t="shared" si="3"/>
        <v>1440 to 2600 lumens</v>
      </c>
      <c r="C19" s="388"/>
      <c r="D19" s="65" t="str">
        <f t="shared" si="2"/>
        <v>1440 to 2600 lumens</v>
      </c>
      <c r="E19" s="66">
        <v>528</v>
      </c>
      <c r="F19" s="67">
        <v>46</v>
      </c>
      <c r="G19" s="68">
        <v>2</v>
      </c>
      <c r="H19" s="66">
        <v>9</v>
      </c>
      <c r="I19" s="68">
        <v>3810</v>
      </c>
      <c r="J19" s="66">
        <v>0</v>
      </c>
      <c r="K19" s="68">
        <v>0</v>
      </c>
      <c r="N19" s="1" t="str">
        <f t="shared" si="0"/>
        <v>YESIncandescent and HalogenModerate and High-use InteriorThree-Way1440 to 2600 lumens</v>
      </c>
      <c r="O19" s="1" t="str">
        <f t="shared" si="0"/>
        <v>YESIncandescent and HalogenLow-use InteriorThree-Way1440 to 2600 lumens</v>
      </c>
      <c r="P19" s="1" t="str">
        <f t="shared" si="0"/>
        <v>YESIncandescent and HalogenExteriorThree-Way1440 to 2600 lumens</v>
      </c>
      <c r="R19" s="1" t="str">
        <f t="shared" si="1"/>
        <v>Compact FluorescentThree-Way1440 to 2600 lumens</v>
      </c>
      <c r="S19" s="1" t="str">
        <f t="shared" si="1"/>
        <v>Compact FluorescentThree-Way1440 to 2600 lumens</v>
      </c>
      <c r="T19" s="1" t="str">
        <f t="shared" si="1"/>
        <v>LEDThree-Way1440 to 2600 lumens</v>
      </c>
      <c r="U19" s="1" t="str">
        <f t="shared" si="1"/>
        <v>LEDThree-Way1440 to 2600 lumens</v>
      </c>
    </row>
    <row r="20" spans="1:43">
      <c r="A20" s="2" t="s">
        <v>80</v>
      </c>
    </row>
    <row r="22" spans="1:43">
      <c r="B22" s="2"/>
      <c r="E22" s="79" t="s">
        <v>81</v>
      </c>
      <c r="F22" s="79"/>
      <c r="G22" s="79"/>
      <c r="I22" s="80" t="s">
        <v>82</v>
      </c>
      <c r="J22" s="80"/>
      <c r="K22" s="80"/>
      <c r="M22" s="81" t="s">
        <v>83</v>
      </c>
      <c r="N22" s="81"/>
      <c r="O22" s="81"/>
      <c r="Q22" s="35" t="s">
        <v>84</v>
      </c>
      <c r="R22" s="35"/>
      <c r="S22" s="35"/>
      <c r="U22" s="82" t="s">
        <v>85</v>
      </c>
      <c r="V22" s="82"/>
      <c r="W22" s="82"/>
      <c r="Y22" s="83" t="s">
        <v>86</v>
      </c>
      <c r="Z22" s="83"/>
      <c r="AA22" s="83"/>
      <c r="AB22" s="2"/>
      <c r="AC22" s="33" t="s">
        <v>87</v>
      </c>
      <c r="AD22" s="33"/>
      <c r="AE22" s="33"/>
      <c r="AF22" s="2"/>
      <c r="AG22" s="79" t="s">
        <v>88</v>
      </c>
      <c r="AH22" s="79"/>
      <c r="AI22" s="79"/>
      <c r="AJ22" s="2"/>
      <c r="AK22" s="2"/>
      <c r="AL22" s="2"/>
      <c r="AM22" s="2"/>
      <c r="AO22" s="36" t="s">
        <v>89</v>
      </c>
      <c r="AP22" s="84"/>
      <c r="AQ22" s="84"/>
    </row>
    <row r="23" spans="1:43">
      <c r="AO23" s="17" t="s">
        <v>90</v>
      </c>
    </row>
    <row r="24" spans="1:43" ht="38.25">
      <c r="A24" s="40" t="s">
        <v>24</v>
      </c>
      <c r="B24" s="17" t="s">
        <v>25</v>
      </c>
      <c r="C24" s="17" t="s">
        <v>91</v>
      </c>
      <c r="E24" s="40" t="str">
        <f>AO24</f>
        <v>250 to 664 lumens</v>
      </c>
      <c r="F24" s="40" t="str">
        <f>AP24</f>
        <v>665 to 1439 lumens</v>
      </c>
      <c r="G24" s="40" t="str">
        <f>AQ24</f>
        <v>1440 to 2600 lumens</v>
      </c>
      <c r="I24" s="40" t="str">
        <f>E24</f>
        <v>250 to 664 lumens</v>
      </c>
      <c r="J24" s="40" t="str">
        <f>F24</f>
        <v>665 to 1439 lumens</v>
      </c>
      <c r="K24" s="40" t="str">
        <f>G24</f>
        <v>1440 to 2600 lumens</v>
      </c>
      <c r="M24" s="40" t="str">
        <f>I24</f>
        <v>250 to 664 lumens</v>
      </c>
      <c r="N24" s="40" t="str">
        <f>J24</f>
        <v>665 to 1439 lumens</v>
      </c>
      <c r="O24" s="40" t="str">
        <f>K24</f>
        <v>1440 to 2600 lumens</v>
      </c>
      <c r="Q24" s="40" t="str">
        <f>M24</f>
        <v>250 to 664 lumens</v>
      </c>
      <c r="R24" s="40" t="str">
        <f>N24</f>
        <v>665 to 1439 lumens</v>
      </c>
      <c r="S24" s="40" t="str">
        <f>O24</f>
        <v>1440 to 2600 lumens</v>
      </c>
      <c r="U24" s="40" t="str">
        <f>Q24</f>
        <v>250 to 664 lumens</v>
      </c>
      <c r="V24" s="40" t="str">
        <f>R24</f>
        <v>665 to 1439 lumens</v>
      </c>
      <c r="W24" s="40" t="str">
        <f>S24</f>
        <v>1440 to 2600 lumens</v>
      </c>
      <c r="Y24" s="40" t="str">
        <f>U24</f>
        <v>250 to 664 lumens</v>
      </c>
      <c r="Z24" s="40" t="str">
        <f>V24</f>
        <v>665 to 1439 lumens</v>
      </c>
      <c r="AA24" s="40" t="str">
        <f>W24</f>
        <v>1440 to 2600 lumens</v>
      </c>
      <c r="AC24" s="40" t="str">
        <f>Y24</f>
        <v>250 to 664 lumens</v>
      </c>
      <c r="AD24" s="40" t="str">
        <f>Z24</f>
        <v>665 to 1439 lumens</v>
      </c>
      <c r="AE24" s="40" t="str">
        <f>AA24</f>
        <v>1440 to 2600 lumens</v>
      </c>
      <c r="AG24" s="40" t="str">
        <f>AC24</f>
        <v>250 to 664 lumens</v>
      </c>
      <c r="AH24" s="40" t="str">
        <f>AD24</f>
        <v>665 to 1439 lumens</v>
      </c>
      <c r="AI24" s="40" t="str">
        <f>AE24</f>
        <v>1440 to 2600 lumens</v>
      </c>
      <c r="AO24" s="17" t="s">
        <v>30</v>
      </c>
      <c r="AP24" s="17" t="s">
        <v>33</v>
      </c>
      <c r="AQ24" s="17" t="s">
        <v>35</v>
      </c>
    </row>
    <row r="25" spans="1:43">
      <c r="A25" s="2" t="s">
        <v>92</v>
      </c>
      <c r="B25" s="1" t="s">
        <v>29</v>
      </c>
      <c r="C25" s="1" t="s">
        <v>107</v>
      </c>
      <c r="D25" s="2" t="s">
        <v>93</v>
      </c>
      <c r="E25" s="85">
        <v>1386</v>
      </c>
      <c r="F25" s="85">
        <v>353</v>
      </c>
      <c r="G25" s="85">
        <v>11</v>
      </c>
      <c r="I25" s="85">
        <v>11776369.003051758</v>
      </c>
      <c r="J25" s="85">
        <v>3175719.436126709</v>
      </c>
      <c r="K25" s="85">
        <v>32662.220947265625</v>
      </c>
      <c r="M25" s="86">
        <f>I25/SUM($I$25:$K$39)</f>
        <v>7.1021317616213733E-2</v>
      </c>
      <c r="N25" s="86">
        <f t="shared" ref="N25:O39" si="4">J25/SUM($I$25:$K$39)</f>
        <v>1.9152234332559567E-2</v>
      </c>
      <c r="O25" s="86">
        <f t="shared" si="4"/>
        <v>1.969804077424514E-4</v>
      </c>
      <c r="Q25" s="87">
        <v>30.675077934847064</v>
      </c>
      <c r="R25" s="87">
        <v>51.04229769567479</v>
      </c>
      <c r="S25" s="87">
        <v>76.804923078620405</v>
      </c>
      <c r="U25" s="88">
        <v>1.6375533129989499</v>
      </c>
      <c r="V25" s="88">
        <v>2.3191607170177666</v>
      </c>
      <c r="W25" s="88">
        <v>1.9358048240815668</v>
      </c>
      <c r="Y25" s="89">
        <v>1.8778190742054386</v>
      </c>
      <c r="Z25" s="89">
        <v>1.8804218456730055</v>
      </c>
      <c r="AA25" s="89">
        <v>1.5547508661637728</v>
      </c>
      <c r="AC25" s="89">
        <v>1.5095454652747782</v>
      </c>
      <c r="AD25" s="89">
        <v>1.5058120967497639</v>
      </c>
      <c r="AE25" s="89">
        <v>1.7796066159004127</v>
      </c>
      <c r="AG25" s="86">
        <v>0.99872487388014086</v>
      </c>
      <c r="AH25" s="86">
        <v>0.99245798531212559</v>
      </c>
      <c r="AI25" s="86">
        <v>1</v>
      </c>
      <c r="AO25" s="1" t="str">
        <f t="shared" ref="AO25:AQ39" si="5">CONCATENATE("YES","Incandescent and Halogen",$C25,$B25,AO$24)</f>
        <v>YESIncandescent and HalogenModerate and High-use InteriorDecorative and Mini-Base250 to 664 lumens</v>
      </c>
      <c r="AP25" s="1" t="str">
        <f t="shared" si="5"/>
        <v>YESIncandescent and HalogenModerate and High-use InteriorDecorative and Mini-Base665 to 1439 lumens</v>
      </c>
      <c r="AQ25" s="1" t="str">
        <f t="shared" si="5"/>
        <v>YESIncandescent and HalogenModerate and High-use InteriorDecorative and Mini-Base1440 to 2600 lumens</v>
      </c>
    </row>
    <row r="26" spans="1:43">
      <c r="A26" s="2" t="s">
        <v>92</v>
      </c>
      <c r="B26" s="1" t="s">
        <v>29</v>
      </c>
      <c r="C26" s="1" t="s">
        <v>108</v>
      </c>
      <c r="D26" s="2" t="s">
        <v>93</v>
      </c>
      <c r="E26" s="85">
        <v>494</v>
      </c>
      <c r="F26" s="85">
        <v>179</v>
      </c>
      <c r="G26" s="85">
        <v>5</v>
      </c>
      <c r="I26" s="85">
        <v>6086875.352722168</v>
      </c>
      <c r="J26" s="85">
        <v>1474350.2520751953</v>
      </c>
      <c r="K26" s="85">
        <v>25515.093322753906</v>
      </c>
      <c r="M26" s="86">
        <f t="shared" ref="M26:M39" si="6">I26/SUM($I$25:$K$39)</f>
        <v>3.6708930197750879E-2</v>
      </c>
      <c r="N26" s="86">
        <f t="shared" si="4"/>
        <v>8.8915605058776884E-3</v>
      </c>
      <c r="O26" s="86">
        <f t="shared" si="4"/>
        <v>1.5387727290245773E-4</v>
      </c>
      <c r="Q26" s="87">
        <v>31.056288641409019</v>
      </c>
      <c r="R26" s="87">
        <v>51.344297637180865</v>
      </c>
      <c r="S26" s="87">
        <v>81.130253171012356</v>
      </c>
      <c r="U26" s="88">
        <v>1.5575459676625192</v>
      </c>
      <c r="V26" s="88">
        <v>2.3221059188713338</v>
      </c>
      <c r="W26" s="88">
        <v>2.0575519860417137</v>
      </c>
      <c r="Y26" s="89">
        <v>1.3229876854451406</v>
      </c>
      <c r="Z26" s="89">
        <v>1.3336464384083153</v>
      </c>
      <c r="AA26" s="89">
        <v>1.348912070558995</v>
      </c>
      <c r="AC26" s="89">
        <v>2.073532260621286</v>
      </c>
      <c r="AD26" s="89">
        <v>2.0584970385035781</v>
      </c>
      <c r="AE26" s="89">
        <v>2.0340950641098092</v>
      </c>
      <c r="AG26" s="86">
        <v>0.99647057209171652</v>
      </c>
      <c r="AH26" s="86">
        <v>0.99835685960665377</v>
      </c>
      <c r="AI26" s="86">
        <v>1</v>
      </c>
      <c r="AO26" s="1" t="str">
        <f t="shared" si="5"/>
        <v>YESIncandescent and HalogenLow-use InteriorDecorative and Mini-Base250 to 664 lumens</v>
      </c>
      <c r="AP26" s="1" t="str">
        <f t="shared" si="5"/>
        <v>YESIncandescent and HalogenLow-use InteriorDecorative and Mini-Base665 to 1439 lumens</v>
      </c>
      <c r="AQ26" s="1" t="str">
        <f t="shared" si="5"/>
        <v>YESIncandescent and HalogenLow-use InteriorDecorative and Mini-Base1440 to 2600 lumens</v>
      </c>
    </row>
    <row r="27" spans="1:43">
      <c r="A27" s="2" t="s">
        <v>92</v>
      </c>
      <c r="B27" s="1" t="s">
        <v>29</v>
      </c>
      <c r="C27" s="1" t="s">
        <v>109</v>
      </c>
      <c r="D27" s="2" t="s">
        <v>93</v>
      </c>
      <c r="E27" s="85">
        <v>70</v>
      </c>
      <c r="F27" s="85">
        <v>33</v>
      </c>
      <c r="G27" s="85">
        <v>1</v>
      </c>
      <c r="I27" s="85">
        <v>901802.85900878906</v>
      </c>
      <c r="J27" s="85">
        <v>442365.6650390625</v>
      </c>
      <c r="K27" s="85">
        <v>4956.49267578125</v>
      </c>
      <c r="M27" s="86">
        <f t="shared" si="6"/>
        <v>5.4386226569730833E-3</v>
      </c>
      <c r="N27" s="86">
        <f t="shared" si="4"/>
        <v>2.6678335564302791E-3</v>
      </c>
      <c r="O27" s="86">
        <f t="shared" si="4"/>
        <v>2.9891780777069292E-5</v>
      </c>
      <c r="Q27" s="87">
        <v>30.0120387457291</v>
      </c>
      <c r="R27" s="87">
        <v>49.025617616599845</v>
      </c>
      <c r="S27" s="87">
        <v>150</v>
      </c>
      <c r="U27" s="88">
        <v>1.8433087783360134</v>
      </c>
      <c r="V27" s="88">
        <v>2.3053102965627406</v>
      </c>
      <c r="W27" s="88">
        <v>2.4073553266397183</v>
      </c>
      <c r="Y27" s="89">
        <v>3.7999999999999989</v>
      </c>
      <c r="Z27" s="89">
        <v>3.7999999999999994</v>
      </c>
      <c r="AA27" s="89">
        <v>3.8000000000000003</v>
      </c>
      <c r="AC27" s="89">
        <v>0.72048704924528983</v>
      </c>
      <c r="AD27" s="89">
        <v>0.72048704924529017</v>
      </c>
      <c r="AE27" s="89">
        <v>0.72048704924528983</v>
      </c>
      <c r="AG27" s="86">
        <v>0</v>
      </c>
      <c r="AH27" s="86">
        <v>0</v>
      </c>
      <c r="AI27" s="86">
        <v>0</v>
      </c>
      <c r="AO27" s="1" t="str">
        <f t="shared" si="5"/>
        <v>YESIncandescent and HalogenExteriorDecorative and Mini-Base250 to 664 lumens</v>
      </c>
      <c r="AP27" s="1" t="str">
        <f t="shared" si="5"/>
        <v>YESIncandescent and HalogenExteriorDecorative and Mini-Base665 to 1439 lumens</v>
      </c>
      <c r="AQ27" s="1" t="str">
        <f t="shared" si="5"/>
        <v>YESIncandescent and HalogenExteriorDecorative and Mini-Base1440 to 2600 lumens</v>
      </c>
    </row>
    <row r="28" spans="1:43">
      <c r="A28" s="2" t="s">
        <v>92</v>
      </c>
      <c r="B28" s="1" t="s">
        <v>32</v>
      </c>
      <c r="C28" s="1" t="str">
        <f>C25</f>
        <v>Moderate and High-use Interior</v>
      </c>
      <c r="D28" s="2" t="s">
        <v>93</v>
      </c>
      <c r="E28" s="85">
        <v>1738</v>
      </c>
      <c r="F28" s="85">
        <v>7807</v>
      </c>
      <c r="G28" s="85">
        <v>1190</v>
      </c>
      <c r="I28" s="85">
        <v>8304890.3674621582</v>
      </c>
      <c r="J28" s="85">
        <v>39243611.453186035</v>
      </c>
      <c r="K28" s="85">
        <v>4833886.5715637207</v>
      </c>
      <c r="M28" s="86">
        <f t="shared" si="6"/>
        <v>5.0085408872846578E-2</v>
      </c>
      <c r="N28" s="86">
        <f t="shared" si="4"/>
        <v>0.23667167636321038</v>
      </c>
      <c r="O28" s="86">
        <f t="shared" si="4"/>
        <v>2.9152363808471991E-2</v>
      </c>
      <c r="Q28" s="87">
        <v>28.659934726296637</v>
      </c>
      <c r="R28" s="87">
        <v>44.044164513115831</v>
      </c>
      <c r="S28" s="87">
        <v>72.032332122946542</v>
      </c>
      <c r="U28" s="88">
        <v>2.3113818045229335</v>
      </c>
      <c r="V28" s="88">
        <v>2.263858399523309</v>
      </c>
      <c r="W28" s="88">
        <v>1.8882973008214836</v>
      </c>
      <c r="Y28" s="89">
        <v>1.875254299274449</v>
      </c>
      <c r="Z28" s="89">
        <v>1.8317154105384106</v>
      </c>
      <c r="AA28" s="89">
        <v>1.9142200018370514</v>
      </c>
      <c r="AC28" s="89">
        <v>1.5213775325809218</v>
      </c>
      <c r="AD28" s="89">
        <v>1.5547177883791552</v>
      </c>
      <c r="AE28" s="89">
        <v>1.4847518324649827</v>
      </c>
      <c r="AG28" s="86">
        <v>0.9440802050073801</v>
      </c>
      <c r="AH28" s="86">
        <v>0.90537835122374954</v>
      </c>
      <c r="AI28" s="86">
        <v>0.8530697008989776</v>
      </c>
      <c r="AO28" s="1" t="str">
        <f t="shared" si="5"/>
        <v>YESIncandescent and HalogenModerate and High-use InteriorGeneral Purpose and Dimmable250 to 664 lumens</v>
      </c>
      <c r="AP28" s="1" t="str">
        <f t="shared" si="5"/>
        <v>YESIncandescent and HalogenModerate and High-use InteriorGeneral Purpose and Dimmable665 to 1439 lumens</v>
      </c>
      <c r="AQ28" s="1" t="str">
        <f t="shared" si="5"/>
        <v>YESIncandescent and HalogenModerate and High-use InteriorGeneral Purpose and Dimmable1440 to 2600 lumens</v>
      </c>
    </row>
    <row r="29" spans="1:43">
      <c r="A29" s="2" t="s">
        <v>92</v>
      </c>
      <c r="B29" s="1" t="s">
        <v>32</v>
      </c>
      <c r="C29" s="1" t="str">
        <f t="shared" ref="C29:C39" si="7">C26</f>
        <v>Low-use Interior</v>
      </c>
      <c r="D29" s="2" t="s">
        <v>93</v>
      </c>
      <c r="E29" s="85">
        <v>934</v>
      </c>
      <c r="F29" s="85">
        <v>4623</v>
      </c>
      <c r="G29" s="85">
        <v>485</v>
      </c>
      <c r="I29" s="85">
        <v>5742786.5003356934</v>
      </c>
      <c r="J29" s="85">
        <v>23502341.87802124</v>
      </c>
      <c r="K29" s="85">
        <v>2083868.2407226563</v>
      </c>
      <c r="M29" s="86">
        <f t="shared" si="6"/>
        <v>3.4633787709671106E-2</v>
      </c>
      <c r="N29" s="86">
        <f t="shared" si="4"/>
        <v>0.14173870458808105</v>
      </c>
      <c r="O29" s="86">
        <f t="shared" si="4"/>
        <v>1.2567461851471489E-2</v>
      </c>
      <c r="Q29" s="87">
        <v>28.705298967647401</v>
      </c>
      <c r="R29" s="87">
        <v>44.015717484635118</v>
      </c>
      <c r="S29" s="87">
        <v>72</v>
      </c>
      <c r="U29" s="88">
        <v>2.3287270282193013</v>
      </c>
      <c r="V29" s="88">
        <v>2.2630954365249663</v>
      </c>
      <c r="W29" s="88">
        <v>1.8882973008214881</v>
      </c>
      <c r="Y29" s="89">
        <v>1.3231501920856423</v>
      </c>
      <c r="Z29" s="89">
        <v>1.3404906259685949</v>
      </c>
      <c r="AA29" s="89">
        <v>1.3590750905744515</v>
      </c>
      <c r="AC29" s="89">
        <v>2.0729918330982953</v>
      </c>
      <c r="AD29" s="89">
        <v>2.0482526878023872</v>
      </c>
      <c r="AE29" s="89">
        <v>2.0223214606050539</v>
      </c>
      <c r="AG29" s="86">
        <v>0.97031964935798609</v>
      </c>
      <c r="AH29" s="86">
        <v>0.97992771969263459</v>
      </c>
      <c r="AI29" s="86">
        <v>0.9381422804473778</v>
      </c>
      <c r="AO29" s="1" t="str">
        <f t="shared" si="5"/>
        <v>YESIncandescent and HalogenLow-use InteriorGeneral Purpose and Dimmable250 to 664 lumens</v>
      </c>
      <c r="AP29" s="1" t="str">
        <f t="shared" si="5"/>
        <v>YESIncandescent and HalogenLow-use InteriorGeneral Purpose and Dimmable665 to 1439 lumens</v>
      </c>
      <c r="AQ29" s="1" t="str">
        <f t="shared" si="5"/>
        <v>YESIncandescent and HalogenLow-use InteriorGeneral Purpose and Dimmable1440 to 2600 lumens</v>
      </c>
    </row>
    <row r="30" spans="1:43">
      <c r="A30" s="2" t="s">
        <v>92</v>
      </c>
      <c r="B30" s="1" t="s">
        <v>32</v>
      </c>
      <c r="C30" s="1" t="str">
        <f t="shared" si="7"/>
        <v>Exterior</v>
      </c>
      <c r="D30" s="2" t="s">
        <v>93</v>
      </c>
      <c r="E30" s="85">
        <v>100</v>
      </c>
      <c r="F30" s="85">
        <v>1025</v>
      </c>
      <c r="G30" s="85">
        <v>153</v>
      </c>
      <c r="I30" s="85">
        <v>596595.53149414063</v>
      </c>
      <c r="J30" s="85">
        <v>7086501.9652709961</v>
      </c>
      <c r="K30" s="85">
        <v>903905.42059326172</v>
      </c>
      <c r="M30" s="86">
        <f t="shared" si="6"/>
        <v>3.5979681614663295E-3</v>
      </c>
      <c r="N30" s="86">
        <f t="shared" si="4"/>
        <v>4.2737511599119364E-2</v>
      </c>
      <c r="O30" s="86">
        <f t="shared" si="4"/>
        <v>5.4513028552633878E-3</v>
      </c>
      <c r="Q30" s="87">
        <v>28.64730351737494</v>
      </c>
      <c r="R30" s="87">
        <v>44.825658620226143</v>
      </c>
      <c r="S30" s="87">
        <v>72.117270458728683</v>
      </c>
      <c r="U30" s="88">
        <v>2.305493958423809</v>
      </c>
      <c r="V30" s="88">
        <v>2.27399488321903</v>
      </c>
      <c r="W30" s="88">
        <v>1.8882973008214876</v>
      </c>
      <c r="Y30" s="89">
        <v>3.7999999999999985</v>
      </c>
      <c r="Z30" s="89">
        <v>3.8000000000000234</v>
      </c>
      <c r="AA30" s="89">
        <v>3.799999999999998</v>
      </c>
      <c r="AC30" s="89">
        <v>0.72048704924529039</v>
      </c>
      <c r="AD30" s="89">
        <v>0.72048704924528584</v>
      </c>
      <c r="AE30" s="89">
        <v>0.72048704924528872</v>
      </c>
      <c r="AG30" s="86">
        <v>0</v>
      </c>
      <c r="AH30" s="86">
        <v>0</v>
      </c>
      <c r="AI30" s="86">
        <v>0</v>
      </c>
      <c r="AO30" s="1" t="str">
        <f t="shared" si="5"/>
        <v>YESIncandescent and HalogenExteriorGeneral Purpose and Dimmable250 to 664 lumens</v>
      </c>
      <c r="AP30" s="1" t="str">
        <f t="shared" si="5"/>
        <v>YESIncandescent and HalogenExteriorGeneral Purpose and Dimmable665 to 1439 lumens</v>
      </c>
      <c r="AQ30" s="1" t="str">
        <f t="shared" si="5"/>
        <v>YESIncandescent and HalogenExteriorGeneral Purpose and Dimmable1440 to 2600 lumens</v>
      </c>
    </row>
    <row r="31" spans="1:43">
      <c r="A31" s="2" t="s">
        <v>92</v>
      </c>
      <c r="B31" s="1" t="s">
        <v>34</v>
      </c>
      <c r="C31" s="1" t="str">
        <f t="shared" si="7"/>
        <v>Moderate and High-use Interior</v>
      </c>
      <c r="D31" s="2" t="s">
        <v>93</v>
      </c>
      <c r="E31" s="85">
        <v>163</v>
      </c>
      <c r="F31" s="85">
        <v>143</v>
      </c>
      <c r="G31" s="85">
        <v>42</v>
      </c>
      <c r="I31" s="85">
        <v>1169879.102722168</v>
      </c>
      <c r="J31" s="85">
        <v>667544.07534790039</v>
      </c>
      <c r="K31" s="85">
        <v>246091.42346191406</v>
      </c>
      <c r="M31" s="86">
        <f t="shared" si="6"/>
        <v>7.0553457780977323E-3</v>
      </c>
      <c r="N31" s="86">
        <f t="shared" si="4"/>
        <v>4.0258469979854595E-3</v>
      </c>
      <c r="O31" s="86">
        <f t="shared" si="4"/>
        <v>1.4841363364026319E-3</v>
      </c>
      <c r="Q31" s="87">
        <v>28.584772966286732</v>
      </c>
      <c r="R31" s="87">
        <v>44.545756322255947</v>
      </c>
      <c r="S31" s="87">
        <v>72</v>
      </c>
      <c r="U31" s="88">
        <v>2.1746741426522349</v>
      </c>
      <c r="V31" s="88">
        <v>4.6901251814495462</v>
      </c>
      <c r="W31" s="88">
        <v>5.575399139392359</v>
      </c>
      <c r="Y31" s="89">
        <v>1.8922912764645765</v>
      </c>
      <c r="Z31" s="89">
        <v>1.9122475820063312</v>
      </c>
      <c r="AA31" s="89">
        <v>1.9830458721583719</v>
      </c>
      <c r="AC31" s="89">
        <v>1.5058790165203084</v>
      </c>
      <c r="AD31" s="89">
        <v>1.486945675141198</v>
      </c>
      <c r="AE31" s="89">
        <v>1.421815806184936</v>
      </c>
      <c r="AG31" s="86">
        <v>0.99111022069133803</v>
      </c>
      <c r="AH31" s="86">
        <v>0.97695829612860063</v>
      </c>
      <c r="AI31" s="86">
        <v>0.90083080453090458</v>
      </c>
      <c r="AO31" s="1" t="str">
        <f t="shared" si="5"/>
        <v>YESIncandescent and HalogenModerate and High-use InteriorGlobe250 to 664 lumens</v>
      </c>
      <c r="AP31" s="1" t="str">
        <f t="shared" si="5"/>
        <v>YESIncandescent and HalogenModerate and High-use InteriorGlobe665 to 1439 lumens</v>
      </c>
      <c r="AQ31" s="1" t="str">
        <f t="shared" si="5"/>
        <v>YESIncandescent and HalogenModerate and High-use InteriorGlobe1440 to 2600 lumens</v>
      </c>
    </row>
    <row r="32" spans="1:43">
      <c r="A32" s="2" t="s">
        <v>92</v>
      </c>
      <c r="B32" s="1" t="s">
        <v>34</v>
      </c>
      <c r="C32" s="1" t="str">
        <f t="shared" si="7"/>
        <v>Low-use Interior</v>
      </c>
      <c r="D32" s="2" t="s">
        <v>93</v>
      </c>
      <c r="E32" s="85">
        <v>691</v>
      </c>
      <c r="F32" s="85">
        <v>405</v>
      </c>
      <c r="G32" s="85">
        <v>17</v>
      </c>
      <c r="I32" s="85">
        <v>8717793.4221191406</v>
      </c>
      <c r="J32" s="85">
        <v>4553089.017578125</v>
      </c>
      <c r="K32" s="85">
        <v>143074.95886230469</v>
      </c>
      <c r="M32" s="86">
        <f t="shared" si="6"/>
        <v>5.2575558339282201E-2</v>
      </c>
      <c r="N32" s="86">
        <f t="shared" si="4"/>
        <v>2.7458920586516316E-2</v>
      </c>
      <c r="O32" s="86">
        <f t="shared" si="4"/>
        <v>8.6286121754958688E-4</v>
      </c>
      <c r="Q32" s="87">
        <v>28.714586615662693</v>
      </c>
      <c r="R32" s="87">
        <v>43.292879245169587</v>
      </c>
      <c r="S32" s="87">
        <v>72</v>
      </c>
      <c r="U32" s="88">
        <v>2.1746741426522327</v>
      </c>
      <c r="V32" s="88">
        <v>4.8056123158102535</v>
      </c>
      <c r="W32" s="88">
        <v>5.575399139392359</v>
      </c>
      <c r="Y32" s="89">
        <v>1.3034700502773071</v>
      </c>
      <c r="Z32" s="89">
        <v>1.3020853555886207</v>
      </c>
      <c r="AA32" s="89">
        <v>1.3116030166022594</v>
      </c>
      <c r="AC32" s="89">
        <v>2.1010788361014541</v>
      </c>
      <c r="AD32" s="89">
        <v>2.1030665428210464</v>
      </c>
      <c r="AE32" s="89">
        <v>2.089748129518231</v>
      </c>
      <c r="AG32" s="86">
        <v>0.99977015794259494</v>
      </c>
      <c r="AH32" s="86">
        <v>0.9965146316978637</v>
      </c>
      <c r="AI32" s="86">
        <v>0.9499854745458165</v>
      </c>
      <c r="AO32" s="1" t="str">
        <f t="shared" si="5"/>
        <v>YESIncandescent and HalogenLow-use InteriorGlobe250 to 664 lumens</v>
      </c>
      <c r="AP32" s="1" t="str">
        <f t="shared" si="5"/>
        <v>YESIncandescent and HalogenLow-use InteriorGlobe665 to 1439 lumens</v>
      </c>
      <c r="AQ32" s="1" t="str">
        <f t="shared" si="5"/>
        <v>YESIncandescent and HalogenLow-use InteriorGlobe1440 to 2600 lumens</v>
      </c>
    </row>
    <row r="33" spans="1:43">
      <c r="A33" s="2" t="s">
        <v>92</v>
      </c>
      <c r="B33" s="1" t="s">
        <v>34</v>
      </c>
      <c r="C33" s="1" t="str">
        <f t="shared" si="7"/>
        <v>Exterior</v>
      </c>
      <c r="D33" s="2" t="s">
        <v>93</v>
      </c>
      <c r="E33" s="85">
        <v>9</v>
      </c>
      <c r="F33" s="85">
        <v>8</v>
      </c>
      <c r="G33" s="85">
        <v>1</v>
      </c>
      <c r="I33" s="85">
        <v>19283.730834960938</v>
      </c>
      <c r="J33" s="85">
        <v>63775.004028320312</v>
      </c>
      <c r="K33" s="85">
        <v>41596.4296875</v>
      </c>
      <c r="M33" s="86">
        <f t="shared" si="6"/>
        <v>1.1629696488793999E-4</v>
      </c>
      <c r="N33" s="86">
        <f t="shared" si="4"/>
        <v>3.8461641409987159E-4</v>
      </c>
      <c r="O33" s="86">
        <f t="shared" si="4"/>
        <v>2.5086113077561273E-4</v>
      </c>
      <c r="Q33" s="87">
        <v>29</v>
      </c>
      <c r="R33" s="87">
        <v>43.652291109940023</v>
      </c>
      <c r="S33" s="87">
        <v>72</v>
      </c>
      <c r="U33" s="88">
        <v>2.1746741426522367</v>
      </c>
      <c r="V33" s="88">
        <v>4.7724826121252759</v>
      </c>
      <c r="W33" s="88">
        <v>5.575399139392359</v>
      </c>
      <c r="Y33" s="89">
        <v>3.8</v>
      </c>
      <c r="Z33" s="89">
        <v>3.8000000000000003</v>
      </c>
      <c r="AA33" s="89">
        <v>3.8</v>
      </c>
      <c r="AC33" s="89">
        <v>0.72048704924528983</v>
      </c>
      <c r="AD33" s="89">
        <v>0.72048704924528983</v>
      </c>
      <c r="AE33" s="89">
        <v>0.72048704924528983</v>
      </c>
      <c r="AG33" s="86">
        <v>0</v>
      </c>
      <c r="AH33" s="86">
        <v>0</v>
      </c>
      <c r="AI33" s="86">
        <v>0</v>
      </c>
      <c r="AO33" s="1" t="str">
        <f t="shared" si="5"/>
        <v>YESIncandescent and HalogenExteriorGlobe250 to 664 lumens</v>
      </c>
      <c r="AP33" s="1" t="str">
        <f t="shared" si="5"/>
        <v>YESIncandescent and HalogenExteriorGlobe665 to 1439 lumens</v>
      </c>
      <c r="AQ33" s="1" t="str">
        <f t="shared" si="5"/>
        <v>YESIncandescent and HalogenExteriorGlobe1440 to 2600 lumens</v>
      </c>
    </row>
    <row r="34" spans="1:43">
      <c r="A34" s="2" t="s">
        <v>92</v>
      </c>
      <c r="B34" s="1" t="s">
        <v>36</v>
      </c>
      <c r="C34" s="1" t="str">
        <f>C31</f>
        <v>Moderate and High-use Interior</v>
      </c>
      <c r="D34" s="2" t="s">
        <v>93</v>
      </c>
      <c r="E34" s="85">
        <v>235</v>
      </c>
      <c r="F34" s="85">
        <v>1395</v>
      </c>
      <c r="G34" s="85">
        <v>42</v>
      </c>
      <c r="I34" s="85">
        <v>2072726.7409362793</v>
      </c>
      <c r="J34" s="85">
        <v>15364103.476531982</v>
      </c>
      <c r="K34" s="85">
        <v>315609.35662841797</v>
      </c>
      <c r="M34" s="86">
        <f t="shared" si="6"/>
        <v>1.2500269324229501E-2</v>
      </c>
      <c r="N34" s="86">
        <f t="shared" si="4"/>
        <v>9.2658345930938524E-2</v>
      </c>
      <c r="O34" s="86">
        <f t="shared" si="4"/>
        <v>1.9033873984372488E-3</v>
      </c>
      <c r="Q34" s="87">
        <v>36.875192452490978</v>
      </c>
      <c r="R34" s="87">
        <v>63.750944757460118</v>
      </c>
      <c r="S34" s="87">
        <v>92.020786513107268</v>
      </c>
      <c r="U34" s="88">
        <v>4.831897288195707</v>
      </c>
      <c r="V34" s="88">
        <v>6.9970891834903597</v>
      </c>
      <c r="W34" s="88">
        <v>6.5116376476221518</v>
      </c>
      <c r="Y34" s="89">
        <v>2.0600961243557925</v>
      </c>
      <c r="Z34" s="89">
        <v>2.1474506598096346</v>
      </c>
      <c r="AA34" s="89">
        <v>1.9672684313246862</v>
      </c>
      <c r="AC34" s="89">
        <v>1.3870437704491934</v>
      </c>
      <c r="AD34" s="89">
        <v>1.3191523025903396</v>
      </c>
      <c r="AE34" s="89">
        <v>1.4493398606392756</v>
      </c>
      <c r="AG34" s="86">
        <v>0.98904120549169894</v>
      </c>
      <c r="AH34" s="86">
        <v>0.98021681861352861</v>
      </c>
      <c r="AI34" s="86">
        <v>0.89589865499713306</v>
      </c>
      <c r="AO34" s="1" t="str">
        <f t="shared" si="5"/>
        <v>YESIncandescent and HalogenModerate and High-use InteriorReflectors and Outdoor250 to 664 lumens</v>
      </c>
      <c r="AP34" s="1" t="str">
        <f t="shared" si="5"/>
        <v>YESIncandescent and HalogenModerate and High-use InteriorReflectors and Outdoor665 to 1439 lumens</v>
      </c>
      <c r="AQ34" s="1" t="str">
        <f t="shared" si="5"/>
        <v>YESIncandescent and HalogenModerate and High-use InteriorReflectors and Outdoor1440 to 2600 lumens</v>
      </c>
    </row>
    <row r="35" spans="1:43">
      <c r="A35" s="2" t="s">
        <v>92</v>
      </c>
      <c r="B35" s="1" t="s">
        <v>36</v>
      </c>
      <c r="C35" s="1" t="str">
        <f t="shared" si="7"/>
        <v>Low-use Interior</v>
      </c>
      <c r="D35" s="2" t="s">
        <v>93</v>
      </c>
      <c r="E35" s="85">
        <v>93</v>
      </c>
      <c r="F35" s="85">
        <v>873</v>
      </c>
      <c r="G35" s="85">
        <v>80</v>
      </c>
      <c r="I35" s="85">
        <v>822547.40454101563</v>
      </c>
      <c r="J35" s="85">
        <v>6432272.0572814941</v>
      </c>
      <c r="K35" s="85">
        <v>290967.13549804687</v>
      </c>
      <c r="M35" s="86">
        <f t="shared" si="6"/>
        <v>4.960646227811053E-3</v>
      </c>
      <c r="N35" s="86">
        <f t="shared" si="4"/>
        <v>3.8791960124186141E-2</v>
      </c>
      <c r="O35" s="86">
        <f t="shared" si="4"/>
        <v>1.7547742721658549E-3</v>
      </c>
      <c r="Q35" s="87">
        <v>39.453210971183672</v>
      </c>
      <c r="R35" s="87">
        <v>63.939537328237783</v>
      </c>
      <c r="S35" s="87">
        <v>99.373376669829881</v>
      </c>
      <c r="U35" s="88">
        <v>4.3801196336906862</v>
      </c>
      <c r="V35" s="88">
        <v>6.9569222855741462</v>
      </c>
      <c r="W35" s="88">
        <v>6.029503461851272</v>
      </c>
      <c r="Y35" s="89">
        <v>1.3224729084963405</v>
      </c>
      <c r="Z35" s="89">
        <v>1.3387862640853463</v>
      </c>
      <c r="AA35" s="89">
        <v>1.3091695226815501</v>
      </c>
      <c r="AC35" s="89">
        <v>2.0743106734736472</v>
      </c>
      <c r="AD35" s="89">
        <v>2.051205733325931</v>
      </c>
      <c r="AE35" s="89">
        <v>2.0931459436578796</v>
      </c>
      <c r="AG35" s="86">
        <v>0.99536978000486387</v>
      </c>
      <c r="AH35" s="86">
        <v>0.99470756145917694</v>
      </c>
      <c r="AI35" s="86">
        <v>0.97111658840517867</v>
      </c>
      <c r="AO35" s="1" t="str">
        <f t="shared" si="5"/>
        <v>YESIncandescent and HalogenLow-use InteriorReflectors and Outdoor250 to 664 lumens</v>
      </c>
      <c r="AP35" s="1" t="str">
        <f t="shared" si="5"/>
        <v>YESIncandescent and HalogenLow-use InteriorReflectors and Outdoor665 to 1439 lumens</v>
      </c>
      <c r="AQ35" s="1" t="str">
        <f t="shared" si="5"/>
        <v>YESIncandescent and HalogenLow-use InteriorReflectors and Outdoor1440 to 2600 lumens</v>
      </c>
    </row>
    <row r="36" spans="1:43">
      <c r="A36" s="2" t="s">
        <v>92</v>
      </c>
      <c r="B36" s="1" t="s">
        <v>36</v>
      </c>
      <c r="C36" s="1" t="str">
        <f t="shared" si="7"/>
        <v>Exterior</v>
      </c>
      <c r="D36" s="2" t="s">
        <v>93</v>
      </c>
      <c r="E36" s="85">
        <v>16</v>
      </c>
      <c r="F36" s="85">
        <v>442</v>
      </c>
      <c r="G36" s="85">
        <v>205</v>
      </c>
      <c r="I36" s="85">
        <v>110545.70971679687</v>
      </c>
      <c r="J36" s="85">
        <v>4386469.6231689453</v>
      </c>
      <c r="K36" s="85">
        <v>1784980.512512207</v>
      </c>
      <c r="M36" s="86">
        <f t="shared" si="6"/>
        <v>6.6668274056900232E-4</v>
      </c>
      <c r="N36" s="86">
        <f t="shared" si="4"/>
        <v>2.6454066804481383E-2</v>
      </c>
      <c r="O36" s="86">
        <f t="shared" si="4"/>
        <v>1.0764919805504522E-2</v>
      </c>
      <c r="Q36" s="87">
        <v>37.32050311563907</v>
      </c>
      <c r="R36" s="87">
        <v>66.054621266320538</v>
      </c>
      <c r="S36" s="87">
        <v>91.634076624729175</v>
      </c>
      <c r="U36" s="88">
        <v>4.2768615664851204</v>
      </c>
      <c r="V36" s="88">
        <v>6.6472734504829099</v>
      </c>
      <c r="W36" s="88">
        <v>6.5800745072035607</v>
      </c>
      <c r="Y36" s="89">
        <v>3.7999999999999994</v>
      </c>
      <c r="Z36" s="89">
        <v>3.8000000000000016</v>
      </c>
      <c r="AA36" s="89">
        <v>3.799999999999998</v>
      </c>
      <c r="AC36" s="89">
        <v>0.72048704924528972</v>
      </c>
      <c r="AD36" s="89">
        <v>0.72048704924529017</v>
      </c>
      <c r="AE36" s="89">
        <v>0.72048704924528972</v>
      </c>
      <c r="AG36" s="86">
        <v>0</v>
      </c>
      <c r="AH36" s="86">
        <v>0</v>
      </c>
      <c r="AI36" s="86">
        <v>0</v>
      </c>
      <c r="AO36" s="1" t="str">
        <f t="shared" si="5"/>
        <v>YESIncandescent and HalogenExteriorReflectors and Outdoor250 to 664 lumens</v>
      </c>
      <c r="AP36" s="1" t="str">
        <f t="shared" si="5"/>
        <v>YESIncandescent and HalogenExteriorReflectors and Outdoor665 to 1439 lumens</v>
      </c>
      <c r="AQ36" s="1" t="str">
        <f t="shared" si="5"/>
        <v>YESIncandescent and HalogenExteriorReflectors and Outdoor1440 to 2600 lumens</v>
      </c>
    </row>
    <row r="37" spans="1:43">
      <c r="A37" s="2" t="s">
        <v>92</v>
      </c>
      <c r="B37" s="1" t="s">
        <v>37</v>
      </c>
      <c r="C37" s="1" t="str">
        <f t="shared" si="7"/>
        <v>Moderate and High-use Interior</v>
      </c>
      <c r="D37" s="2" t="s">
        <v>93</v>
      </c>
      <c r="E37" s="85">
        <v>6</v>
      </c>
      <c r="F37" s="85">
        <v>105</v>
      </c>
      <c r="G37" s="85">
        <v>528</v>
      </c>
      <c r="I37" s="85">
        <v>27087.824340820313</v>
      </c>
      <c r="J37" s="85">
        <v>349497.16363525391</v>
      </c>
      <c r="K37" s="85">
        <v>1853391.0507507324</v>
      </c>
      <c r="M37" s="86">
        <f t="shared" si="6"/>
        <v>1.6336215140193576E-4</v>
      </c>
      <c r="N37" s="86">
        <f t="shared" si="4"/>
        <v>2.1077591113247912E-3</v>
      </c>
      <c r="O37" s="86">
        <f t="shared" si="4"/>
        <v>1.1177492353398986E-2</v>
      </c>
      <c r="Q37" s="87">
        <v>39.764738906253271</v>
      </c>
      <c r="R37" s="87">
        <v>74.48319691210024</v>
      </c>
      <c r="S37" s="87">
        <v>116.6279141100857</v>
      </c>
      <c r="U37" s="88">
        <v>2.1746741426522362</v>
      </c>
      <c r="V37" s="88">
        <v>4.2182051637414384</v>
      </c>
      <c r="W37" s="88">
        <v>5.5753991393923519</v>
      </c>
      <c r="Y37" s="89">
        <v>1.7840747704079254</v>
      </c>
      <c r="Z37" s="89">
        <v>1.9569961623937979</v>
      </c>
      <c r="AA37" s="89">
        <v>2.0072532026644549</v>
      </c>
      <c r="AC37" s="89">
        <v>1.5997978193153977</v>
      </c>
      <c r="AD37" s="89">
        <v>1.4625922178886739</v>
      </c>
      <c r="AE37" s="89">
        <v>1.4214224235126045</v>
      </c>
      <c r="AG37" s="86">
        <v>1</v>
      </c>
      <c r="AH37" s="86">
        <v>1</v>
      </c>
      <c r="AI37" s="86">
        <v>0.99920972224129778</v>
      </c>
      <c r="AO37" s="1" t="str">
        <f t="shared" si="5"/>
        <v>YESIncandescent and HalogenModerate and High-use InteriorThree-Way250 to 664 lumens</v>
      </c>
      <c r="AP37" s="1" t="str">
        <f t="shared" si="5"/>
        <v>YESIncandescent and HalogenModerate and High-use InteriorThree-Way665 to 1439 lumens</v>
      </c>
      <c r="AQ37" s="1" t="str">
        <f t="shared" si="5"/>
        <v>YESIncandescent and HalogenModerate and High-use InteriorThree-Way1440 to 2600 lumens</v>
      </c>
    </row>
    <row r="38" spans="1:43">
      <c r="A38" s="2" t="s">
        <v>92</v>
      </c>
      <c r="B38" s="1" t="s">
        <v>37</v>
      </c>
      <c r="C38" s="1" t="str">
        <f t="shared" si="7"/>
        <v>Low-use Interior</v>
      </c>
      <c r="D38" s="2" t="s">
        <v>93</v>
      </c>
      <c r="E38" s="85">
        <v>1</v>
      </c>
      <c r="F38" s="85">
        <v>3</v>
      </c>
      <c r="G38" s="85">
        <v>46</v>
      </c>
      <c r="I38" s="85">
        <v>14869.47802734375</v>
      </c>
      <c r="J38" s="85">
        <v>9804.8828125</v>
      </c>
      <c r="K38" s="85">
        <v>133030.56622314453</v>
      </c>
      <c r="M38" s="86">
        <f t="shared" si="6"/>
        <v>8.967534233120788E-5</v>
      </c>
      <c r="N38" s="86">
        <f t="shared" si="4"/>
        <v>5.9131613168359627E-5</v>
      </c>
      <c r="O38" s="86">
        <f t="shared" si="4"/>
        <v>8.0228516055758114E-4</v>
      </c>
      <c r="Q38" s="87">
        <v>30</v>
      </c>
      <c r="R38" s="87">
        <v>69.557144653492955</v>
      </c>
      <c r="S38" s="87">
        <v>119.76539013025679</v>
      </c>
      <c r="U38" s="88">
        <v>2.1746741426522362</v>
      </c>
      <c r="V38" s="88">
        <v>4.832609205893859</v>
      </c>
      <c r="W38" s="88">
        <v>5.5753991393923545</v>
      </c>
      <c r="Y38" s="89">
        <v>1.3</v>
      </c>
      <c r="Z38" s="89">
        <v>1.3000000000000003</v>
      </c>
      <c r="AA38" s="89">
        <v>1.3481100119456109</v>
      </c>
      <c r="AC38" s="89">
        <v>2.1060390670246933</v>
      </c>
      <c r="AD38" s="89">
        <v>2.1060390670246933</v>
      </c>
      <c r="AE38" s="89">
        <v>2.0384913572430383</v>
      </c>
      <c r="AG38" s="86">
        <v>1</v>
      </c>
      <c r="AH38" s="86">
        <v>1</v>
      </c>
      <c r="AI38" s="86">
        <v>1</v>
      </c>
      <c r="AO38" s="1" t="str">
        <f t="shared" si="5"/>
        <v>YESIncandescent and HalogenLow-use InteriorThree-Way250 to 664 lumens</v>
      </c>
      <c r="AP38" s="1" t="str">
        <f t="shared" si="5"/>
        <v>YESIncandescent and HalogenLow-use InteriorThree-Way665 to 1439 lumens</v>
      </c>
      <c r="AQ38" s="1" t="str">
        <f t="shared" si="5"/>
        <v>YESIncandescent and HalogenLow-use InteriorThree-Way1440 to 2600 lumens</v>
      </c>
    </row>
    <row r="39" spans="1:43">
      <c r="A39" s="2" t="s">
        <v>92</v>
      </c>
      <c r="B39" s="1" t="s">
        <v>37</v>
      </c>
      <c r="C39" s="1" t="str">
        <f t="shared" si="7"/>
        <v>Exterior</v>
      </c>
      <c r="D39" s="2" t="s">
        <v>93</v>
      </c>
      <c r="E39" s="85">
        <v>0</v>
      </c>
      <c r="F39" s="85">
        <v>0</v>
      </c>
      <c r="G39" s="85">
        <v>2</v>
      </c>
      <c r="I39" s="85">
        <v>0</v>
      </c>
      <c r="J39" s="85">
        <v>0</v>
      </c>
      <c r="K39" s="85">
        <v>5532.193603515625</v>
      </c>
      <c r="M39" s="86">
        <f t="shared" si="6"/>
        <v>0</v>
      </c>
      <c r="N39" s="86">
        <f t="shared" si="4"/>
        <v>0</v>
      </c>
      <c r="O39" s="86">
        <f t="shared" si="4"/>
        <v>3.3363737067669254E-5</v>
      </c>
      <c r="Q39" s="87" t="e">
        <v>#DIV/0!</v>
      </c>
      <c r="R39" s="87" t="e">
        <v>#DIV/0!</v>
      </c>
      <c r="S39" s="87">
        <v>150</v>
      </c>
      <c r="U39" s="88" t="e">
        <v>#DIV/0!</v>
      </c>
      <c r="V39" s="88" t="e">
        <v>#DIV/0!</v>
      </c>
      <c r="W39" s="88">
        <v>5.575399139392359</v>
      </c>
      <c r="Y39" s="89" t="e">
        <v>#DIV/0!</v>
      </c>
      <c r="Z39" s="89" t="e">
        <v>#DIV/0!</v>
      </c>
      <c r="AA39" s="89">
        <v>3.8</v>
      </c>
      <c r="AC39" s="89" t="e">
        <v>#DIV/0!</v>
      </c>
      <c r="AD39" s="89" t="e">
        <v>#DIV/0!</v>
      </c>
      <c r="AE39" s="89">
        <v>0.72048704924528983</v>
      </c>
      <c r="AG39" s="86" t="e">
        <v>#DIV/0!</v>
      </c>
      <c r="AH39" s="86" t="e">
        <v>#DIV/0!</v>
      </c>
      <c r="AI39" s="86">
        <v>0</v>
      </c>
      <c r="AO39" s="1" t="str">
        <f t="shared" si="5"/>
        <v>YESIncandescent and HalogenExteriorThree-Way250 to 664 lumens</v>
      </c>
      <c r="AP39" s="1" t="str">
        <f t="shared" si="5"/>
        <v>YESIncandescent and HalogenExteriorThree-Way665 to 1439 lumens</v>
      </c>
      <c r="AQ39" s="1" t="str">
        <f t="shared" si="5"/>
        <v>YESIncandescent and HalogenExteriorThree-Way1440 to 2600 lumens</v>
      </c>
    </row>
    <row r="40" spans="1:43">
      <c r="A40" s="2"/>
    </row>
    <row r="41" spans="1:43">
      <c r="A41" s="2" t="s">
        <v>94</v>
      </c>
      <c r="B41" s="1" t="str">
        <f>B25</f>
        <v>Decorative and Mini-Base</v>
      </c>
      <c r="C41" s="2" t="s">
        <v>95</v>
      </c>
    </row>
    <row r="42" spans="1:43">
      <c r="A42" s="2" t="s">
        <v>94</v>
      </c>
      <c r="B42" s="1" t="str">
        <f>B28</f>
        <v>General Purpose and Dimmable</v>
      </c>
      <c r="C42" s="2" t="s">
        <v>95</v>
      </c>
      <c r="AO42" s="2"/>
    </row>
    <row r="43" spans="1:43">
      <c r="A43" s="2" t="s">
        <v>94</v>
      </c>
      <c r="B43" s="1" t="str">
        <f>B31</f>
        <v>Globe</v>
      </c>
      <c r="C43" s="2" t="s">
        <v>95</v>
      </c>
      <c r="AO43" s="2"/>
    </row>
    <row r="44" spans="1:43">
      <c r="A44" s="2" t="s">
        <v>94</v>
      </c>
      <c r="B44" s="1" t="str">
        <f>B34</f>
        <v>Reflectors and Outdoor</v>
      </c>
      <c r="C44" s="2" t="s">
        <v>95</v>
      </c>
      <c r="AO44" s="2"/>
    </row>
    <row r="45" spans="1:43">
      <c r="A45" s="2" t="s">
        <v>94</v>
      </c>
      <c r="B45" s="1" t="str">
        <f>B37</f>
        <v>Three-Way</v>
      </c>
      <c r="C45" s="2" t="s">
        <v>95</v>
      </c>
      <c r="I45" s="1" t="s">
        <v>383</v>
      </c>
      <c r="AO45" s="2"/>
    </row>
    <row r="46" spans="1:43">
      <c r="A46" s="2"/>
      <c r="C46" s="2"/>
      <c r="I46" s="1" t="s">
        <v>384</v>
      </c>
      <c r="AO46" s="2"/>
    </row>
    <row r="47" spans="1:43">
      <c r="A47" s="17" t="s">
        <v>96</v>
      </c>
      <c r="C47" s="2"/>
      <c r="AO47" s="2"/>
    </row>
    <row r="48" spans="1:43" ht="38.25">
      <c r="A48" s="2"/>
      <c r="B48" s="56" t="s">
        <v>91</v>
      </c>
      <c r="C48" s="56" t="s">
        <v>25</v>
      </c>
      <c r="D48" s="56" t="s">
        <v>46</v>
      </c>
      <c r="E48" s="56" t="s">
        <v>97</v>
      </c>
      <c r="F48" s="90" t="s">
        <v>98</v>
      </c>
      <c r="G48" s="90" t="s">
        <v>99</v>
      </c>
      <c r="H48" s="90" t="s">
        <v>100</v>
      </c>
      <c r="I48" s="90" t="s">
        <v>101</v>
      </c>
      <c r="J48" s="90" t="s">
        <v>102</v>
      </c>
      <c r="K48" s="56" t="s">
        <v>51</v>
      </c>
      <c r="L48" s="56" t="s">
        <v>103</v>
      </c>
      <c r="M48" s="90" t="s">
        <v>104</v>
      </c>
      <c r="N48" s="91" t="s">
        <v>53</v>
      </c>
      <c r="AO48" s="2"/>
    </row>
    <row r="49" spans="1:41">
      <c r="A49" s="2"/>
      <c r="B49" s="92" t="s">
        <v>95</v>
      </c>
      <c r="C49" s="93" t="s">
        <v>29</v>
      </c>
      <c r="D49" s="93" t="s">
        <v>30</v>
      </c>
      <c r="E49" s="93" t="str">
        <f t="shared" ref="E49:E63" si="8">C49&amp;D49</f>
        <v>Decorative and Mini-Base250 to 664 lumens</v>
      </c>
      <c r="F49" s="94">
        <v>1992</v>
      </c>
      <c r="G49" s="85">
        <v>19146261.619720459</v>
      </c>
      <c r="H49" s="86">
        <f>G49/SUM($G$49:$G$63)</f>
        <v>8.1081096380314688E-2</v>
      </c>
      <c r="I49" s="95">
        <f>Stock!S16</f>
        <v>37</v>
      </c>
      <c r="J49" s="88">
        <v>1.6401583657682686</v>
      </c>
      <c r="K49" s="96">
        <v>1.7916917647822357</v>
      </c>
      <c r="L49" s="96">
        <v>1.7835655628514451</v>
      </c>
      <c r="M49" s="86">
        <v>0.95039973261931343</v>
      </c>
      <c r="N49" s="97">
        <v>416.60324051305236</v>
      </c>
      <c r="AO49" s="2"/>
    </row>
    <row r="50" spans="1:41">
      <c r="A50" s="2"/>
      <c r="B50" s="92" t="s">
        <v>95</v>
      </c>
      <c r="C50" s="93" t="s">
        <v>29</v>
      </c>
      <c r="D50" s="93" t="s">
        <v>33</v>
      </c>
      <c r="E50" s="93" t="str">
        <f t="shared" si="8"/>
        <v>Decorative and Mini-Base665 to 1439 lumens</v>
      </c>
      <c r="F50" s="94">
        <v>590</v>
      </c>
      <c r="G50" s="85">
        <v>5251290.0697937012</v>
      </c>
      <c r="H50" s="86">
        <f t="shared" ref="H50:H63" si="9">G50/SUM($G$49:$G$63)</f>
        <v>2.2238302428260096E-2</v>
      </c>
      <c r="I50" s="95">
        <f>Stock!S17</f>
        <v>31.100271002710024</v>
      </c>
      <c r="J50" s="88">
        <v>2.357302490345714</v>
      </c>
      <c r="K50" s="96">
        <v>1.8789514442368003</v>
      </c>
      <c r="L50" s="96">
        <v>1.7864498053021971</v>
      </c>
      <c r="M50" s="86">
        <v>0.91018036838446348</v>
      </c>
      <c r="N50" s="97">
        <v>857.43632997438363</v>
      </c>
      <c r="AO50" s="2"/>
    </row>
    <row r="51" spans="1:41">
      <c r="A51" s="2"/>
      <c r="B51" s="92" t="s">
        <v>95</v>
      </c>
      <c r="C51" s="93" t="s">
        <v>29</v>
      </c>
      <c r="D51" s="93" t="s">
        <v>35</v>
      </c>
      <c r="E51" s="93" t="str">
        <f t="shared" si="8"/>
        <v>Decorative and Mini-Base1440 to 2600 lumens</v>
      </c>
      <c r="F51" s="98">
        <v>21</v>
      </c>
      <c r="G51" s="85">
        <v>103169.34893798828</v>
      </c>
      <c r="H51" s="86">
        <f t="shared" si="9"/>
        <v>4.3690429447174121E-4</v>
      </c>
      <c r="I51" s="95">
        <f>Stock!S18</f>
        <v>37</v>
      </c>
      <c r="J51" s="88">
        <v>2.5719834880984087</v>
      </c>
      <c r="K51" s="96">
        <v>1.6305080727614385</v>
      </c>
      <c r="L51" s="96">
        <v>4.4344805227500377</v>
      </c>
      <c r="M51" s="86">
        <v>0.92758145848349127</v>
      </c>
      <c r="N51" s="97">
        <v>2095.7287821060968</v>
      </c>
      <c r="AO51" s="2"/>
    </row>
    <row r="52" spans="1:41">
      <c r="A52" s="2"/>
      <c r="B52" s="92" t="s">
        <v>95</v>
      </c>
      <c r="C52" s="93" t="s">
        <v>32</v>
      </c>
      <c r="D52" s="93" t="str">
        <f>D49</f>
        <v>250 to 664 lumens</v>
      </c>
      <c r="E52" s="93" t="str">
        <f t="shared" si="8"/>
        <v>General Purpose and Dimmable250 to 664 lumens</v>
      </c>
      <c r="F52" s="94">
        <v>3069</v>
      </c>
      <c r="G52" s="85">
        <v>15988071.154602051</v>
      </c>
      <c r="H52" s="86">
        <f t="shared" si="9"/>
        <v>6.7706707657562287E-2</v>
      </c>
      <c r="I52" s="95">
        <f>Stock!S19</f>
        <v>30</v>
      </c>
      <c r="J52" s="88">
        <v>2.2922322650479003</v>
      </c>
      <c r="K52" s="96">
        <v>1.7465101483744099</v>
      </c>
      <c r="L52" s="96">
        <v>2.2212671328668137</v>
      </c>
      <c r="M52" s="86">
        <v>0.91416456188155615</v>
      </c>
      <c r="N52" s="97">
        <v>473.98970089307483</v>
      </c>
      <c r="AO52" s="2"/>
    </row>
    <row r="53" spans="1:41">
      <c r="A53" s="2"/>
      <c r="B53" s="92" t="s">
        <v>95</v>
      </c>
      <c r="C53" s="93" t="s">
        <v>32</v>
      </c>
      <c r="D53" s="93" t="str">
        <f t="shared" ref="D53:D63" si="10">D50</f>
        <v>665 to 1439 lumens</v>
      </c>
      <c r="E53" s="93" t="str">
        <f t="shared" si="8"/>
        <v>General Purpose and Dimmable665 to 1439 lumens</v>
      </c>
      <c r="F53" s="94">
        <v>24073</v>
      </c>
      <c r="G53" s="85">
        <v>123371362.27828979</v>
      </c>
      <c r="H53" s="86">
        <f t="shared" si="9"/>
        <v>0.52245631623218058</v>
      </c>
      <c r="I53" s="95">
        <f>Stock!S20</f>
        <v>28.108457226419695</v>
      </c>
      <c r="J53" s="88">
        <v>1.8938582807005411</v>
      </c>
      <c r="K53" s="96">
        <v>1.8773637680174413</v>
      </c>
      <c r="L53" s="96">
        <v>4.3220699727314233</v>
      </c>
      <c r="M53" s="86">
        <v>0.85791980570535631</v>
      </c>
      <c r="N53" s="97">
        <v>949.2054457712826</v>
      </c>
      <c r="AO53" s="2"/>
    </row>
    <row r="54" spans="1:41">
      <c r="A54" s="2"/>
      <c r="B54" s="92" t="s">
        <v>95</v>
      </c>
      <c r="C54" s="93" t="s">
        <v>32</v>
      </c>
      <c r="D54" s="93" t="str">
        <f t="shared" si="10"/>
        <v>1440 to 2600 lumens</v>
      </c>
      <c r="E54" s="93" t="str">
        <f t="shared" si="8"/>
        <v>General Purpose and Dimmable1440 to 2600 lumens</v>
      </c>
      <c r="F54" s="94">
        <v>2951</v>
      </c>
      <c r="G54" s="85">
        <v>12300282.996917725</v>
      </c>
      <c r="H54" s="86">
        <f t="shared" si="9"/>
        <v>5.2089564583772424E-2</v>
      </c>
      <c r="I54" s="95">
        <f>Stock!S21</f>
        <v>37</v>
      </c>
      <c r="J54" s="88">
        <v>1.8248331017915318</v>
      </c>
      <c r="K54" s="96">
        <v>1.9918551210859123</v>
      </c>
      <c r="L54" s="96">
        <v>3.8347243817323542</v>
      </c>
      <c r="M54" s="86">
        <v>0.78917112934974476</v>
      </c>
      <c r="N54" s="97">
        <v>1747.5999304005293</v>
      </c>
      <c r="AO54" s="2"/>
    </row>
    <row r="55" spans="1:41">
      <c r="A55" s="2"/>
      <c r="B55" s="92" t="s">
        <v>95</v>
      </c>
      <c r="C55" s="93" t="s">
        <v>34</v>
      </c>
      <c r="D55" s="93" t="str">
        <f t="shared" si="10"/>
        <v>250 to 664 lumens</v>
      </c>
      <c r="E55" s="93" t="str">
        <f t="shared" si="8"/>
        <v>Globe250 to 664 lumens</v>
      </c>
      <c r="F55" s="94">
        <v>926</v>
      </c>
      <c r="G55" s="85">
        <v>10512756.317199707</v>
      </c>
      <c r="H55" s="86">
        <f t="shared" si="9"/>
        <v>4.4519699203299436E-2</v>
      </c>
      <c r="I55" s="95">
        <f>Stock!S22</f>
        <v>37</v>
      </c>
      <c r="J55" s="88">
        <v>2.1737529557872382</v>
      </c>
      <c r="K55" s="96">
        <v>1.3853142296217029</v>
      </c>
      <c r="L55" s="96">
        <v>2.2408705642884907</v>
      </c>
      <c r="M55" s="86">
        <v>0.99302587722156699</v>
      </c>
      <c r="N55" s="97">
        <v>474.28450426267824</v>
      </c>
      <c r="AO55" s="2"/>
    </row>
    <row r="56" spans="1:41">
      <c r="A56" s="2"/>
      <c r="B56" s="92" t="s">
        <v>95</v>
      </c>
      <c r="C56" s="93" t="s">
        <v>34</v>
      </c>
      <c r="D56" s="93" t="str">
        <f t="shared" si="10"/>
        <v>665 to 1439 lumens</v>
      </c>
      <c r="E56" s="93" t="str">
        <f t="shared" si="8"/>
        <v>Globe665 to 1439 lumens</v>
      </c>
      <c r="F56" s="94">
        <v>677</v>
      </c>
      <c r="G56" s="85">
        <v>6410410.1278991699</v>
      </c>
      <c r="H56" s="86">
        <f t="shared" si="9"/>
        <v>2.7146974784998612E-2</v>
      </c>
      <c r="I56" s="95">
        <f>Stock!S23</f>
        <v>31.100271002710024</v>
      </c>
      <c r="J56" s="88">
        <v>4.74556552718155</v>
      </c>
      <c r="K56" s="96">
        <v>1.4133478593569577</v>
      </c>
      <c r="L56" s="96">
        <v>2.7621105076077872</v>
      </c>
      <c r="M56" s="86">
        <v>0.97668256411584331</v>
      </c>
      <c r="N56" s="97">
        <v>854.01386924203234</v>
      </c>
      <c r="AO56" s="2"/>
    </row>
    <row r="57" spans="1:41">
      <c r="A57" s="2"/>
      <c r="B57" s="92" t="s">
        <v>95</v>
      </c>
      <c r="C57" s="93" t="s">
        <v>34</v>
      </c>
      <c r="D57" s="93" t="str">
        <f t="shared" si="10"/>
        <v>1440 to 2600 lumens</v>
      </c>
      <c r="E57" s="93" t="str">
        <f t="shared" si="8"/>
        <v>Globe1440 to 2600 lumens</v>
      </c>
      <c r="F57" s="94">
        <v>68</v>
      </c>
      <c r="G57" s="85">
        <v>483029.63061523437</v>
      </c>
      <c r="H57" s="86">
        <f t="shared" si="9"/>
        <v>2.0455466875122243E-3</v>
      </c>
      <c r="I57" s="95">
        <f>Stock!S24</f>
        <v>37</v>
      </c>
      <c r="J57" s="88">
        <v>5.4627245082786207</v>
      </c>
      <c r="K57" s="96">
        <v>1.8779135295448872</v>
      </c>
      <c r="L57" s="96">
        <v>2.0492242794119604</v>
      </c>
      <c r="M57" s="86">
        <v>0.84854563840574837</v>
      </c>
      <c r="N57" s="97">
        <v>1845.0029433386362</v>
      </c>
      <c r="AO57" s="2"/>
    </row>
    <row r="58" spans="1:41">
      <c r="A58" s="2"/>
      <c r="B58" s="92" t="s">
        <v>95</v>
      </c>
      <c r="C58" s="93" t="s">
        <v>36</v>
      </c>
      <c r="D58" s="93" t="str">
        <f t="shared" si="10"/>
        <v>250 to 664 lumens</v>
      </c>
      <c r="E58" s="93" t="str">
        <f t="shared" si="8"/>
        <v>Reflectors and Outdoor250 to 664 lumens</v>
      </c>
      <c r="F58" s="94">
        <v>370</v>
      </c>
      <c r="G58" s="85">
        <v>3343887.2616882324</v>
      </c>
      <c r="H58" s="86">
        <f t="shared" si="9"/>
        <v>1.4160782440713806E-2</v>
      </c>
      <c r="I58" s="95">
        <f>Stock!S25</f>
        <v>38</v>
      </c>
      <c r="J58" s="88">
        <v>4.6350044381489033</v>
      </c>
      <c r="K58" s="96">
        <v>1.9506803142955835</v>
      </c>
      <c r="L58" s="96">
        <v>2.1002897994909375</v>
      </c>
      <c r="M58" s="86">
        <v>0.94622699649287401</v>
      </c>
      <c r="N58" s="97">
        <v>479.73166573433264</v>
      </c>
      <c r="AO58" s="2"/>
    </row>
    <row r="59" spans="1:41">
      <c r="A59" s="2"/>
      <c r="B59" s="92" t="s">
        <v>95</v>
      </c>
      <c r="C59" s="93" t="s">
        <v>36</v>
      </c>
      <c r="D59" s="93" t="str">
        <f t="shared" si="10"/>
        <v>665 to 1439 lumens</v>
      </c>
      <c r="E59" s="93" t="str">
        <f t="shared" si="8"/>
        <v>Reflectors and Outdoor665 to 1439 lumens</v>
      </c>
      <c r="F59" s="94">
        <v>3398</v>
      </c>
      <c r="G59" s="85">
        <v>33788975.437652588</v>
      </c>
      <c r="H59" s="86">
        <f t="shared" si="9"/>
        <v>0.14309044911569505</v>
      </c>
      <c r="I59" s="95">
        <f>Stock!S26</f>
        <v>33.801608579088473</v>
      </c>
      <c r="J59" s="88">
        <v>6.0025868409413388</v>
      </c>
      <c r="K59" s="96">
        <v>2.2112998582903738</v>
      </c>
      <c r="L59" s="96">
        <v>2.7605785479478313</v>
      </c>
      <c r="M59" s="86">
        <v>0.82931998492682701</v>
      </c>
      <c r="N59" s="97">
        <v>972.55453255182397</v>
      </c>
      <c r="AO59" s="2"/>
    </row>
    <row r="60" spans="1:41">
      <c r="A60" s="2"/>
      <c r="B60" s="92" t="s">
        <v>95</v>
      </c>
      <c r="C60" s="93" t="s">
        <v>36</v>
      </c>
      <c r="D60" s="93" t="str">
        <f t="shared" si="10"/>
        <v>1440 to 2600 lumens</v>
      </c>
      <c r="E60" s="93" t="str">
        <f t="shared" si="8"/>
        <v>Reflectors and Outdoor1440 to 2600 lumens</v>
      </c>
      <c r="F60" s="94">
        <v>381</v>
      </c>
      <c r="G60" s="85">
        <v>2776687.5482788086</v>
      </c>
      <c r="H60" s="86">
        <f t="shared" si="9"/>
        <v>1.1758790054771059E-2</v>
      </c>
      <c r="I60" s="95">
        <f>Stock!S27</f>
        <v>92</v>
      </c>
      <c r="J60" s="88">
        <v>6.8379432184399001</v>
      </c>
      <c r="K60" s="96">
        <v>3.1412077290657425</v>
      </c>
      <c r="L60" s="96">
        <v>1.8152462117520278</v>
      </c>
      <c r="M60" s="86">
        <v>0.2985167573190915</v>
      </c>
      <c r="N60" s="97">
        <v>1835.2728077183538</v>
      </c>
      <c r="AO60" s="2"/>
    </row>
    <row r="61" spans="1:41">
      <c r="A61" s="2"/>
      <c r="B61" s="92" t="s">
        <v>95</v>
      </c>
      <c r="C61" s="93" t="s">
        <v>37</v>
      </c>
      <c r="D61" s="93" t="str">
        <f t="shared" si="10"/>
        <v>250 to 664 lumens</v>
      </c>
      <c r="E61" s="93" t="str">
        <f t="shared" si="8"/>
        <v>Three-Way250 to 664 lumens</v>
      </c>
      <c r="F61" s="94">
        <v>8</v>
      </c>
      <c r="G61" s="85">
        <v>43569.994140625</v>
      </c>
      <c r="H61" s="86">
        <f t="shared" si="9"/>
        <v>1.8451136646785988E-4</v>
      </c>
      <c r="I61" s="95">
        <f>Stock!S28</f>
        <v>91</v>
      </c>
      <c r="J61" s="88">
        <v>2.5086033161955381</v>
      </c>
      <c r="K61" s="96">
        <v>1.6416684714322591</v>
      </c>
      <c r="L61" s="96">
        <v>1.9664811264199897</v>
      </c>
      <c r="M61" s="86">
        <v>1</v>
      </c>
      <c r="N61" s="97">
        <v>415.0645318455953</v>
      </c>
      <c r="AO61" s="2"/>
    </row>
    <row r="62" spans="1:41">
      <c r="A62" s="2"/>
      <c r="B62" s="92" t="s">
        <v>95</v>
      </c>
      <c r="C62" s="93" t="s">
        <v>37</v>
      </c>
      <c r="D62" s="93" t="str">
        <f t="shared" si="10"/>
        <v>665 to 1439 lumens</v>
      </c>
      <c r="E62" s="93" t="str">
        <f t="shared" si="8"/>
        <v>Three-Way665 to 1439 lumens</v>
      </c>
      <c r="F62" s="94">
        <v>145</v>
      </c>
      <c r="G62" s="85">
        <v>537802.77087402344</v>
      </c>
      <c r="H62" s="86">
        <f t="shared" si="9"/>
        <v>2.2775014342185534E-3</v>
      </c>
      <c r="I62" s="95">
        <f>Stock!S29</f>
        <v>91</v>
      </c>
      <c r="J62" s="88">
        <v>6.020444707725451</v>
      </c>
      <c r="K62" s="96">
        <v>1.9012991277195712</v>
      </c>
      <c r="L62" s="96">
        <v>3.7098631590053808</v>
      </c>
      <c r="M62" s="86">
        <v>0.9977909622715454</v>
      </c>
      <c r="N62" s="97">
        <v>1132.8409655317996</v>
      </c>
      <c r="AO62" s="2"/>
    </row>
    <row r="63" spans="1:41">
      <c r="A63" s="2"/>
      <c r="B63" s="92" t="s">
        <v>95</v>
      </c>
      <c r="C63" s="93" t="s">
        <v>37</v>
      </c>
      <c r="D63" s="93" t="str">
        <f t="shared" si="10"/>
        <v>1440 to 2600 lumens</v>
      </c>
      <c r="E63" s="93" t="str">
        <f t="shared" si="8"/>
        <v>Three-Way1440 to 2600 lumens</v>
      </c>
      <c r="F63" s="94">
        <v>596</v>
      </c>
      <c r="G63" s="85">
        <v>2079625.5297546387</v>
      </c>
      <c r="H63" s="86">
        <f t="shared" si="9"/>
        <v>8.8068533357615695E-3</v>
      </c>
      <c r="I63" s="95">
        <f>Stock!S30</f>
        <v>91</v>
      </c>
      <c r="J63" s="88">
        <v>5.8123669887989093</v>
      </c>
      <c r="K63" s="96">
        <v>1.9748391432257275</v>
      </c>
      <c r="L63" s="96">
        <v>1.7652962324402386</v>
      </c>
      <c r="M63" s="86">
        <v>0.99652187968377692</v>
      </c>
      <c r="N63" s="97">
        <v>1994.6302871120699</v>
      </c>
      <c r="AO63" s="2"/>
    </row>
    <row r="64" spans="1:41">
      <c r="A64" s="2"/>
      <c r="C64" s="2"/>
      <c r="AO64" s="2"/>
    </row>
    <row r="65" spans="1:41">
      <c r="A65" s="17" t="s">
        <v>105</v>
      </c>
      <c r="C65" s="2"/>
      <c r="AO65" s="2"/>
    </row>
    <row r="66" spans="1:41" ht="38.25">
      <c r="A66" s="2"/>
      <c r="B66" s="56" t="s">
        <v>91</v>
      </c>
      <c r="C66" s="56" t="s">
        <v>25</v>
      </c>
      <c r="D66" s="56" t="s">
        <v>46</v>
      </c>
      <c r="E66" s="56" t="s">
        <v>106</v>
      </c>
      <c r="F66" s="90" t="s">
        <v>98</v>
      </c>
      <c r="G66" s="90" t="s">
        <v>99</v>
      </c>
      <c r="H66" s="90" t="s">
        <v>100</v>
      </c>
      <c r="I66" s="90" t="s">
        <v>101</v>
      </c>
      <c r="J66" s="90" t="s">
        <v>102</v>
      </c>
      <c r="K66" s="56" t="s">
        <v>51</v>
      </c>
      <c r="L66" s="56" t="s">
        <v>103</v>
      </c>
      <c r="M66" s="90" t="s">
        <v>104</v>
      </c>
      <c r="N66" s="91" t="s">
        <v>53</v>
      </c>
      <c r="AO66" s="2"/>
    </row>
    <row r="67" spans="1:41">
      <c r="A67" s="2"/>
      <c r="B67" s="92" t="s">
        <v>107</v>
      </c>
      <c r="C67" s="93" t="s">
        <v>29</v>
      </c>
      <c r="D67" s="93" t="s">
        <v>30</v>
      </c>
      <c r="E67" s="93" t="str">
        <f>CONCATENATE("YES","Incandescent and Halogen",B67,C67,D67)</f>
        <v>YESIncandescent and HalogenModerate and High-use InteriorDecorative and Mini-Base250 to 664 lumens</v>
      </c>
      <c r="F67" s="85">
        <v>1386</v>
      </c>
      <c r="G67" s="85">
        <v>11776369.003051758</v>
      </c>
      <c r="H67" s="86">
        <f>G67/SUM($G$67:$G$111)</f>
        <v>7.1021317616213733E-2</v>
      </c>
      <c r="I67" s="95">
        <v>30.675077934847064</v>
      </c>
      <c r="J67" s="88">
        <v>1.6375533129989499</v>
      </c>
      <c r="K67" s="96">
        <v>1.8778190742054386</v>
      </c>
      <c r="L67" s="96">
        <v>1.5095454652747782</v>
      </c>
      <c r="M67" s="86">
        <v>0.99872487388014086</v>
      </c>
      <c r="N67" s="97">
        <v>418.26528814377684</v>
      </c>
      <c r="AO67" s="2"/>
    </row>
    <row r="68" spans="1:41">
      <c r="A68" s="2"/>
      <c r="B68" s="92" t="s">
        <v>107</v>
      </c>
      <c r="C68" s="93" t="s">
        <v>29</v>
      </c>
      <c r="D68" s="93" t="s">
        <v>33</v>
      </c>
      <c r="E68" s="93" t="str">
        <f t="shared" ref="E68:E111" si="11">CONCATENATE("YES","Incandescent and Halogen",B68,C68,D68)</f>
        <v>YESIncandescent and HalogenModerate and High-use InteriorDecorative and Mini-Base665 to 1439 lumens</v>
      </c>
      <c r="F68" s="85">
        <v>353</v>
      </c>
      <c r="G68" s="85">
        <v>3175719.436126709</v>
      </c>
      <c r="H68" s="86">
        <f t="shared" ref="H68:H111" si="12">G68/SUM($G$67:$G$111)</f>
        <v>1.9152234332559567E-2</v>
      </c>
      <c r="I68" s="95">
        <v>51.04229769567479</v>
      </c>
      <c r="J68" s="88">
        <v>2.3191607170177666</v>
      </c>
      <c r="K68" s="96">
        <v>1.8804218456730055</v>
      </c>
      <c r="L68" s="96">
        <v>1.5058120967497639</v>
      </c>
      <c r="M68" s="86">
        <v>0.99245798531212559</v>
      </c>
      <c r="N68" s="97">
        <v>853.53211050442246</v>
      </c>
      <c r="AO68" s="2"/>
    </row>
    <row r="69" spans="1:41">
      <c r="A69" s="2"/>
      <c r="B69" s="92" t="s">
        <v>107</v>
      </c>
      <c r="C69" s="93" t="s">
        <v>29</v>
      </c>
      <c r="D69" s="93" t="s">
        <v>35</v>
      </c>
      <c r="E69" s="93" t="str">
        <f t="shared" si="11"/>
        <v>YESIncandescent and HalogenModerate and High-use InteriorDecorative and Mini-Base1440 to 2600 lumens</v>
      </c>
      <c r="F69" s="85">
        <v>11</v>
      </c>
      <c r="G69" s="85">
        <v>32662.220947265625</v>
      </c>
      <c r="H69" s="86">
        <f t="shared" si="12"/>
        <v>1.969804077424514E-4</v>
      </c>
      <c r="I69" s="95">
        <v>76.804923078620405</v>
      </c>
      <c r="J69" s="88">
        <v>1.9358048240815668</v>
      </c>
      <c r="K69" s="96">
        <v>1.5547508661637728</v>
      </c>
      <c r="L69" s="96">
        <v>1.7796066159004127</v>
      </c>
      <c r="M69" s="86">
        <v>1</v>
      </c>
      <c r="N69" s="97">
        <v>2009.252514251338</v>
      </c>
      <c r="AO69" s="2"/>
    </row>
    <row r="70" spans="1:41">
      <c r="A70" s="2"/>
      <c r="B70" s="92" t="s">
        <v>107</v>
      </c>
      <c r="C70" s="93" t="s">
        <v>32</v>
      </c>
      <c r="D70" s="93" t="str">
        <f>D67</f>
        <v>250 to 664 lumens</v>
      </c>
      <c r="E70" s="93" t="str">
        <f t="shared" si="11"/>
        <v>YESIncandescent and HalogenModerate and High-use InteriorGeneral Purpose and Dimmable250 to 664 lumens</v>
      </c>
      <c r="F70" s="85">
        <v>1738</v>
      </c>
      <c r="G70" s="85">
        <v>8304890.3674621582</v>
      </c>
      <c r="H70" s="86">
        <f t="shared" si="12"/>
        <v>5.0085408872846578E-2</v>
      </c>
      <c r="I70" s="95">
        <v>28.659934726296637</v>
      </c>
      <c r="J70" s="88">
        <v>2.3113818045229335</v>
      </c>
      <c r="K70" s="96">
        <v>1.875254299274449</v>
      </c>
      <c r="L70" s="96">
        <v>1.5213775325809218</v>
      </c>
      <c r="M70" s="86">
        <v>0.9440802050073801</v>
      </c>
      <c r="N70" s="97">
        <v>470.51330852315374</v>
      </c>
      <c r="AO70" s="2"/>
    </row>
    <row r="71" spans="1:41">
      <c r="A71" s="2"/>
      <c r="B71" s="92" t="s">
        <v>107</v>
      </c>
      <c r="C71" s="93" t="s">
        <v>32</v>
      </c>
      <c r="D71" s="93" t="str">
        <f t="shared" ref="D71:D81" si="13">D68</f>
        <v>665 to 1439 lumens</v>
      </c>
      <c r="E71" s="93" t="str">
        <f t="shared" si="11"/>
        <v>YESIncandescent and HalogenModerate and High-use InteriorGeneral Purpose and Dimmable665 to 1439 lumens</v>
      </c>
      <c r="F71" s="85">
        <v>7807</v>
      </c>
      <c r="G71" s="85">
        <v>39243611.453186035</v>
      </c>
      <c r="H71" s="86">
        <f t="shared" si="12"/>
        <v>0.23667167636321038</v>
      </c>
      <c r="I71" s="95">
        <v>44.044164513115831</v>
      </c>
      <c r="J71" s="88">
        <v>2.263858399523309</v>
      </c>
      <c r="K71" s="96">
        <v>1.8317154105384106</v>
      </c>
      <c r="L71" s="96">
        <v>1.5547177883791552</v>
      </c>
      <c r="M71" s="86">
        <v>0.90537835122374954</v>
      </c>
      <c r="N71" s="97">
        <v>881.40697863450475</v>
      </c>
      <c r="AO71" s="2"/>
    </row>
    <row r="72" spans="1:41">
      <c r="A72" s="2"/>
      <c r="B72" s="92" t="s">
        <v>107</v>
      </c>
      <c r="C72" s="93" t="s">
        <v>32</v>
      </c>
      <c r="D72" s="93" t="str">
        <f t="shared" si="13"/>
        <v>1440 to 2600 lumens</v>
      </c>
      <c r="E72" s="93" t="str">
        <f t="shared" si="11"/>
        <v>YESIncandescent and HalogenModerate and High-use InteriorGeneral Purpose and Dimmable1440 to 2600 lumens</v>
      </c>
      <c r="F72" s="85">
        <v>1190</v>
      </c>
      <c r="G72" s="85">
        <v>4833886.5715637207</v>
      </c>
      <c r="H72" s="86">
        <f t="shared" si="12"/>
        <v>2.9152363808471991E-2</v>
      </c>
      <c r="I72" s="95">
        <v>72.032332122946542</v>
      </c>
      <c r="J72" s="88">
        <v>1.8882973008214836</v>
      </c>
      <c r="K72" s="96">
        <v>1.9142200018370514</v>
      </c>
      <c r="L72" s="96">
        <v>1.4847518324649827</v>
      </c>
      <c r="M72" s="86">
        <v>0.8530697008989776</v>
      </c>
      <c r="N72" s="97">
        <v>1793.2601220189479</v>
      </c>
      <c r="AO72" s="2"/>
    </row>
    <row r="73" spans="1:41">
      <c r="A73" s="2"/>
      <c r="B73" s="92" t="s">
        <v>107</v>
      </c>
      <c r="C73" s="93" t="s">
        <v>34</v>
      </c>
      <c r="D73" s="93" t="str">
        <f t="shared" si="13"/>
        <v>250 to 664 lumens</v>
      </c>
      <c r="E73" s="93" t="str">
        <f t="shared" si="11"/>
        <v>YESIncandescent and HalogenModerate and High-use InteriorGlobe250 to 664 lumens</v>
      </c>
      <c r="F73" s="85">
        <v>163</v>
      </c>
      <c r="G73" s="85">
        <v>1169879.102722168</v>
      </c>
      <c r="H73" s="86">
        <f t="shared" si="12"/>
        <v>7.0553457780977323E-3</v>
      </c>
      <c r="I73" s="95">
        <v>28.584772966286732</v>
      </c>
      <c r="J73" s="88">
        <v>2.1746741426522349</v>
      </c>
      <c r="K73" s="96">
        <v>1.8922912764645765</v>
      </c>
      <c r="L73" s="96">
        <v>1.5058790165203084</v>
      </c>
      <c r="M73" s="86">
        <v>0.99111022069133803</v>
      </c>
      <c r="N73" s="97">
        <v>467.31436275597071</v>
      </c>
      <c r="AO73" s="2"/>
    </row>
    <row r="74" spans="1:41">
      <c r="A74" s="2"/>
      <c r="B74" s="92" t="s">
        <v>107</v>
      </c>
      <c r="C74" s="93" t="s">
        <v>34</v>
      </c>
      <c r="D74" s="93" t="str">
        <f t="shared" si="13"/>
        <v>665 to 1439 lumens</v>
      </c>
      <c r="E74" s="93" t="str">
        <f t="shared" si="11"/>
        <v>YESIncandescent and HalogenModerate and High-use InteriorGlobe665 to 1439 lumens</v>
      </c>
      <c r="F74" s="85">
        <v>143</v>
      </c>
      <c r="G74" s="85">
        <v>667544.07534790039</v>
      </c>
      <c r="H74" s="86">
        <f t="shared" si="12"/>
        <v>4.0258469979854595E-3</v>
      </c>
      <c r="I74" s="95">
        <v>44.545756322255947</v>
      </c>
      <c r="J74" s="88">
        <v>4.6901251814495462</v>
      </c>
      <c r="K74" s="96">
        <v>1.9122475820063312</v>
      </c>
      <c r="L74" s="96">
        <v>1.486945675141198</v>
      </c>
      <c r="M74" s="86">
        <v>0.97695829612860063</v>
      </c>
      <c r="N74" s="97">
        <v>898.47891425126659</v>
      </c>
      <c r="AO74" s="2"/>
    </row>
    <row r="75" spans="1:41">
      <c r="A75" s="2"/>
      <c r="B75" s="92" t="s">
        <v>107</v>
      </c>
      <c r="C75" s="93" t="s">
        <v>34</v>
      </c>
      <c r="D75" s="93" t="str">
        <f t="shared" si="13"/>
        <v>1440 to 2600 lumens</v>
      </c>
      <c r="E75" s="93" t="str">
        <f t="shared" si="11"/>
        <v>YESIncandescent and HalogenModerate and High-use InteriorGlobe1440 to 2600 lumens</v>
      </c>
      <c r="F75" s="85">
        <v>42</v>
      </c>
      <c r="G75" s="85">
        <v>246091.42346191406</v>
      </c>
      <c r="H75" s="86">
        <f t="shared" si="12"/>
        <v>1.4841363364026319E-3</v>
      </c>
      <c r="I75" s="95">
        <v>72</v>
      </c>
      <c r="J75" s="88">
        <v>5.575399139392359</v>
      </c>
      <c r="K75" s="96">
        <v>1.9830458721583719</v>
      </c>
      <c r="L75" s="96">
        <v>1.421815806184936</v>
      </c>
      <c r="M75" s="86">
        <v>0.90083080453090458</v>
      </c>
      <c r="N75" s="97">
        <v>1824.4768327911486</v>
      </c>
      <c r="AO75" s="2"/>
    </row>
    <row r="76" spans="1:41">
      <c r="A76" s="2"/>
      <c r="B76" s="92" t="s">
        <v>107</v>
      </c>
      <c r="C76" s="93" t="s">
        <v>36</v>
      </c>
      <c r="D76" s="93" t="str">
        <f t="shared" si="13"/>
        <v>250 to 664 lumens</v>
      </c>
      <c r="E76" s="93" t="str">
        <f t="shared" si="11"/>
        <v>YESIncandescent and HalogenModerate and High-use InteriorReflectors and Outdoor250 to 664 lumens</v>
      </c>
      <c r="F76" s="85">
        <v>235</v>
      </c>
      <c r="G76" s="85">
        <v>2072726.7409362793</v>
      </c>
      <c r="H76" s="86">
        <f t="shared" si="12"/>
        <v>1.2500269324229501E-2</v>
      </c>
      <c r="I76" s="95">
        <v>36.875192452490978</v>
      </c>
      <c r="J76" s="88">
        <v>4.831897288195707</v>
      </c>
      <c r="K76" s="96">
        <v>2.0600961243557925</v>
      </c>
      <c r="L76" s="96">
        <v>1.3870437704491934</v>
      </c>
      <c r="M76" s="86">
        <v>0.98904120549169894</v>
      </c>
      <c r="N76" s="97">
        <v>457.39190076663414</v>
      </c>
      <c r="AO76" s="2"/>
    </row>
    <row r="77" spans="1:41">
      <c r="A77" s="2"/>
      <c r="B77" s="92" t="s">
        <v>107</v>
      </c>
      <c r="C77" s="93" t="s">
        <v>36</v>
      </c>
      <c r="D77" s="93" t="str">
        <f t="shared" si="13"/>
        <v>665 to 1439 lumens</v>
      </c>
      <c r="E77" s="93" t="str">
        <f t="shared" si="11"/>
        <v>YESIncandescent and HalogenModerate and High-use InteriorReflectors and Outdoor665 to 1439 lumens</v>
      </c>
      <c r="F77" s="85">
        <v>1395</v>
      </c>
      <c r="G77" s="85">
        <v>15364103.476531982</v>
      </c>
      <c r="H77" s="86">
        <f t="shared" si="12"/>
        <v>9.2658345930938524E-2</v>
      </c>
      <c r="I77" s="95">
        <v>63.750944757460118</v>
      </c>
      <c r="J77" s="88">
        <v>6.9970891834903597</v>
      </c>
      <c r="K77" s="96">
        <v>2.1474506598096346</v>
      </c>
      <c r="L77" s="96">
        <v>1.3191523025903396</v>
      </c>
      <c r="M77" s="86">
        <v>0.98021681861352861</v>
      </c>
      <c r="N77" s="97">
        <v>964.92271751751707</v>
      </c>
      <c r="AO77" s="2"/>
    </row>
    <row r="78" spans="1:41">
      <c r="A78" s="2"/>
      <c r="B78" s="92" t="s">
        <v>107</v>
      </c>
      <c r="C78" s="93" t="s">
        <v>36</v>
      </c>
      <c r="D78" s="93" t="str">
        <f t="shared" si="13"/>
        <v>1440 to 2600 lumens</v>
      </c>
      <c r="E78" s="93" t="str">
        <f t="shared" si="11"/>
        <v>YESIncandescent and HalogenModerate and High-use InteriorReflectors and Outdoor1440 to 2600 lumens</v>
      </c>
      <c r="F78" s="85">
        <v>42</v>
      </c>
      <c r="G78" s="85">
        <v>315609.35662841797</v>
      </c>
      <c r="H78" s="86">
        <f t="shared" si="12"/>
        <v>1.9033873984372488E-3</v>
      </c>
      <c r="I78" s="95">
        <v>92.020786513107268</v>
      </c>
      <c r="J78" s="88">
        <v>6.5116376476221518</v>
      </c>
      <c r="K78" s="96">
        <v>1.9672684313246862</v>
      </c>
      <c r="L78" s="96">
        <v>1.4493398606392756</v>
      </c>
      <c r="M78" s="86">
        <v>0.89589865499713306</v>
      </c>
      <c r="N78" s="97">
        <v>1846.7761217535806</v>
      </c>
      <c r="AO78" s="2"/>
    </row>
    <row r="79" spans="1:41">
      <c r="A79" s="2"/>
      <c r="B79" s="92" t="s">
        <v>107</v>
      </c>
      <c r="C79" s="93" t="s">
        <v>37</v>
      </c>
      <c r="D79" s="93" t="str">
        <f t="shared" si="13"/>
        <v>250 to 664 lumens</v>
      </c>
      <c r="E79" s="93" t="str">
        <f t="shared" si="11"/>
        <v>YESIncandescent and HalogenModerate and High-use InteriorThree-Way250 to 664 lumens</v>
      </c>
      <c r="F79" s="85">
        <v>6</v>
      </c>
      <c r="G79" s="85">
        <v>27087.824340820313</v>
      </c>
      <c r="H79" s="86">
        <f t="shared" si="12"/>
        <v>1.6336215140193576E-4</v>
      </c>
      <c r="I79" s="95">
        <v>39.764738906253271</v>
      </c>
      <c r="J79" s="88">
        <v>2.1746741426522362</v>
      </c>
      <c r="K79" s="96">
        <v>1.7840747704079254</v>
      </c>
      <c r="L79" s="96">
        <v>1.5997978193153977</v>
      </c>
      <c r="M79" s="86">
        <v>1</v>
      </c>
      <c r="N79" s="97">
        <v>477.14153667962012</v>
      </c>
      <c r="AO79" s="2"/>
    </row>
    <row r="80" spans="1:41">
      <c r="A80" s="2"/>
      <c r="B80" s="92" t="s">
        <v>107</v>
      </c>
      <c r="C80" s="93" t="s">
        <v>37</v>
      </c>
      <c r="D80" s="93" t="str">
        <f t="shared" si="13"/>
        <v>665 to 1439 lumens</v>
      </c>
      <c r="E80" s="93" t="str">
        <f t="shared" si="11"/>
        <v>YESIncandescent and HalogenModerate and High-use InteriorThree-Way665 to 1439 lumens</v>
      </c>
      <c r="F80" s="85">
        <v>105</v>
      </c>
      <c r="G80" s="85">
        <v>349497.16363525391</v>
      </c>
      <c r="H80" s="86">
        <f t="shared" si="12"/>
        <v>2.1077591113247912E-3</v>
      </c>
      <c r="I80" s="95">
        <v>74.48319691210024</v>
      </c>
      <c r="J80" s="88">
        <v>4.2182051637414384</v>
      </c>
      <c r="K80" s="96">
        <v>1.9569961623937979</v>
      </c>
      <c r="L80" s="96">
        <v>1.4625922178886739</v>
      </c>
      <c r="M80" s="86">
        <v>1</v>
      </c>
      <c r="N80" s="97">
        <v>1138.390548368689</v>
      </c>
      <c r="AO80" s="2"/>
    </row>
    <row r="81" spans="1:41">
      <c r="A81" s="2"/>
      <c r="B81" s="92" t="s">
        <v>107</v>
      </c>
      <c r="C81" s="93" t="s">
        <v>37</v>
      </c>
      <c r="D81" s="93" t="str">
        <f t="shared" si="13"/>
        <v>1440 to 2600 lumens</v>
      </c>
      <c r="E81" s="93" t="str">
        <f t="shared" si="11"/>
        <v>YESIncandescent and HalogenModerate and High-use InteriorThree-Way1440 to 2600 lumens</v>
      </c>
      <c r="F81" s="85">
        <v>528</v>
      </c>
      <c r="G81" s="85">
        <v>1853391.0507507324</v>
      </c>
      <c r="H81" s="86">
        <f t="shared" si="12"/>
        <v>1.1177492353398986E-2</v>
      </c>
      <c r="I81" s="95">
        <v>116.6279141100857</v>
      </c>
      <c r="J81" s="88">
        <v>5.5753991393923519</v>
      </c>
      <c r="K81" s="96">
        <v>2.0072532026644549</v>
      </c>
      <c r="L81" s="96">
        <v>1.4214224235126045</v>
      </c>
      <c r="M81" s="86">
        <v>0.99920972224129778</v>
      </c>
      <c r="N81" s="97">
        <v>1991.7758559161432</v>
      </c>
      <c r="AO81" s="2"/>
    </row>
    <row r="82" spans="1:41">
      <c r="A82" s="2"/>
      <c r="B82" s="92" t="s">
        <v>108</v>
      </c>
      <c r="C82" s="93" t="s">
        <v>29</v>
      </c>
      <c r="D82" s="93" t="s">
        <v>30</v>
      </c>
      <c r="E82" s="93" t="str">
        <f t="shared" si="11"/>
        <v>YESIncandescent and HalogenLow-use InteriorDecorative and Mini-Base250 to 664 lumens</v>
      </c>
      <c r="F82" s="85">
        <v>494</v>
      </c>
      <c r="G82" s="85">
        <v>6086875.352722168</v>
      </c>
      <c r="H82" s="86">
        <f t="shared" si="12"/>
        <v>3.6708930197750879E-2</v>
      </c>
      <c r="I82" s="95">
        <v>31.056288641409019</v>
      </c>
      <c r="J82" s="88">
        <v>1.5575459676625192</v>
      </c>
      <c r="K82" s="96">
        <v>1.3229876854451406</v>
      </c>
      <c r="L82" s="96">
        <v>2.073532260621286</v>
      </c>
      <c r="M82" s="86">
        <v>0.99647057209171652</v>
      </c>
      <c r="N82" s="97">
        <v>413.51891373379578</v>
      </c>
      <c r="AO82" s="2"/>
    </row>
    <row r="83" spans="1:41">
      <c r="A83" s="2"/>
      <c r="B83" s="92" t="s">
        <v>108</v>
      </c>
      <c r="C83" s="93" t="s">
        <v>29</v>
      </c>
      <c r="D83" s="93" t="s">
        <v>33</v>
      </c>
      <c r="E83" s="93" t="str">
        <f t="shared" si="11"/>
        <v>YESIncandescent and HalogenLow-use InteriorDecorative and Mini-Base665 to 1439 lumens</v>
      </c>
      <c r="F83" s="85">
        <v>179</v>
      </c>
      <c r="G83" s="85">
        <v>1474350.2520751953</v>
      </c>
      <c r="H83" s="86">
        <f t="shared" si="12"/>
        <v>8.8915605058776884E-3</v>
      </c>
      <c r="I83" s="95">
        <v>51.344297637180865</v>
      </c>
      <c r="J83" s="88">
        <v>2.3221059188713338</v>
      </c>
      <c r="K83" s="96">
        <v>1.3336464384083153</v>
      </c>
      <c r="L83" s="96">
        <v>2.0584970385035781</v>
      </c>
      <c r="M83" s="86">
        <v>0.99835685960665377</v>
      </c>
      <c r="N83" s="97">
        <v>853.68747395828086</v>
      </c>
      <c r="AO83" s="2"/>
    </row>
    <row r="84" spans="1:41">
      <c r="A84" s="2"/>
      <c r="B84" s="92" t="s">
        <v>108</v>
      </c>
      <c r="C84" s="93" t="s">
        <v>29</v>
      </c>
      <c r="D84" s="93" t="s">
        <v>35</v>
      </c>
      <c r="E84" s="93" t="str">
        <f t="shared" si="11"/>
        <v>YESIncandescent and HalogenLow-use InteriorDecorative and Mini-Base1440 to 2600 lumens</v>
      </c>
      <c r="F84" s="85">
        <v>5</v>
      </c>
      <c r="G84" s="85">
        <v>25515.093322753906</v>
      </c>
      <c r="H84" s="86">
        <f t="shared" si="12"/>
        <v>1.5387727290245773E-4</v>
      </c>
      <c r="I84" s="95">
        <v>81.130253171012356</v>
      </c>
      <c r="J84" s="88">
        <v>2.0575519860417137</v>
      </c>
      <c r="K84" s="96">
        <v>1.348912070558995</v>
      </c>
      <c r="L84" s="96">
        <v>2.0340950641098092</v>
      </c>
      <c r="M84" s="86">
        <v>1</v>
      </c>
      <c r="N84" s="97">
        <v>1748.5925646572418</v>
      </c>
      <c r="AO84" s="2"/>
    </row>
    <row r="85" spans="1:41">
      <c r="A85" s="2"/>
      <c r="B85" s="92" t="s">
        <v>108</v>
      </c>
      <c r="C85" s="93" t="s">
        <v>32</v>
      </c>
      <c r="D85" s="93" t="str">
        <f>D82</f>
        <v>250 to 664 lumens</v>
      </c>
      <c r="E85" s="93" t="str">
        <f t="shared" si="11"/>
        <v>YESIncandescent and HalogenLow-use InteriorGeneral Purpose and Dimmable250 to 664 lumens</v>
      </c>
      <c r="F85" s="85">
        <v>934</v>
      </c>
      <c r="G85" s="85">
        <v>5742786.5003356934</v>
      </c>
      <c r="H85" s="86">
        <f t="shared" si="12"/>
        <v>3.4633787709671106E-2</v>
      </c>
      <c r="I85" s="95">
        <v>28.705298967647401</v>
      </c>
      <c r="J85" s="88">
        <v>2.3287270282193013</v>
      </c>
      <c r="K85" s="96">
        <v>1.3231501920856423</v>
      </c>
      <c r="L85" s="96">
        <v>2.0729918330982953</v>
      </c>
      <c r="M85" s="86">
        <v>0.97031964935798609</v>
      </c>
      <c r="N85" s="97">
        <v>473.42115259544403</v>
      </c>
      <c r="AO85" s="2"/>
    </row>
    <row r="86" spans="1:41">
      <c r="A86" s="2"/>
      <c r="B86" s="92" t="s">
        <v>108</v>
      </c>
      <c r="C86" s="93" t="s">
        <v>32</v>
      </c>
      <c r="D86" s="93" t="str">
        <f t="shared" ref="D86:D96" si="14">D83</f>
        <v>665 to 1439 lumens</v>
      </c>
      <c r="E86" s="93" t="str">
        <f t="shared" si="11"/>
        <v>YESIncandescent and HalogenLow-use InteriorGeneral Purpose and Dimmable665 to 1439 lumens</v>
      </c>
      <c r="F86" s="85">
        <v>4623</v>
      </c>
      <c r="G86" s="85">
        <v>23502341.87802124</v>
      </c>
      <c r="H86" s="86">
        <f t="shared" si="12"/>
        <v>0.14173870458808105</v>
      </c>
      <c r="I86" s="95">
        <v>44.015717484635118</v>
      </c>
      <c r="J86" s="88">
        <v>2.2630954365249663</v>
      </c>
      <c r="K86" s="96">
        <v>1.3404906259685949</v>
      </c>
      <c r="L86" s="96">
        <v>2.0482526878023872</v>
      </c>
      <c r="M86" s="86">
        <v>0.97992771969263459</v>
      </c>
      <c r="N86" s="97">
        <v>879.83667765238226</v>
      </c>
      <c r="AO86" s="2"/>
    </row>
    <row r="87" spans="1:41">
      <c r="A87" s="2"/>
      <c r="B87" s="92" t="s">
        <v>108</v>
      </c>
      <c r="C87" s="93" t="s">
        <v>32</v>
      </c>
      <c r="D87" s="93" t="str">
        <f t="shared" si="14"/>
        <v>1440 to 2600 lumens</v>
      </c>
      <c r="E87" s="93" t="str">
        <f t="shared" si="11"/>
        <v>YESIncandescent and HalogenLow-use InteriorGeneral Purpose and Dimmable1440 to 2600 lumens</v>
      </c>
      <c r="F87" s="85">
        <v>485</v>
      </c>
      <c r="G87" s="85">
        <v>2083868.2407226563</v>
      </c>
      <c r="H87" s="86">
        <f t="shared" si="12"/>
        <v>1.2567461851471489E-2</v>
      </c>
      <c r="I87" s="95">
        <v>72</v>
      </c>
      <c r="J87" s="88">
        <v>1.8882973008214881</v>
      </c>
      <c r="K87" s="96">
        <v>1.3590750905744515</v>
      </c>
      <c r="L87" s="96">
        <v>2.0223214606050539</v>
      </c>
      <c r="M87" s="86">
        <v>0.9381422804473778</v>
      </c>
      <c r="N87" s="97">
        <v>1716.6491033015288</v>
      </c>
      <c r="AO87" s="2"/>
    </row>
    <row r="88" spans="1:41">
      <c r="A88" s="2"/>
      <c r="B88" s="92" t="s">
        <v>108</v>
      </c>
      <c r="C88" s="93" t="s">
        <v>34</v>
      </c>
      <c r="D88" s="93" t="str">
        <f t="shared" si="14"/>
        <v>250 to 664 lumens</v>
      </c>
      <c r="E88" s="93" t="str">
        <f t="shared" si="11"/>
        <v>YESIncandescent and HalogenLow-use InteriorGlobe250 to 664 lumens</v>
      </c>
      <c r="F88" s="85">
        <v>691</v>
      </c>
      <c r="G88" s="85">
        <v>8717793.4221191406</v>
      </c>
      <c r="H88" s="86">
        <f t="shared" si="12"/>
        <v>5.2575558339282201E-2</v>
      </c>
      <c r="I88" s="95">
        <v>28.714586615662693</v>
      </c>
      <c r="J88" s="88">
        <v>2.1746741426522327</v>
      </c>
      <c r="K88" s="96">
        <v>1.3034700502773071</v>
      </c>
      <c r="L88" s="96">
        <v>2.1010788361014541</v>
      </c>
      <c r="M88" s="86">
        <v>0.99977015794259494</v>
      </c>
      <c r="N88" s="97">
        <v>473.32426901503334</v>
      </c>
      <c r="AO88" s="2"/>
    </row>
    <row r="89" spans="1:41">
      <c r="A89" s="2"/>
      <c r="B89" s="92" t="s">
        <v>108</v>
      </c>
      <c r="C89" s="93" t="s">
        <v>34</v>
      </c>
      <c r="D89" s="93" t="str">
        <f t="shared" si="14"/>
        <v>665 to 1439 lumens</v>
      </c>
      <c r="E89" s="93" t="str">
        <f t="shared" si="11"/>
        <v>YESIncandescent and HalogenLow-use InteriorGlobe665 to 1439 lumens</v>
      </c>
      <c r="F89" s="85">
        <v>405</v>
      </c>
      <c r="G89" s="85">
        <v>4553089.017578125</v>
      </c>
      <c r="H89" s="86">
        <f t="shared" si="12"/>
        <v>2.7458920586516316E-2</v>
      </c>
      <c r="I89" s="95">
        <v>43.292879245169587</v>
      </c>
      <c r="J89" s="88">
        <v>4.8056123158102535</v>
      </c>
      <c r="K89" s="96">
        <v>1.3020853555886207</v>
      </c>
      <c r="L89" s="96">
        <v>2.1030665428210464</v>
      </c>
      <c r="M89" s="86">
        <v>0.9965146316978637</v>
      </c>
      <c r="N89" s="97">
        <v>851.65750878425138</v>
      </c>
      <c r="AO89" s="2"/>
    </row>
    <row r="90" spans="1:41">
      <c r="A90" s="2"/>
      <c r="B90" s="92" t="s">
        <v>108</v>
      </c>
      <c r="C90" s="93" t="s">
        <v>34</v>
      </c>
      <c r="D90" s="93" t="str">
        <f t="shared" si="14"/>
        <v>1440 to 2600 lumens</v>
      </c>
      <c r="E90" s="93" t="str">
        <f t="shared" si="11"/>
        <v>YESIncandescent and HalogenLow-use InteriorGlobe1440 to 2600 lumens</v>
      </c>
      <c r="F90" s="85">
        <v>17</v>
      </c>
      <c r="G90" s="85">
        <v>143074.95886230469</v>
      </c>
      <c r="H90" s="86">
        <f t="shared" si="12"/>
        <v>8.6286121754958688E-4</v>
      </c>
      <c r="I90" s="95">
        <v>72</v>
      </c>
      <c r="J90" s="88">
        <v>5.575399139392359</v>
      </c>
      <c r="K90" s="96">
        <v>1.3116030166022594</v>
      </c>
      <c r="L90" s="96">
        <v>2.089748129518231</v>
      </c>
      <c r="M90" s="86">
        <v>0.9499854745458165</v>
      </c>
      <c r="N90" s="97">
        <v>1825.5679343172508</v>
      </c>
      <c r="AO90" s="2"/>
    </row>
    <row r="91" spans="1:41">
      <c r="A91" s="2"/>
      <c r="B91" s="92" t="s">
        <v>108</v>
      </c>
      <c r="C91" s="93" t="s">
        <v>36</v>
      </c>
      <c r="D91" s="93" t="str">
        <f t="shared" si="14"/>
        <v>250 to 664 lumens</v>
      </c>
      <c r="E91" s="93" t="str">
        <f t="shared" si="11"/>
        <v>YESIncandescent and HalogenLow-use InteriorReflectors and Outdoor250 to 664 lumens</v>
      </c>
      <c r="F91" s="85">
        <v>93</v>
      </c>
      <c r="G91" s="85">
        <v>822547.40454101563</v>
      </c>
      <c r="H91" s="86">
        <f t="shared" si="12"/>
        <v>4.960646227811053E-3</v>
      </c>
      <c r="I91" s="95">
        <v>39.453210971183672</v>
      </c>
      <c r="J91" s="88">
        <v>4.3801196336906862</v>
      </c>
      <c r="K91" s="96">
        <v>1.3224729084963405</v>
      </c>
      <c r="L91" s="96">
        <v>2.0743106734736472</v>
      </c>
      <c r="M91" s="86">
        <v>0.99536978000486387</v>
      </c>
      <c r="N91" s="97">
        <v>485.73742645429837</v>
      </c>
      <c r="AO91" s="2"/>
    </row>
    <row r="92" spans="1:41">
      <c r="A92" s="2"/>
      <c r="B92" s="92" t="s">
        <v>108</v>
      </c>
      <c r="C92" s="93" t="s">
        <v>36</v>
      </c>
      <c r="D92" s="93" t="str">
        <f t="shared" si="14"/>
        <v>665 to 1439 lumens</v>
      </c>
      <c r="E92" s="93" t="str">
        <f t="shared" si="11"/>
        <v>YESIncandescent and HalogenLow-use InteriorReflectors and Outdoor665 to 1439 lumens</v>
      </c>
      <c r="F92" s="85">
        <v>873</v>
      </c>
      <c r="G92" s="85">
        <v>6432272.0572814941</v>
      </c>
      <c r="H92" s="86">
        <f t="shared" si="12"/>
        <v>3.8791960124186141E-2</v>
      </c>
      <c r="I92" s="95">
        <v>63.939537328237783</v>
      </c>
      <c r="J92" s="88">
        <v>6.9569222855741462</v>
      </c>
      <c r="K92" s="96">
        <v>1.3387862640853463</v>
      </c>
      <c r="L92" s="96">
        <v>2.051205733325931</v>
      </c>
      <c r="M92" s="86">
        <v>0.99470756145917694</v>
      </c>
      <c r="N92" s="97">
        <v>972.36695879825027</v>
      </c>
      <c r="AO92" s="2"/>
    </row>
    <row r="93" spans="1:41">
      <c r="A93" s="2"/>
      <c r="B93" s="92" t="s">
        <v>108</v>
      </c>
      <c r="C93" s="93" t="s">
        <v>36</v>
      </c>
      <c r="D93" s="93" t="str">
        <f t="shared" si="14"/>
        <v>1440 to 2600 lumens</v>
      </c>
      <c r="E93" s="93" t="str">
        <f t="shared" si="11"/>
        <v>YESIncandescent and HalogenLow-use InteriorReflectors and Outdoor1440 to 2600 lumens</v>
      </c>
      <c r="F93" s="85">
        <v>80</v>
      </c>
      <c r="G93" s="85">
        <v>290967.13549804687</v>
      </c>
      <c r="H93" s="86">
        <f t="shared" si="12"/>
        <v>1.7547742721658549E-3</v>
      </c>
      <c r="I93" s="95">
        <v>99.373376669829881</v>
      </c>
      <c r="J93" s="88">
        <v>6.029503461851272</v>
      </c>
      <c r="K93" s="96">
        <v>1.3091695226815501</v>
      </c>
      <c r="L93" s="96">
        <v>2.0931459436578796</v>
      </c>
      <c r="M93" s="86">
        <v>0.97111658840517867</v>
      </c>
      <c r="N93" s="97">
        <v>2035.8316886932143</v>
      </c>
      <c r="AO93" s="2"/>
    </row>
    <row r="94" spans="1:41">
      <c r="A94" s="2"/>
      <c r="B94" s="92" t="s">
        <v>108</v>
      </c>
      <c r="C94" s="93" t="s">
        <v>37</v>
      </c>
      <c r="D94" s="93" t="str">
        <f t="shared" si="14"/>
        <v>250 to 664 lumens</v>
      </c>
      <c r="E94" s="93" t="str">
        <f t="shared" si="11"/>
        <v>YESIncandescent and HalogenLow-use InteriorThree-Way250 to 664 lumens</v>
      </c>
      <c r="F94" s="85">
        <v>1</v>
      </c>
      <c r="G94" s="85">
        <v>14869.47802734375</v>
      </c>
      <c r="H94" s="86">
        <f t="shared" si="12"/>
        <v>8.967534233120788E-5</v>
      </c>
      <c r="I94" s="95">
        <v>30</v>
      </c>
      <c r="J94" s="88">
        <v>2.1746741426522362</v>
      </c>
      <c r="K94" s="96">
        <v>1.3</v>
      </c>
      <c r="L94" s="96">
        <v>2.1060390670246933</v>
      </c>
      <c r="M94" s="86">
        <v>1</v>
      </c>
      <c r="N94" s="97">
        <v>300</v>
      </c>
      <c r="AO94" s="2"/>
    </row>
    <row r="95" spans="1:41">
      <c r="A95" s="2"/>
      <c r="B95" s="92" t="s">
        <v>108</v>
      </c>
      <c r="C95" s="93" t="s">
        <v>37</v>
      </c>
      <c r="D95" s="93" t="str">
        <f t="shared" si="14"/>
        <v>665 to 1439 lumens</v>
      </c>
      <c r="E95" s="93" t="str">
        <f t="shared" si="11"/>
        <v>YESIncandescent and HalogenLow-use InteriorThree-Way665 to 1439 lumens</v>
      </c>
      <c r="F95" s="85">
        <v>3</v>
      </c>
      <c r="G95" s="85">
        <v>9804.8828125</v>
      </c>
      <c r="H95" s="86">
        <f t="shared" si="12"/>
        <v>5.9131613168359627E-5</v>
      </c>
      <c r="I95" s="95">
        <v>69.557144653492955</v>
      </c>
      <c r="J95" s="88">
        <v>4.832609205893859</v>
      </c>
      <c r="K95" s="96">
        <v>1.3000000000000003</v>
      </c>
      <c r="L95" s="96">
        <v>2.1060390670246933</v>
      </c>
      <c r="M95" s="86">
        <v>1</v>
      </c>
      <c r="N95" s="97">
        <v>973.80002514890145</v>
      </c>
      <c r="AO95" s="2"/>
    </row>
    <row r="96" spans="1:41">
      <c r="A96" s="2"/>
      <c r="B96" s="92" t="s">
        <v>108</v>
      </c>
      <c r="C96" s="93" t="s">
        <v>37</v>
      </c>
      <c r="D96" s="93" t="str">
        <f t="shared" si="14"/>
        <v>1440 to 2600 lumens</v>
      </c>
      <c r="E96" s="93" t="str">
        <f t="shared" si="11"/>
        <v>YESIncandescent and HalogenLow-use InteriorThree-Way1440 to 2600 lumens</v>
      </c>
      <c r="F96" s="85">
        <v>46</v>
      </c>
      <c r="G96" s="85">
        <v>133030.56622314453</v>
      </c>
      <c r="H96" s="86">
        <f t="shared" si="12"/>
        <v>8.0228516055758114E-4</v>
      </c>
      <c r="I96" s="95">
        <v>119.76539013025679</v>
      </c>
      <c r="J96" s="88">
        <v>5.5753991393923545</v>
      </c>
      <c r="K96" s="96">
        <v>1.3481100119456109</v>
      </c>
      <c r="L96" s="96">
        <v>2.0384913572430383</v>
      </c>
      <c r="M96" s="86">
        <v>1</v>
      </c>
      <c r="N96" s="97">
        <v>2048.8052201222258</v>
      </c>
      <c r="AO96" s="2"/>
    </row>
    <row r="97" spans="1:41">
      <c r="A97" s="2"/>
      <c r="B97" s="92" t="s">
        <v>109</v>
      </c>
      <c r="C97" s="93" t="s">
        <v>29</v>
      </c>
      <c r="D97" s="93" t="s">
        <v>30</v>
      </c>
      <c r="E97" s="93" t="str">
        <f t="shared" si="11"/>
        <v>YESIncandescent and HalogenExteriorDecorative and Mini-Base250 to 664 lumens</v>
      </c>
      <c r="F97" s="85">
        <v>70</v>
      </c>
      <c r="G97" s="85">
        <v>901802.85900878906</v>
      </c>
      <c r="H97" s="86">
        <f t="shared" si="12"/>
        <v>5.4386226569730833E-3</v>
      </c>
      <c r="I97" s="95">
        <v>30.0120387457291</v>
      </c>
      <c r="J97" s="88">
        <v>1.8433087783360134</v>
      </c>
      <c r="K97" s="96">
        <v>3.7999999999999989</v>
      </c>
      <c r="L97" s="96">
        <v>0.72048704924528983</v>
      </c>
      <c r="M97" s="86">
        <v>0</v>
      </c>
      <c r="N97" s="97">
        <v>431.2793216108214</v>
      </c>
      <c r="AO97" s="2"/>
    </row>
    <row r="98" spans="1:41">
      <c r="A98" s="2"/>
      <c r="B98" s="92" t="s">
        <v>109</v>
      </c>
      <c r="C98" s="93" t="s">
        <v>29</v>
      </c>
      <c r="D98" s="93" t="s">
        <v>33</v>
      </c>
      <c r="E98" s="93" t="str">
        <f t="shared" si="11"/>
        <v>YESIncandescent and HalogenExteriorDecorative and Mini-Base665 to 1439 lumens</v>
      </c>
      <c r="F98" s="85">
        <v>33</v>
      </c>
      <c r="G98" s="85">
        <v>442365.6650390625</v>
      </c>
      <c r="H98" s="86">
        <f t="shared" si="12"/>
        <v>2.6678335564302791E-3</v>
      </c>
      <c r="I98" s="95">
        <v>49.025617616599845</v>
      </c>
      <c r="J98" s="88">
        <v>2.3053102965627406</v>
      </c>
      <c r="K98" s="96">
        <v>3.7999999999999994</v>
      </c>
      <c r="L98" s="96">
        <v>0.72048704924529017</v>
      </c>
      <c r="M98" s="86">
        <v>0</v>
      </c>
      <c r="N98" s="97">
        <v>852.04072746902193</v>
      </c>
      <c r="AO98" s="2"/>
    </row>
    <row r="99" spans="1:41">
      <c r="A99" s="2"/>
      <c r="B99" s="92" t="s">
        <v>109</v>
      </c>
      <c r="C99" s="93" t="s">
        <v>29</v>
      </c>
      <c r="D99" s="93" t="s">
        <v>35</v>
      </c>
      <c r="E99" s="93" t="str">
        <f t="shared" si="11"/>
        <v>YESIncandescent and HalogenExteriorDecorative and Mini-Base1440 to 2600 lumens</v>
      </c>
      <c r="F99" s="85">
        <v>1</v>
      </c>
      <c r="G99" s="85">
        <v>4956.49267578125</v>
      </c>
      <c r="H99" s="86">
        <f t="shared" si="12"/>
        <v>2.9891780777069292E-5</v>
      </c>
      <c r="I99" s="95">
        <v>150</v>
      </c>
      <c r="J99" s="88">
        <v>2.4073553266397183</v>
      </c>
      <c r="K99" s="96">
        <v>3.8000000000000003</v>
      </c>
      <c r="L99" s="96">
        <v>0.72048704924528983</v>
      </c>
      <c r="M99" s="86">
        <v>0</v>
      </c>
      <c r="N99" s="97">
        <v>2600</v>
      </c>
      <c r="AO99" s="2"/>
    </row>
    <row r="100" spans="1:41">
      <c r="A100" s="2"/>
      <c r="B100" s="92" t="s">
        <v>109</v>
      </c>
      <c r="C100" s="93" t="s">
        <v>32</v>
      </c>
      <c r="D100" s="93" t="str">
        <f>D97</f>
        <v>250 to 664 lumens</v>
      </c>
      <c r="E100" s="93" t="str">
        <f t="shared" si="11"/>
        <v>YESIncandescent and HalogenExteriorGeneral Purpose and Dimmable250 to 664 lumens</v>
      </c>
      <c r="F100" s="85">
        <v>100</v>
      </c>
      <c r="G100" s="85">
        <v>596595.53149414063</v>
      </c>
      <c r="H100" s="86">
        <f t="shared" si="12"/>
        <v>3.5979681614663295E-3</v>
      </c>
      <c r="I100" s="95">
        <v>28.64730351737494</v>
      </c>
      <c r="J100" s="88">
        <v>2.305493958423809</v>
      </c>
      <c r="K100" s="96">
        <v>3.7999999999999985</v>
      </c>
      <c r="L100" s="96">
        <v>0.72048704924529039</v>
      </c>
      <c r="M100" s="86">
        <v>0</v>
      </c>
      <c r="N100" s="97">
        <v>473.61875848482242</v>
      </c>
      <c r="AO100" s="2"/>
    </row>
    <row r="101" spans="1:41">
      <c r="A101" s="2"/>
      <c r="B101" s="92" t="s">
        <v>109</v>
      </c>
      <c r="C101" s="93" t="s">
        <v>32</v>
      </c>
      <c r="D101" s="93" t="str">
        <f t="shared" ref="D101:D111" si="15">D98</f>
        <v>665 to 1439 lumens</v>
      </c>
      <c r="E101" s="93" t="str">
        <f t="shared" si="11"/>
        <v>YESIncandescent and HalogenExteriorGeneral Purpose and Dimmable665 to 1439 lumens</v>
      </c>
      <c r="F101" s="85">
        <v>1025</v>
      </c>
      <c r="G101" s="85">
        <v>7086501.9652709961</v>
      </c>
      <c r="H101" s="86">
        <f t="shared" si="12"/>
        <v>4.2737511599119364E-2</v>
      </c>
      <c r="I101" s="95">
        <v>44.825658620226143</v>
      </c>
      <c r="J101" s="88">
        <v>2.27399488321903</v>
      </c>
      <c r="K101" s="96">
        <v>3.8000000000000234</v>
      </c>
      <c r="L101" s="96">
        <v>0.72048704924528584</v>
      </c>
      <c r="M101" s="86">
        <v>0</v>
      </c>
      <c r="N101" s="97">
        <v>902.33663901515467</v>
      </c>
      <c r="AO101" s="2"/>
    </row>
    <row r="102" spans="1:41">
      <c r="A102" s="2"/>
      <c r="B102" s="92" t="s">
        <v>109</v>
      </c>
      <c r="C102" s="93" t="s">
        <v>32</v>
      </c>
      <c r="D102" s="93" t="str">
        <f t="shared" si="15"/>
        <v>1440 to 2600 lumens</v>
      </c>
      <c r="E102" s="93" t="str">
        <f t="shared" si="11"/>
        <v>YESIncandescent and HalogenExteriorGeneral Purpose and Dimmable1440 to 2600 lumens</v>
      </c>
      <c r="F102" s="85">
        <v>153</v>
      </c>
      <c r="G102" s="85">
        <v>903905.42059326172</v>
      </c>
      <c r="H102" s="86">
        <f t="shared" si="12"/>
        <v>5.4513028552633878E-3</v>
      </c>
      <c r="I102" s="95">
        <v>72.117270458728683</v>
      </c>
      <c r="J102" s="88">
        <v>1.8882973008214876</v>
      </c>
      <c r="K102" s="96">
        <v>3.799999999999998</v>
      </c>
      <c r="L102" s="96">
        <v>0.72048704924528872</v>
      </c>
      <c r="M102" s="86">
        <v>0</v>
      </c>
      <c r="N102" s="97">
        <v>1715.8376861238867</v>
      </c>
      <c r="AO102" s="2"/>
    </row>
    <row r="103" spans="1:41">
      <c r="A103" s="2"/>
      <c r="B103" s="92" t="s">
        <v>109</v>
      </c>
      <c r="C103" s="93" t="s">
        <v>34</v>
      </c>
      <c r="D103" s="93" t="str">
        <f t="shared" si="15"/>
        <v>250 to 664 lumens</v>
      </c>
      <c r="E103" s="93" t="str">
        <f t="shared" si="11"/>
        <v>YESIncandescent and HalogenExteriorGlobe250 to 664 lumens</v>
      </c>
      <c r="F103" s="85">
        <v>9</v>
      </c>
      <c r="G103" s="85">
        <v>19283.730834960938</v>
      </c>
      <c r="H103" s="86">
        <f t="shared" si="12"/>
        <v>1.1629696488793999E-4</v>
      </c>
      <c r="I103" s="95">
        <v>29</v>
      </c>
      <c r="J103" s="88">
        <v>2.1746741426522367</v>
      </c>
      <c r="K103" s="96">
        <v>3.8</v>
      </c>
      <c r="L103" s="96">
        <v>0.72048704924528983</v>
      </c>
      <c r="M103" s="86">
        <v>0</v>
      </c>
      <c r="N103" s="97">
        <v>490</v>
      </c>
      <c r="AO103" s="2"/>
    </row>
    <row r="104" spans="1:41">
      <c r="A104" s="2"/>
      <c r="B104" s="92" t="s">
        <v>109</v>
      </c>
      <c r="C104" s="93" t="s">
        <v>34</v>
      </c>
      <c r="D104" s="93" t="str">
        <f t="shared" si="15"/>
        <v>665 to 1439 lumens</v>
      </c>
      <c r="E104" s="93" t="str">
        <f t="shared" si="11"/>
        <v>YESIncandescent and HalogenExteriorGlobe665 to 1439 lumens</v>
      </c>
      <c r="F104" s="85">
        <v>8</v>
      </c>
      <c r="G104" s="85">
        <v>63775.004028320312</v>
      </c>
      <c r="H104" s="86">
        <f t="shared" si="12"/>
        <v>3.8461641409987159E-4</v>
      </c>
      <c r="I104" s="95">
        <v>43.652291109940023</v>
      </c>
      <c r="J104" s="88">
        <v>4.7724826121252759</v>
      </c>
      <c r="K104" s="96">
        <v>3.8000000000000003</v>
      </c>
      <c r="L104" s="96">
        <v>0.72048704924528983</v>
      </c>
      <c r="M104" s="86">
        <v>0</v>
      </c>
      <c r="N104" s="97">
        <v>862.83018884790079</v>
      </c>
      <c r="AO104" s="2"/>
    </row>
    <row r="105" spans="1:41">
      <c r="A105" s="2"/>
      <c r="B105" s="92" t="s">
        <v>109</v>
      </c>
      <c r="C105" s="93" t="s">
        <v>34</v>
      </c>
      <c r="D105" s="93" t="str">
        <f t="shared" si="15"/>
        <v>1440 to 2600 lumens</v>
      </c>
      <c r="E105" s="93" t="str">
        <f t="shared" si="11"/>
        <v>YESIncandescent and HalogenExteriorGlobe1440 to 2600 lumens</v>
      </c>
      <c r="F105" s="85">
        <v>1</v>
      </c>
      <c r="G105" s="85">
        <v>41596.4296875</v>
      </c>
      <c r="H105" s="86">
        <f t="shared" si="12"/>
        <v>2.5086113077561273E-4</v>
      </c>
      <c r="I105" s="95">
        <v>72</v>
      </c>
      <c r="J105" s="88">
        <v>5.575399139392359</v>
      </c>
      <c r="K105" s="96">
        <v>3.8</v>
      </c>
      <c r="L105" s="96">
        <v>0.72048704924528983</v>
      </c>
      <c r="M105" s="86">
        <v>0</v>
      </c>
      <c r="N105" s="97">
        <v>1689.9999999999995</v>
      </c>
      <c r="AO105" s="2"/>
    </row>
    <row r="106" spans="1:41">
      <c r="A106" s="2"/>
      <c r="B106" s="92" t="s">
        <v>109</v>
      </c>
      <c r="C106" s="93" t="s">
        <v>36</v>
      </c>
      <c r="D106" s="93" t="str">
        <f t="shared" si="15"/>
        <v>250 to 664 lumens</v>
      </c>
      <c r="E106" s="93" t="str">
        <f t="shared" si="11"/>
        <v>YESIncandescent and HalogenExteriorReflectors and Outdoor250 to 664 lumens</v>
      </c>
      <c r="F106" s="85">
        <v>16</v>
      </c>
      <c r="G106" s="85">
        <v>110545.70971679687</v>
      </c>
      <c r="H106" s="86">
        <f t="shared" si="12"/>
        <v>6.6668274056900232E-4</v>
      </c>
      <c r="I106" s="95">
        <v>37.32050311563907</v>
      </c>
      <c r="J106" s="88">
        <v>4.2768615664851204</v>
      </c>
      <c r="K106" s="96">
        <v>3.7999999999999994</v>
      </c>
      <c r="L106" s="96">
        <v>0.72048704924528972</v>
      </c>
      <c r="M106" s="86">
        <v>0</v>
      </c>
      <c r="N106" s="97">
        <v>459.66160372960064</v>
      </c>
      <c r="AO106" s="2"/>
    </row>
    <row r="107" spans="1:41">
      <c r="A107" s="2"/>
      <c r="B107" s="92" t="s">
        <v>109</v>
      </c>
      <c r="C107" s="93" t="s">
        <v>36</v>
      </c>
      <c r="D107" s="93" t="str">
        <f t="shared" si="15"/>
        <v>665 to 1439 lumens</v>
      </c>
      <c r="E107" s="93" t="str">
        <f t="shared" si="11"/>
        <v>YESIncandescent and HalogenExteriorReflectors and Outdoor665 to 1439 lumens</v>
      </c>
      <c r="F107" s="85">
        <v>442</v>
      </c>
      <c r="G107" s="85">
        <v>4386469.6231689453</v>
      </c>
      <c r="H107" s="86">
        <f t="shared" si="12"/>
        <v>2.6454066804481383E-2</v>
      </c>
      <c r="I107" s="95">
        <v>66.054621266320538</v>
      </c>
      <c r="J107" s="88">
        <v>6.6472734504829099</v>
      </c>
      <c r="K107" s="96">
        <v>3.8000000000000016</v>
      </c>
      <c r="L107" s="96">
        <v>0.72048704924529017</v>
      </c>
      <c r="M107" s="86">
        <v>0</v>
      </c>
      <c r="N107" s="97">
        <v>1093.8325466483816</v>
      </c>
      <c r="AO107" s="2"/>
    </row>
    <row r="108" spans="1:41">
      <c r="A108" s="2"/>
      <c r="B108" s="92" t="s">
        <v>109</v>
      </c>
      <c r="C108" s="93" t="s">
        <v>36</v>
      </c>
      <c r="D108" s="93" t="str">
        <f t="shared" si="15"/>
        <v>1440 to 2600 lumens</v>
      </c>
      <c r="E108" s="93" t="str">
        <f t="shared" si="11"/>
        <v>YESIncandescent and HalogenExteriorReflectors and Outdoor1440 to 2600 lumens</v>
      </c>
      <c r="F108" s="85">
        <v>205</v>
      </c>
      <c r="G108" s="85">
        <v>1784980.512512207</v>
      </c>
      <c r="H108" s="86">
        <f t="shared" si="12"/>
        <v>1.0764919805504522E-2</v>
      </c>
      <c r="I108" s="95">
        <v>91.634076624729175</v>
      </c>
      <c r="J108" s="88">
        <v>6.5800745072035607</v>
      </c>
      <c r="K108" s="96">
        <v>3.799999999999998</v>
      </c>
      <c r="L108" s="96">
        <v>0.72048704924528972</v>
      </c>
      <c r="M108" s="86">
        <v>0</v>
      </c>
      <c r="N108" s="97">
        <v>1836.4674727990907</v>
      </c>
      <c r="AO108" s="2"/>
    </row>
    <row r="109" spans="1:41">
      <c r="A109" s="2"/>
      <c r="B109" s="92" t="s">
        <v>109</v>
      </c>
      <c r="C109" s="93" t="s">
        <v>37</v>
      </c>
      <c r="D109" s="93" t="str">
        <f t="shared" si="15"/>
        <v>250 to 664 lumens</v>
      </c>
      <c r="E109" s="93" t="str">
        <f t="shared" si="11"/>
        <v>YESIncandescent and HalogenExteriorThree-Way250 to 664 lumens</v>
      </c>
      <c r="F109" s="85">
        <v>0</v>
      </c>
      <c r="G109" s="85">
        <v>0</v>
      </c>
      <c r="H109" s="86">
        <f t="shared" si="12"/>
        <v>0</v>
      </c>
      <c r="I109" s="95" t="e">
        <v>#DIV/0!</v>
      </c>
      <c r="J109" s="88" t="e">
        <v>#DIV/0!</v>
      </c>
      <c r="K109" s="96" t="e">
        <v>#DIV/0!</v>
      </c>
      <c r="L109" s="96" t="e">
        <v>#DIV/0!</v>
      </c>
      <c r="M109" s="86" t="e">
        <v>#DIV/0!</v>
      </c>
      <c r="N109" s="97" t="e">
        <v>#DIV/0!</v>
      </c>
      <c r="AO109" s="2"/>
    </row>
    <row r="110" spans="1:41">
      <c r="A110" s="2"/>
      <c r="B110" s="92" t="s">
        <v>109</v>
      </c>
      <c r="C110" s="93" t="s">
        <v>37</v>
      </c>
      <c r="D110" s="93" t="str">
        <f t="shared" si="15"/>
        <v>665 to 1439 lumens</v>
      </c>
      <c r="E110" s="93" t="str">
        <f t="shared" si="11"/>
        <v>YESIncandescent and HalogenExteriorThree-Way665 to 1439 lumens</v>
      </c>
      <c r="F110" s="85">
        <v>0</v>
      </c>
      <c r="G110" s="85">
        <v>0</v>
      </c>
      <c r="H110" s="86">
        <f t="shared" si="12"/>
        <v>0</v>
      </c>
      <c r="I110" s="95" t="e">
        <v>#DIV/0!</v>
      </c>
      <c r="J110" s="88" t="e">
        <v>#DIV/0!</v>
      </c>
      <c r="K110" s="96" t="e">
        <v>#DIV/0!</v>
      </c>
      <c r="L110" s="96" t="e">
        <v>#DIV/0!</v>
      </c>
      <c r="M110" s="86" t="e">
        <v>#DIV/0!</v>
      </c>
      <c r="N110" s="97" t="e">
        <v>#DIV/0!</v>
      </c>
      <c r="AO110" s="2"/>
    </row>
    <row r="111" spans="1:41">
      <c r="A111" s="2"/>
      <c r="B111" s="92" t="s">
        <v>109</v>
      </c>
      <c r="C111" s="93" t="s">
        <v>37</v>
      </c>
      <c r="D111" s="93" t="str">
        <f t="shared" si="15"/>
        <v>1440 to 2600 lumens</v>
      </c>
      <c r="E111" s="93" t="str">
        <f t="shared" si="11"/>
        <v>YESIncandescent and HalogenExteriorThree-Way1440 to 2600 lumens</v>
      </c>
      <c r="F111" s="85">
        <v>2</v>
      </c>
      <c r="G111" s="85">
        <v>5532.193603515625</v>
      </c>
      <c r="H111" s="86">
        <f t="shared" si="12"/>
        <v>3.3363737067669254E-5</v>
      </c>
      <c r="I111" s="95">
        <v>150</v>
      </c>
      <c r="J111" s="88">
        <v>5.575399139392359</v>
      </c>
      <c r="K111" s="96">
        <v>3.8</v>
      </c>
      <c r="L111" s="96">
        <v>0.72048704924528983</v>
      </c>
      <c r="M111" s="86">
        <v>0</v>
      </c>
      <c r="N111" s="97">
        <v>2600</v>
      </c>
      <c r="AO111" s="2"/>
    </row>
    <row r="112" spans="1:41">
      <c r="A112" s="2"/>
      <c r="B112" s="17"/>
      <c r="C112" s="17"/>
      <c r="D112" s="17"/>
      <c r="AO112" s="2"/>
    </row>
    <row r="114" spans="1:13">
      <c r="A114" s="17" t="s">
        <v>110</v>
      </c>
    </row>
    <row r="116" spans="1:13" ht="38.25">
      <c r="A116" s="17" t="s">
        <v>111</v>
      </c>
      <c r="B116" s="17" t="s">
        <v>25</v>
      </c>
      <c r="C116" s="17" t="s">
        <v>46</v>
      </c>
      <c r="E116" s="40" t="s">
        <v>97</v>
      </c>
      <c r="F116" s="40" t="s">
        <v>98</v>
      </c>
      <c r="G116" s="40" t="s">
        <v>99</v>
      </c>
      <c r="H116" s="40" t="s">
        <v>100</v>
      </c>
      <c r="I116" s="40" t="s">
        <v>101</v>
      </c>
      <c r="J116" s="40" t="s">
        <v>112</v>
      </c>
      <c r="K116" s="40" t="s">
        <v>102</v>
      </c>
      <c r="L116" s="17" t="s">
        <v>103</v>
      </c>
      <c r="M116" s="40" t="s">
        <v>56</v>
      </c>
    </row>
    <row r="117" spans="1:13">
      <c r="A117" s="2" t="s">
        <v>31</v>
      </c>
      <c r="B117" s="1" t="s">
        <v>29</v>
      </c>
      <c r="C117" s="1" t="s">
        <v>30</v>
      </c>
      <c r="E117" s="1" t="str">
        <f>CONCATENATE(A117,B117,C117)</f>
        <v>Compact FluorescentDecorative and Mini-Base250 to 664 lumens</v>
      </c>
      <c r="F117" s="1">
        <v>4332</v>
      </c>
      <c r="G117" s="1">
        <v>95182</v>
      </c>
      <c r="H117" s="45">
        <f>G117/SUM($G$117:$G$146)</f>
        <v>3.6426887514542892E-3</v>
      </c>
      <c r="I117" s="11">
        <v>7.1775335672711229</v>
      </c>
      <c r="J117" s="11">
        <v>354.88122754302282</v>
      </c>
      <c r="K117" s="47">
        <v>3.458278035762985</v>
      </c>
      <c r="M117" s="11">
        <f>J117/I117</f>
        <v>49.443339305475043</v>
      </c>
    </row>
    <row r="118" spans="1:13">
      <c r="A118" s="2" t="s">
        <v>31</v>
      </c>
      <c r="B118" s="1" t="s">
        <v>29</v>
      </c>
      <c r="C118" s="1" t="s">
        <v>33</v>
      </c>
      <c r="E118" s="1" t="str">
        <f t="shared" ref="E118:E146" si="16">CONCATENATE(A118,B118,C118)</f>
        <v>Compact FluorescentDecorative and Mini-Base665 to 1439 lumens</v>
      </c>
      <c r="F118" s="1">
        <v>2572</v>
      </c>
      <c r="G118" s="1">
        <v>61071</v>
      </c>
      <c r="H118" s="45">
        <f t="shared" ref="H118:H146" si="17">G118/SUM($G$117:$G$146)</f>
        <v>2.337234400832772E-3</v>
      </c>
      <c r="I118" s="11">
        <v>13.238149039642384</v>
      </c>
      <c r="J118" s="11">
        <v>826.85235218024923</v>
      </c>
      <c r="K118" s="47">
        <v>2.4211814117993882</v>
      </c>
      <c r="M118" s="11">
        <f t="shared" ref="M118:M146" si="18">J118/I118</f>
        <v>62.459815923222592</v>
      </c>
    </row>
    <row r="119" spans="1:13">
      <c r="A119" s="2" t="s">
        <v>31</v>
      </c>
      <c r="B119" s="1" t="s">
        <v>29</v>
      </c>
      <c r="C119" s="1" t="s">
        <v>35</v>
      </c>
      <c r="E119" s="1" t="str">
        <f t="shared" si="16"/>
        <v>Compact FluorescentDecorative and Mini-Base1440 to 2600 lumens</v>
      </c>
      <c r="F119" s="1">
        <v>0</v>
      </c>
      <c r="G119" s="1">
        <v>0</v>
      </c>
      <c r="H119" s="45">
        <f t="shared" si="17"/>
        <v>0</v>
      </c>
      <c r="I119" s="11" t="e">
        <v>#DIV/0!</v>
      </c>
      <c r="J119" s="11" t="e">
        <v>#DIV/0!</v>
      </c>
      <c r="K119" s="47" t="e">
        <v>#DIV/0!</v>
      </c>
      <c r="M119" s="11" t="e">
        <f t="shared" si="18"/>
        <v>#DIV/0!</v>
      </c>
    </row>
    <row r="120" spans="1:13">
      <c r="A120" s="2" t="s">
        <v>31</v>
      </c>
      <c r="B120" s="1" t="s">
        <v>32</v>
      </c>
      <c r="C120" s="1" t="str">
        <f>C117</f>
        <v>250 to 664 lumens</v>
      </c>
      <c r="E120" s="1" t="str">
        <f t="shared" si="16"/>
        <v>Compact FluorescentGeneral Purpose and Dimmable250 to 664 lumens</v>
      </c>
      <c r="F120" s="1">
        <v>8813</v>
      </c>
      <c r="G120" s="1">
        <v>356464</v>
      </c>
      <c r="H120" s="45">
        <f t="shared" si="17"/>
        <v>1.3642152960627029E-2</v>
      </c>
      <c r="I120" s="11">
        <v>9.1826103056690158</v>
      </c>
      <c r="J120" s="11">
        <v>538.96401880694827</v>
      </c>
      <c r="K120" s="47">
        <v>2.1898859912922237</v>
      </c>
      <c r="M120" s="11">
        <f t="shared" si="18"/>
        <v>58.693987969217332</v>
      </c>
    </row>
    <row r="121" spans="1:13">
      <c r="A121" s="2" t="s">
        <v>31</v>
      </c>
      <c r="B121" s="1" t="s">
        <v>32</v>
      </c>
      <c r="C121" s="1" t="str">
        <f>C118</f>
        <v>665 to 1439 lumens</v>
      </c>
      <c r="E121" s="1" t="str">
        <f t="shared" si="16"/>
        <v>Compact FluorescentGeneral Purpose and Dimmable665 to 1439 lumens</v>
      </c>
      <c r="F121" s="1">
        <v>42110</v>
      </c>
      <c r="G121" s="1">
        <v>10453405</v>
      </c>
      <c r="H121" s="45">
        <f t="shared" si="17"/>
        <v>0.40005989376033313</v>
      </c>
      <c r="I121" s="11">
        <v>13.941581809946138</v>
      </c>
      <c r="J121" s="11">
        <v>906.35927001775974</v>
      </c>
      <c r="K121" s="47">
        <v>1.4728992237857326</v>
      </c>
      <c r="M121" s="11">
        <f t="shared" si="18"/>
        <v>65.011221995709931</v>
      </c>
    </row>
    <row r="122" spans="1:13">
      <c r="A122" s="2" t="s">
        <v>31</v>
      </c>
      <c r="B122" s="1" t="s">
        <v>32</v>
      </c>
      <c r="C122" s="1" t="str">
        <f>C119</f>
        <v>1440 to 2600 lumens</v>
      </c>
      <c r="E122" s="1" t="str">
        <f t="shared" si="16"/>
        <v>Compact FluorescentGeneral Purpose and Dimmable1440 to 2600 lumens</v>
      </c>
      <c r="F122" s="1">
        <v>20038</v>
      </c>
      <c r="G122" s="1">
        <v>3771785</v>
      </c>
      <c r="H122" s="45">
        <f t="shared" si="17"/>
        <v>0.14434912895719798</v>
      </c>
      <c r="I122" s="11">
        <v>23.08340957928408</v>
      </c>
      <c r="J122" s="11">
        <v>1604.129105980325</v>
      </c>
      <c r="K122" s="47">
        <v>1.9179627808849677</v>
      </c>
      <c r="M122" s="11">
        <f t="shared" si="18"/>
        <v>69.492728120196375</v>
      </c>
    </row>
    <row r="123" spans="1:13">
      <c r="A123" s="2" t="s">
        <v>31</v>
      </c>
      <c r="B123" s="1" t="s">
        <v>34</v>
      </c>
      <c r="C123" s="1" t="str">
        <f>C120</f>
        <v>250 to 664 lumens</v>
      </c>
      <c r="E123" s="1" t="str">
        <f t="shared" si="16"/>
        <v>Compact FluorescentGlobe250 to 664 lumens</v>
      </c>
      <c r="F123" s="1">
        <v>8940</v>
      </c>
      <c r="G123" s="1">
        <v>6204740</v>
      </c>
      <c r="H123" s="45">
        <f t="shared" si="17"/>
        <v>0.23746019839568919</v>
      </c>
      <c r="I123" s="11">
        <v>10.991723102015555</v>
      </c>
      <c r="J123" s="11">
        <v>554.51393934314729</v>
      </c>
      <c r="K123" s="47">
        <v>1.7146760251034388</v>
      </c>
      <c r="M123" s="11">
        <f t="shared" si="18"/>
        <v>50.448317720218583</v>
      </c>
    </row>
    <row r="124" spans="1:13">
      <c r="A124" s="2" t="s">
        <v>31</v>
      </c>
      <c r="B124" s="1" t="s">
        <v>34</v>
      </c>
      <c r="C124" s="1" t="str">
        <f t="shared" ref="C124:C131" si="19">C121</f>
        <v>665 to 1439 lumens</v>
      </c>
      <c r="E124" s="1" t="str">
        <f t="shared" si="16"/>
        <v>Compact FluorescentGlobe665 to 1439 lumens</v>
      </c>
      <c r="F124" s="1">
        <v>4959</v>
      </c>
      <c r="G124" s="1">
        <v>60339</v>
      </c>
      <c r="H124" s="45">
        <f t="shared" si="17"/>
        <v>2.3092201947216948E-3</v>
      </c>
      <c r="I124" s="11">
        <v>14.235486169807256</v>
      </c>
      <c r="J124" s="11">
        <v>796.7965992144384</v>
      </c>
      <c r="K124" s="47">
        <v>5.0829624289431434</v>
      </c>
      <c r="M124" s="11">
        <f t="shared" si="18"/>
        <v>55.972559680076365</v>
      </c>
    </row>
    <row r="125" spans="1:13">
      <c r="A125" s="2" t="s">
        <v>31</v>
      </c>
      <c r="B125" s="1" t="s">
        <v>34</v>
      </c>
      <c r="C125" s="1" t="str">
        <f t="shared" si="19"/>
        <v>1440 to 2600 lumens</v>
      </c>
      <c r="E125" s="1" t="str">
        <f t="shared" si="16"/>
        <v>Compact FluorescentGlobe1440 to 2600 lumens</v>
      </c>
      <c r="F125" s="1">
        <v>0</v>
      </c>
      <c r="G125" s="1">
        <v>0</v>
      </c>
      <c r="H125" s="45">
        <f t="shared" si="17"/>
        <v>0</v>
      </c>
      <c r="I125" s="11" t="e">
        <v>#DIV/0!</v>
      </c>
      <c r="J125" s="11" t="e">
        <v>#DIV/0!</v>
      </c>
      <c r="K125" s="47" t="e">
        <v>#DIV/0!</v>
      </c>
      <c r="M125" s="11" t="e">
        <f t="shared" si="18"/>
        <v>#DIV/0!</v>
      </c>
    </row>
    <row r="126" spans="1:13">
      <c r="A126" s="2" t="s">
        <v>31</v>
      </c>
      <c r="B126" s="1" t="s">
        <v>36</v>
      </c>
      <c r="C126" s="1" t="str">
        <f t="shared" si="19"/>
        <v>250 to 664 lumens</v>
      </c>
      <c r="E126" s="1" t="str">
        <f t="shared" si="16"/>
        <v>Compact FluorescentReflectors and Outdoor250 to 664 lumens</v>
      </c>
      <c r="F126" s="1">
        <v>11910</v>
      </c>
      <c r="G126" s="1">
        <v>394333</v>
      </c>
      <c r="H126" s="45">
        <f t="shared" si="17"/>
        <v>1.5091428877594758E-2</v>
      </c>
      <c r="I126" s="11">
        <v>14.119104918939069</v>
      </c>
      <c r="J126" s="11">
        <v>629.24200865765738</v>
      </c>
      <c r="K126" s="47">
        <v>4.6692910687159506</v>
      </c>
      <c r="M126" s="11">
        <f t="shared" si="18"/>
        <v>44.566706761531705</v>
      </c>
    </row>
    <row r="127" spans="1:13">
      <c r="A127" s="2" t="s">
        <v>31</v>
      </c>
      <c r="B127" s="1" t="s">
        <v>36</v>
      </c>
      <c r="C127" s="1" t="str">
        <f t="shared" si="19"/>
        <v>665 to 1439 lumens</v>
      </c>
      <c r="E127" s="1" t="str">
        <f t="shared" si="16"/>
        <v>Compact FluorescentReflectors and Outdoor665 to 1439 lumens</v>
      </c>
      <c r="F127" s="1">
        <v>35018</v>
      </c>
      <c r="G127" s="1">
        <v>4129463</v>
      </c>
      <c r="H127" s="45">
        <f t="shared" si="17"/>
        <v>0.1580377426367032</v>
      </c>
      <c r="I127" s="11">
        <v>15.334836757224849</v>
      </c>
      <c r="J127" s="11">
        <v>755.99466565023101</v>
      </c>
      <c r="K127" s="47">
        <v>3.1556293233529593</v>
      </c>
      <c r="M127" s="11">
        <f t="shared" si="18"/>
        <v>49.299166180823669</v>
      </c>
    </row>
    <row r="128" spans="1:13">
      <c r="A128" s="2" t="s">
        <v>31</v>
      </c>
      <c r="B128" s="1" t="s">
        <v>36</v>
      </c>
      <c r="C128" s="1" t="str">
        <f t="shared" si="19"/>
        <v>1440 to 2600 lumens</v>
      </c>
      <c r="E128" s="1" t="str">
        <f t="shared" si="16"/>
        <v>Compact FluorescentReflectors and Outdoor1440 to 2600 lumens</v>
      </c>
      <c r="F128" s="1">
        <v>10</v>
      </c>
      <c r="G128" s="1">
        <v>6</v>
      </c>
      <c r="H128" s="45">
        <f t="shared" si="17"/>
        <v>2.2962464025473027E-7</v>
      </c>
      <c r="I128" s="11">
        <v>26</v>
      </c>
      <c r="J128" s="11">
        <v>1750</v>
      </c>
      <c r="K128" s="47">
        <v>9.99</v>
      </c>
      <c r="M128" s="11">
        <f t="shared" si="18"/>
        <v>67.307692307692307</v>
      </c>
    </row>
    <row r="129" spans="1:13">
      <c r="A129" s="2" t="s">
        <v>31</v>
      </c>
      <c r="B129" s="1" t="s">
        <v>37</v>
      </c>
      <c r="C129" s="1" t="str">
        <f t="shared" si="19"/>
        <v>250 to 664 lumens</v>
      </c>
      <c r="E129" s="1" t="str">
        <f t="shared" si="16"/>
        <v>Compact FluorescentThree-Way250 to 664 lumens</v>
      </c>
      <c r="F129" s="1">
        <v>0</v>
      </c>
      <c r="G129" s="1">
        <v>0</v>
      </c>
      <c r="H129" s="45">
        <f t="shared" si="17"/>
        <v>0</v>
      </c>
      <c r="I129" s="11" t="e">
        <v>#DIV/0!</v>
      </c>
      <c r="J129" s="11" t="e">
        <v>#DIV/0!</v>
      </c>
      <c r="K129" s="47" t="e">
        <v>#DIV/0!</v>
      </c>
      <c r="M129" s="11" t="e">
        <f t="shared" si="18"/>
        <v>#DIV/0!</v>
      </c>
    </row>
    <row r="130" spans="1:13">
      <c r="A130" s="2" t="s">
        <v>31</v>
      </c>
      <c r="B130" s="1" t="s">
        <v>37</v>
      </c>
      <c r="C130" s="1" t="str">
        <f t="shared" si="19"/>
        <v>665 to 1439 lumens</v>
      </c>
      <c r="E130" s="1" t="str">
        <f t="shared" si="16"/>
        <v>Compact FluorescentThree-Way665 to 1439 lumens</v>
      </c>
      <c r="F130" s="1">
        <v>4816</v>
      </c>
      <c r="G130" s="1">
        <v>9374</v>
      </c>
      <c r="H130" s="45">
        <f t="shared" si="17"/>
        <v>3.5875022962464023E-4</v>
      </c>
      <c r="I130" s="11">
        <v>30.59142308512908</v>
      </c>
      <c r="J130" s="11">
        <v>1291.2950714742906</v>
      </c>
      <c r="K130" s="47">
        <v>10.778237678685738</v>
      </c>
      <c r="M130" s="11">
        <f t="shared" si="18"/>
        <v>42.211016724553993</v>
      </c>
    </row>
    <row r="131" spans="1:13">
      <c r="A131" s="2" t="s">
        <v>31</v>
      </c>
      <c r="B131" s="1" t="s">
        <v>37</v>
      </c>
      <c r="C131" s="1" t="str">
        <f t="shared" si="19"/>
        <v>1440 to 2600 lumens</v>
      </c>
      <c r="E131" s="1" t="str">
        <f t="shared" si="16"/>
        <v>Compact FluorescentThree-Way1440 to 2600 lumens</v>
      </c>
      <c r="F131" s="1">
        <v>3810</v>
      </c>
      <c r="G131" s="1">
        <v>8138</v>
      </c>
      <c r="H131" s="45">
        <f t="shared" si="17"/>
        <v>3.1144755373216582E-4</v>
      </c>
      <c r="I131" s="11">
        <v>30.62202015237159</v>
      </c>
      <c r="J131" s="11">
        <v>1543.1543376751044</v>
      </c>
      <c r="K131" s="47">
        <v>12.551757188498522</v>
      </c>
      <c r="M131" s="11">
        <f t="shared" si="18"/>
        <v>50.393616423624209</v>
      </c>
    </row>
    <row r="132" spans="1:13">
      <c r="A132" s="2" t="s">
        <v>28</v>
      </c>
      <c r="B132" s="1" t="str">
        <f t="shared" ref="B132:C146" si="20">B117</f>
        <v>Decorative and Mini-Base</v>
      </c>
      <c r="C132" s="1" t="str">
        <f t="shared" si="20"/>
        <v>250 to 664 lumens</v>
      </c>
      <c r="E132" s="1" t="str">
        <f t="shared" si="16"/>
        <v>LEDDecorative and Mini-Base250 to 664 lumens</v>
      </c>
      <c r="F132" s="1">
        <v>0</v>
      </c>
      <c r="G132" s="1">
        <v>0</v>
      </c>
      <c r="H132" s="45">
        <f t="shared" si="17"/>
        <v>0</v>
      </c>
      <c r="I132" s="11" t="e">
        <v>#DIV/0!</v>
      </c>
      <c r="J132" s="11" t="e">
        <v>#DIV/0!</v>
      </c>
      <c r="K132" s="47" t="e">
        <v>#DIV/0!</v>
      </c>
      <c r="M132" s="11" t="e">
        <f t="shared" si="18"/>
        <v>#DIV/0!</v>
      </c>
    </row>
    <row r="133" spans="1:13">
      <c r="A133" s="2" t="s">
        <v>28</v>
      </c>
      <c r="B133" s="1" t="str">
        <f t="shared" si="20"/>
        <v>Decorative and Mini-Base</v>
      </c>
      <c r="C133" s="1" t="str">
        <f t="shared" si="20"/>
        <v>665 to 1439 lumens</v>
      </c>
      <c r="E133" s="1" t="str">
        <f t="shared" si="16"/>
        <v>LEDDecorative and Mini-Base665 to 1439 lumens</v>
      </c>
      <c r="F133" s="1">
        <v>0</v>
      </c>
      <c r="G133" s="1">
        <v>0</v>
      </c>
      <c r="H133" s="45">
        <f t="shared" si="17"/>
        <v>0</v>
      </c>
      <c r="I133" s="11" t="e">
        <v>#DIV/0!</v>
      </c>
      <c r="J133" s="11" t="e">
        <v>#DIV/0!</v>
      </c>
      <c r="K133" s="47" t="e">
        <v>#DIV/0!</v>
      </c>
      <c r="M133" s="11" t="e">
        <f t="shared" si="18"/>
        <v>#DIV/0!</v>
      </c>
    </row>
    <row r="134" spans="1:13">
      <c r="A134" s="2" t="s">
        <v>28</v>
      </c>
      <c r="B134" s="1" t="str">
        <f t="shared" si="20"/>
        <v>Decorative and Mini-Base</v>
      </c>
      <c r="C134" s="1" t="str">
        <f t="shared" si="20"/>
        <v>1440 to 2600 lumens</v>
      </c>
      <c r="E134" s="1" t="str">
        <f t="shared" si="16"/>
        <v>LEDDecorative and Mini-Base1440 to 2600 lumens</v>
      </c>
      <c r="F134" s="1">
        <v>0</v>
      </c>
      <c r="G134" s="1">
        <v>0</v>
      </c>
      <c r="H134" s="45">
        <f t="shared" si="17"/>
        <v>0</v>
      </c>
      <c r="I134" s="11" t="e">
        <v>#DIV/0!</v>
      </c>
      <c r="J134" s="11" t="e">
        <v>#DIV/0!</v>
      </c>
      <c r="K134" s="47" t="e">
        <v>#DIV/0!</v>
      </c>
      <c r="M134" s="11" t="e">
        <f t="shared" si="18"/>
        <v>#DIV/0!</v>
      </c>
    </row>
    <row r="135" spans="1:13">
      <c r="A135" s="2" t="s">
        <v>28</v>
      </c>
      <c r="B135" s="1" t="str">
        <f t="shared" si="20"/>
        <v>General Purpose and Dimmable</v>
      </c>
      <c r="C135" s="1" t="str">
        <f t="shared" si="20"/>
        <v>250 to 664 lumens</v>
      </c>
      <c r="E135" s="1" t="str">
        <f t="shared" si="16"/>
        <v>LEDGeneral Purpose and Dimmable250 to 664 lumens</v>
      </c>
      <c r="F135" s="1">
        <v>497</v>
      </c>
      <c r="G135" s="1">
        <v>341984</v>
      </c>
      <c r="H135" s="45">
        <f t="shared" si="17"/>
        <v>1.3087992162145613E-2</v>
      </c>
      <c r="I135" s="11">
        <v>7.9600917001965001</v>
      </c>
      <c r="J135" s="11">
        <v>498.98255473940299</v>
      </c>
      <c r="K135" s="47">
        <v>6.7335047253672657</v>
      </c>
      <c r="M135" s="11">
        <f t="shared" si="18"/>
        <v>62.685528450267135</v>
      </c>
    </row>
    <row r="136" spans="1:13">
      <c r="A136" s="2" t="s">
        <v>28</v>
      </c>
      <c r="B136" s="1" t="str">
        <f t="shared" si="20"/>
        <v>General Purpose and Dimmable</v>
      </c>
      <c r="C136" s="1" t="str">
        <f t="shared" si="20"/>
        <v>665 to 1439 lumens</v>
      </c>
      <c r="E136" s="1" t="str">
        <f t="shared" si="16"/>
        <v>LEDGeneral Purpose and Dimmable665 to 1439 lumens</v>
      </c>
      <c r="F136" s="1">
        <v>844</v>
      </c>
      <c r="G136" s="1">
        <v>53257</v>
      </c>
      <c r="H136" s="45">
        <f t="shared" si="17"/>
        <v>2.0381865776743615E-3</v>
      </c>
      <c r="I136" s="11">
        <v>12.19914565221473</v>
      </c>
      <c r="J136" s="11">
        <v>834.35484537243929</v>
      </c>
      <c r="K136" s="47">
        <v>12.053647595621213</v>
      </c>
      <c r="M136" s="11">
        <f t="shared" si="18"/>
        <v>68.394530990861966</v>
      </c>
    </row>
    <row r="137" spans="1:13">
      <c r="A137" s="2" t="s">
        <v>28</v>
      </c>
      <c r="B137" s="1" t="str">
        <f t="shared" si="20"/>
        <v>General Purpose and Dimmable</v>
      </c>
      <c r="C137" s="1" t="str">
        <f t="shared" si="20"/>
        <v>1440 to 2600 lumens</v>
      </c>
      <c r="E137" s="1" t="str">
        <f t="shared" si="16"/>
        <v>LEDGeneral Purpose and Dimmable1440 to 2600 lumens</v>
      </c>
      <c r="F137" s="1">
        <v>0</v>
      </c>
      <c r="G137" s="1">
        <v>0</v>
      </c>
      <c r="H137" s="45">
        <f t="shared" si="17"/>
        <v>0</v>
      </c>
      <c r="I137" s="11" t="e">
        <v>#DIV/0!</v>
      </c>
      <c r="J137" s="11" t="e">
        <v>#DIV/0!</v>
      </c>
      <c r="K137" s="47" t="e">
        <v>#DIV/0!</v>
      </c>
      <c r="M137" s="11" t="e">
        <f t="shared" si="18"/>
        <v>#DIV/0!</v>
      </c>
    </row>
    <row r="138" spans="1:13">
      <c r="A138" s="2" t="s">
        <v>28</v>
      </c>
      <c r="B138" s="1" t="str">
        <f t="shared" si="20"/>
        <v>Globe</v>
      </c>
      <c r="C138" s="1" t="str">
        <f t="shared" si="20"/>
        <v>250 to 664 lumens</v>
      </c>
      <c r="E138" s="1" t="str">
        <f t="shared" si="16"/>
        <v>LEDGlobe250 to 664 lumens</v>
      </c>
      <c r="F138" s="1">
        <v>144</v>
      </c>
      <c r="G138" s="1">
        <v>79897</v>
      </c>
      <c r="H138" s="45">
        <f t="shared" si="17"/>
        <v>3.0577199804053641E-3</v>
      </c>
      <c r="I138" s="11">
        <v>8.0046059301350496</v>
      </c>
      <c r="J138" s="11">
        <v>500.02302965067526</v>
      </c>
      <c r="K138" s="47">
        <v>6.6824863261449128</v>
      </c>
      <c r="M138" s="11">
        <f t="shared" si="18"/>
        <v>62.466913926172396</v>
      </c>
    </row>
    <row r="139" spans="1:13">
      <c r="A139" s="2" t="s">
        <v>28</v>
      </c>
      <c r="B139" s="1" t="str">
        <f t="shared" si="20"/>
        <v>Globe</v>
      </c>
      <c r="C139" s="1" t="str">
        <f t="shared" si="20"/>
        <v>665 to 1439 lumens</v>
      </c>
      <c r="E139" s="1" t="str">
        <f t="shared" si="16"/>
        <v>LEDGlobe665 to 1439 lumens</v>
      </c>
      <c r="F139" s="1">
        <v>0</v>
      </c>
      <c r="G139" s="1">
        <v>0</v>
      </c>
      <c r="H139" s="45">
        <f t="shared" si="17"/>
        <v>0</v>
      </c>
      <c r="I139" s="11" t="e">
        <v>#DIV/0!</v>
      </c>
      <c r="J139" s="11" t="e">
        <v>#DIV/0!</v>
      </c>
      <c r="K139" s="47" t="e">
        <v>#DIV/0!</v>
      </c>
      <c r="M139" s="11" t="e">
        <f t="shared" si="18"/>
        <v>#DIV/0!</v>
      </c>
    </row>
    <row r="140" spans="1:13">
      <c r="A140" s="2" t="s">
        <v>28</v>
      </c>
      <c r="B140" s="1" t="str">
        <f t="shared" si="20"/>
        <v>Globe</v>
      </c>
      <c r="C140" s="1" t="str">
        <f t="shared" si="20"/>
        <v>1440 to 2600 lumens</v>
      </c>
      <c r="E140" s="1" t="str">
        <f t="shared" si="16"/>
        <v>LEDGlobe1440 to 2600 lumens</v>
      </c>
      <c r="F140" s="1">
        <v>0</v>
      </c>
      <c r="G140" s="1">
        <v>0</v>
      </c>
      <c r="H140" s="45">
        <f t="shared" si="17"/>
        <v>0</v>
      </c>
      <c r="I140" s="11" t="e">
        <v>#DIV/0!</v>
      </c>
      <c r="J140" s="11" t="e">
        <v>#DIV/0!</v>
      </c>
      <c r="K140" s="47" t="e">
        <v>#DIV/0!</v>
      </c>
      <c r="M140" s="11" t="e">
        <f t="shared" si="18"/>
        <v>#DIV/0!</v>
      </c>
    </row>
    <row r="141" spans="1:13">
      <c r="A141" s="2" t="s">
        <v>28</v>
      </c>
      <c r="B141" s="1" t="str">
        <f t="shared" si="20"/>
        <v>Reflectors and Outdoor</v>
      </c>
      <c r="C141" s="1" t="str">
        <f t="shared" si="20"/>
        <v>250 to 664 lumens</v>
      </c>
      <c r="E141" s="1" t="str">
        <f t="shared" si="16"/>
        <v>LEDReflectors and Outdoor250 to 664 lumens</v>
      </c>
      <c r="F141" s="1">
        <v>767</v>
      </c>
      <c r="G141" s="1">
        <v>5043</v>
      </c>
      <c r="H141" s="45">
        <f t="shared" si="17"/>
        <v>1.929995101341008E-4</v>
      </c>
      <c r="I141" s="11">
        <v>11.133948046797542</v>
      </c>
      <c r="J141" s="11">
        <v>589.63712076145157</v>
      </c>
      <c r="K141" s="47">
        <v>21.496385088241176</v>
      </c>
      <c r="M141" s="11">
        <f t="shared" si="18"/>
        <v>52.95849399360624</v>
      </c>
    </row>
    <row r="142" spans="1:13">
      <c r="A142" s="2" t="s">
        <v>28</v>
      </c>
      <c r="B142" s="1" t="str">
        <f t="shared" si="20"/>
        <v>Reflectors and Outdoor</v>
      </c>
      <c r="C142" s="1" t="str">
        <f t="shared" si="20"/>
        <v>665 to 1439 lumens</v>
      </c>
      <c r="E142" s="1" t="str">
        <f t="shared" si="16"/>
        <v>LEDReflectors and Outdoor665 to 1439 lumens</v>
      </c>
      <c r="F142" s="1">
        <v>2217</v>
      </c>
      <c r="G142" s="1">
        <v>105119</v>
      </c>
      <c r="H142" s="45">
        <f t="shared" si="17"/>
        <v>4.0229854264894989E-3</v>
      </c>
      <c r="I142" s="11">
        <v>14.955084237863755</v>
      </c>
      <c r="J142" s="11">
        <v>851.95321492784365</v>
      </c>
      <c r="K142" s="47">
        <v>18.190142600291061</v>
      </c>
      <c r="M142" s="11">
        <f t="shared" si="18"/>
        <v>56.967463464421122</v>
      </c>
    </row>
    <row r="143" spans="1:13">
      <c r="A143" s="2" t="s">
        <v>28</v>
      </c>
      <c r="B143" s="1" t="str">
        <f t="shared" si="20"/>
        <v>Reflectors and Outdoor</v>
      </c>
      <c r="C143" s="1" t="str">
        <f t="shared" si="20"/>
        <v>1440 to 2600 lumens</v>
      </c>
      <c r="E143" s="1" t="str">
        <f t="shared" si="16"/>
        <v>LEDReflectors and Outdoor1440 to 2600 lumens</v>
      </c>
      <c r="F143" s="1">
        <v>0</v>
      </c>
      <c r="G143" s="1">
        <v>0</v>
      </c>
      <c r="H143" s="45">
        <f t="shared" si="17"/>
        <v>0</v>
      </c>
      <c r="I143" s="11" t="e">
        <v>#DIV/0!</v>
      </c>
      <c r="J143" s="11" t="e">
        <v>#DIV/0!</v>
      </c>
      <c r="K143" s="47" t="e">
        <v>#DIV/0!</v>
      </c>
      <c r="M143" s="11" t="e">
        <f t="shared" si="18"/>
        <v>#DIV/0!</v>
      </c>
    </row>
    <row r="144" spans="1:13">
      <c r="A144" s="2" t="s">
        <v>28</v>
      </c>
      <c r="B144" s="1" t="str">
        <f t="shared" si="20"/>
        <v>Three-Way</v>
      </c>
      <c r="C144" s="1" t="str">
        <f t="shared" si="20"/>
        <v>250 to 664 lumens</v>
      </c>
      <c r="E144" s="1" t="str">
        <f t="shared" si="16"/>
        <v>LEDThree-Way250 to 664 lumens</v>
      </c>
      <c r="F144" s="1">
        <v>0</v>
      </c>
      <c r="G144" s="1">
        <v>0</v>
      </c>
      <c r="H144" s="45">
        <f t="shared" si="17"/>
        <v>0</v>
      </c>
      <c r="I144" s="11" t="e">
        <v>#DIV/0!</v>
      </c>
      <c r="J144" s="11" t="e">
        <v>#DIV/0!</v>
      </c>
      <c r="K144" s="47" t="e">
        <v>#DIV/0!</v>
      </c>
      <c r="M144" s="11" t="e">
        <f t="shared" si="18"/>
        <v>#DIV/0!</v>
      </c>
    </row>
    <row r="145" spans="1:13">
      <c r="A145" s="2" t="s">
        <v>28</v>
      </c>
      <c r="B145" s="1" t="str">
        <f t="shared" si="20"/>
        <v>Three-Way</v>
      </c>
      <c r="C145" s="1" t="str">
        <f t="shared" si="20"/>
        <v>665 to 1439 lumens</v>
      </c>
      <c r="E145" s="1" t="str">
        <f t="shared" si="16"/>
        <v>LEDThree-Way665 to 1439 lumens</v>
      </c>
      <c r="F145" s="1">
        <v>0</v>
      </c>
      <c r="G145" s="1">
        <v>0</v>
      </c>
      <c r="H145" s="45">
        <f t="shared" si="17"/>
        <v>0</v>
      </c>
      <c r="I145" s="11" t="e">
        <v>#DIV/0!</v>
      </c>
      <c r="J145" s="11" t="e">
        <v>#DIV/0!</v>
      </c>
      <c r="K145" s="47" t="e">
        <v>#DIV/0!</v>
      </c>
      <c r="M145" s="11" t="e">
        <f t="shared" si="18"/>
        <v>#DIV/0!</v>
      </c>
    </row>
    <row r="146" spans="1:13">
      <c r="A146" s="2" t="s">
        <v>28</v>
      </c>
      <c r="B146" s="1" t="str">
        <f t="shared" si="20"/>
        <v>Three-Way</v>
      </c>
      <c r="C146" s="1" t="str">
        <f t="shared" si="20"/>
        <v>1440 to 2600 lumens</v>
      </c>
      <c r="E146" s="1" t="str">
        <f t="shared" si="16"/>
        <v>LEDThree-Way1440 to 2600 lumens</v>
      </c>
      <c r="F146" s="1">
        <v>0</v>
      </c>
      <c r="G146" s="1">
        <v>0</v>
      </c>
      <c r="H146" s="45">
        <f t="shared" si="17"/>
        <v>0</v>
      </c>
      <c r="I146" s="11" t="e">
        <v>#DIV/0!</v>
      </c>
      <c r="J146" s="11" t="e">
        <v>#DIV/0!</v>
      </c>
      <c r="K146" s="47" t="e">
        <v>#DIV/0!</v>
      </c>
      <c r="M146" s="11" t="e">
        <f t="shared" si="18"/>
        <v>#DIV/0!</v>
      </c>
    </row>
    <row r="147" spans="1:13">
      <c r="A147" s="2"/>
    </row>
    <row r="148" spans="1:13" ht="25.5">
      <c r="A148" s="17" t="s">
        <v>113</v>
      </c>
      <c r="F148" s="40" t="s">
        <v>98</v>
      </c>
      <c r="G148" s="40" t="s">
        <v>99</v>
      </c>
      <c r="H148" s="40" t="s">
        <v>2</v>
      </c>
      <c r="I148" s="40" t="s">
        <v>101</v>
      </c>
      <c r="J148" s="40" t="s">
        <v>112</v>
      </c>
      <c r="K148" s="40" t="s">
        <v>102</v>
      </c>
      <c r="L148" s="17" t="s">
        <v>103</v>
      </c>
      <c r="M148" s="40" t="s">
        <v>56</v>
      </c>
    </row>
    <row r="149" spans="1:13">
      <c r="A149" s="2" t="str">
        <f t="shared" ref="A149:C164" si="21">A117</f>
        <v>Compact Fluorescent</v>
      </c>
      <c r="B149" s="2" t="str">
        <f t="shared" si="21"/>
        <v>Decorative and Mini-Base</v>
      </c>
      <c r="C149" s="2" t="str">
        <f t="shared" si="21"/>
        <v>250 to 664 lumens</v>
      </c>
      <c r="E149" s="1" t="str">
        <f>CONCATENATE(A149,B149,C149)</f>
        <v>Compact FluorescentDecorative and Mini-Base250 to 664 lumens</v>
      </c>
      <c r="F149" s="1">
        <v>13</v>
      </c>
      <c r="G149" s="1">
        <f>F149</f>
        <v>13</v>
      </c>
      <c r="H149" s="45"/>
      <c r="I149" s="11">
        <v>7.7076923076923078</v>
      </c>
      <c r="J149" s="11">
        <v>348.46153846153845</v>
      </c>
      <c r="K149" s="11"/>
      <c r="L149" s="11">
        <v>9076.9230769230762</v>
      </c>
      <c r="M149" s="11">
        <f>J149/I149</f>
        <v>45.209580838323355</v>
      </c>
    </row>
    <row r="150" spans="1:13">
      <c r="A150" s="2" t="str">
        <f t="shared" si="21"/>
        <v>Compact Fluorescent</v>
      </c>
      <c r="B150" s="2" t="str">
        <f t="shared" si="21"/>
        <v>Decorative and Mini-Base</v>
      </c>
      <c r="C150" s="2" t="str">
        <f t="shared" si="21"/>
        <v>665 to 1439 lumens</v>
      </c>
      <c r="E150" s="1" t="str">
        <f t="shared" ref="E150:E178" si="22">CONCATENATE(A150,B150,C150)</f>
        <v>Compact FluorescentDecorative and Mini-Base665 to 1439 lumens</v>
      </c>
      <c r="F150" s="1">
        <v>1</v>
      </c>
      <c r="G150" s="1">
        <f t="shared" ref="G150:G178" si="23">F150</f>
        <v>1</v>
      </c>
      <c r="H150" s="45"/>
      <c r="I150" s="11">
        <v>17.100000000000001</v>
      </c>
      <c r="J150" s="11">
        <v>1100</v>
      </c>
      <c r="K150" s="11"/>
      <c r="L150" s="11">
        <v>8000</v>
      </c>
      <c r="M150" s="11">
        <f t="shared" ref="M150:M178" si="24">J150/I150</f>
        <v>64.327485380116954</v>
      </c>
    </row>
    <row r="151" spans="1:13">
      <c r="A151" s="2" t="str">
        <f t="shared" si="21"/>
        <v>Compact Fluorescent</v>
      </c>
      <c r="B151" s="2" t="str">
        <f t="shared" si="21"/>
        <v>Decorative and Mini-Base</v>
      </c>
      <c r="C151" s="2" t="str">
        <f t="shared" si="21"/>
        <v>1440 to 2600 lumens</v>
      </c>
      <c r="E151" s="1" t="str">
        <f t="shared" si="22"/>
        <v>Compact FluorescentDecorative and Mini-Base1440 to 2600 lumens</v>
      </c>
      <c r="F151" s="1">
        <v>0</v>
      </c>
      <c r="G151" s="1">
        <f t="shared" si="23"/>
        <v>0</v>
      </c>
      <c r="H151" s="45"/>
      <c r="I151" s="11" t="e">
        <v>#DIV/0!</v>
      </c>
      <c r="J151" s="11" t="e">
        <v>#DIV/0!</v>
      </c>
      <c r="K151" s="11"/>
      <c r="L151" s="11" t="e">
        <v>#DIV/0!</v>
      </c>
      <c r="M151" s="11" t="e">
        <f t="shared" si="24"/>
        <v>#DIV/0!</v>
      </c>
    </row>
    <row r="152" spans="1:13">
      <c r="A152" s="2" t="str">
        <f t="shared" si="21"/>
        <v>Compact Fluorescent</v>
      </c>
      <c r="B152" s="2" t="str">
        <f t="shared" si="21"/>
        <v>General Purpose and Dimmable</v>
      </c>
      <c r="C152" s="2" t="str">
        <f t="shared" si="21"/>
        <v>250 to 664 lumens</v>
      </c>
      <c r="E152" s="1" t="str">
        <f t="shared" si="22"/>
        <v>Compact FluorescentGeneral Purpose and Dimmable250 to 664 lumens</v>
      </c>
      <c r="F152" s="1">
        <v>73</v>
      </c>
      <c r="G152" s="1">
        <f t="shared" si="23"/>
        <v>73</v>
      </c>
      <c r="H152" s="45"/>
      <c r="I152" s="11">
        <v>9.5547945205479419</v>
      </c>
      <c r="J152" s="11">
        <v>541.36986301369859</v>
      </c>
      <c r="K152" s="11"/>
      <c r="L152" s="11">
        <v>10273.972602739726</v>
      </c>
      <c r="M152" s="11">
        <f t="shared" si="24"/>
        <v>56.659498207885321</v>
      </c>
    </row>
    <row r="153" spans="1:13">
      <c r="A153" s="2" t="str">
        <f t="shared" si="21"/>
        <v>Compact Fluorescent</v>
      </c>
      <c r="B153" s="2" t="str">
        <f t="shared" si="21"/>
        <v>General Purpose and Dimmable</v>
      </c>
      <c r="C153" s="2" t="str">
        <f t="shared" si="21"/>
        <v>665 to 1439 lumens</v>
      </c>
      <c r="E153" s="1" t="str">
        <f t="shared" si="22"/>
        <v>Compact FluorescentGeneral Purpose and Dimmable665 to 1439 lumens</v>
      </c>
      <c r="F153" s="1">
        <v>313</v>
      </c>
      <c r="G153" s="1">
        <f t="shared" si="23"/>
        <v>313</v>
      </c>
      <c r="H153" s="45"/>
      <c r="I153" s="11">
        <v>14.846006389776353</v>
      </c>
      <c r="J153" s="11">
        <v>952.75399361022369</v>
      </c>
      <c r="K153" s="11"/>
      <c r="L153" s="11">
        <v>10511.182108626199</v>
      </c>
      <c r="M153" s="11">
        <f t="shared" si="24"/>
        <v>64.175776878712256</v>
      </c>
    </row>
    <row r="154" spans="1:13">
      <c r="A154" s="2" t="str">
        <f t="shared" si="21"/>
        <v>Compact Fluorescent</v>
      </c>
      <c r="B154" s="2" t="str">
        <f t="shared" si="21"/>
        <v>General Purpose and Dimmable</v>
      </c>
      <c r="C154" s="2" t="str">
        <f t="shared" si="21"/>
        <v>1440 to 2600 lumens</v>
      </c>
      <c r="E154" s="1" t="str">
        <f t="shared" si="22"/>
        <v>Compact FluorescentGeneral Purpose and Dimmable1440 to 2600 lumens</v>
      </c>
      <c r="F154" s="1">
        <v>144</v>
      </c>
      <c r="G154" s="1">
        <f t="shared" si="23"/>
        <v>144</v>
      </c>
      <c r="H154" s="45"/>
      <c r="I154" s="11">
        <v>24.238194444444439</v>
      </c>
      <c r="J154" s="11">
        <v>1677.5833333333333</v>
      </c>
      <c r="K154" s="11"/>
      <c r="L154" s="11">
        <v>11291.666666666666</v>
      </c>
      <c r="M154" s="11">
        <f t="shared" si="24"/>
        <v>69.212388619889424</v>
      </c>
    </row>
    <row r="155" spans="1:13">
      <c r="A155" s="2" t="str">
        <f t="shared" si="21"/>
        <v>Compact Fluorescent</v>
      </c>
      <c r="B155" s="2" t="str">
        <f t="shared" si="21"/>
        <v>Globe</v>
      </c>
      <c r="C155" s="2" t="str">
        <f t="shared" si="21"/>
        <v>250 to 664 lumens</v>
      </c>
      <c r="E155" s="1" t="str">
        <f t="shared" si="22"/>
        <v>Compact FluorescentGlobe250 to 664 lumens</v>
      </c>
      <c r="F155" s="1">
        <v>19</v>
      </c>
      <c r="G155" s="1">
        <f t="shared" si="23"/>
        <v>19</v>
      </c>
      <c r="H155" s="45"/>
      <c r="I155" s="11">
        <v>9.8684210526315788</v>
      </c>
      <c r="J155" s="11">
        <v>535.52631578947364</v>
      </c>
      <c r="K155" s="11"/>
      <c r="L155" s="11">
        <v>9578.9473684210534</v>
      </c>
      <c r="M155" s="11">
        <f t="shared" si="24"/>
        <v>54.266666666666666</v>
      </c>
    </row>
    <row r="156" spans="1:13">
      <c r="A156" s="2" t="str">
        <f t="shared" si="21"/>
        <v>Compact Fluorescent</v>
      </c>
      <c r="B156" s="2" t="str">
        <f t="shared" si="21"/>
        <v>Globe</v>
      </c>
      <c r="C156" s="2" t="str">
        <f t="shared" si="21"/>
        <v>665 to 1439 lumens</v>
      </c>
      <c r="E156" s="1" t="str">
        <f t="shared" si="22"/>
        <v>Compact FluorescentGlobe665 to 1439 lumens</v>
      </c>
      <c r="F156" s="1">
        <v>13</v>
      </c>
      <c r="G156" s="1">
        <f t="shared" si="23"/>
        <v>13</v>
      </c>
      <c r="H156" s="45"/>
      <c r="I156" s="11">
        <v>14.092307692307692</v>
      </c>
      <c r="J156" s="11">
        <v>797.69230769230774</v>
      </c>
      <c r="K156" s="11"/>
      <c r="L156" s="11">
        <v>8461.538461538461</v>
      </c>
      <c r="M156" s="11">
        <f t="shared" si="24"/>
        <v>56.604803493449786</v>
      </c>
    </row>
    <row r="157" spans="1:13">
      <c r="A157" s="2" t="str">
        <f t="shared" si="21"/>
        <v>Compact Fluorescent</v>
      </c>
      <c r="B157" s="2" t="str">
        <f t="shared" si="21"/>
        <v>Globe</v>
      </c>
      <c r="C157" s="2" t="str">
        <f t="shared" si="21"/>
        <v>1440 to 2600 lumens</v>
      </c>
      <c r="E157" s="1" t="str">
        <f t="shared" si="22"/>
        <v>Compact FluorescentGlobe1440 to 2600 lumens</v>
      </c>
      <c r="F157" s="1">
        <v>0</v>
      </c>
      <c r="G157" s="1">
        <f t="shared" si="23"/>
        <v>0</v>
      </c>
      <c r="H157" s="45"/>
      <c r="I157" s="11" t="e">
        <v>#DIV/0!</v>
      </c>
      <c r="J157" s="11" t="e">
        <v>#DIV/0!</v>
      </c>
      <c r="K157" s="11"/>
      <c r="L157" s="11" t="e">
        <v>#DIV/0!</v>
      </c>
      <c r="M157" s="11" t="e">
        <f t="shared" si="24"/>
        <v>#DIV/0!</v>
      </c>
    </row>
    <row r="158" spans="1:13">
      <c r="A158" s="2" t="str">
        <f t="shared" si="21"/>
        <v>Compact Fluorescent</v>
      </c>
      <c r="B158" s="2" t="str">
        <f t="shared" si="21"/>
        <v>Reflectors and Outdoor</v>
      </c>
      <c r="C158" s="2" t="str">
        <f t="shared" si="21"/>
        <v>250 to 664 lumens</v>
      </c>
      <c r="E158" s="1" t="str">
        <f t="shared" si="22"/>
        <v>Compact FluorescentReflectors and Outdoor250 to 664 lumens</v>
      </c>
      <c r="F158" s="1">
        <v>25</v>
      </c>
      <c r="G158" s="1">
        <f t="shared" si="23"/>
        <v>25</v>
      </c>
      <c r="H158" s="45"/>
      <c r="I158" s="11">
        <v>13.412000000000001</v>
      </c>
      <c r="J158" s="11">
        <v>573.20000000000005</v>
      </c>
      <c r="K158" s="11"/>
      <c r="L158" s="11">
        <v>8400</v>
      </c>
      <c r="M158" s="11">
        <f t="shared" si="24"/>
        <v>42.737846704443783</v>
      </c>
    </row>
    <row r="159" spans="1:13">
      <c r="A159" s="2" t="str">
        <f t="shared" si="21"/>
        <v>Compact Fluorescent</v>
      </c>
      <c r="B159" s="2" t="str">
        <f t="shared" si="21"/>
        <v>Reflectors and Outdoor</v>
      </c>
      <c r="C159" s="2" t="str">
        <f t="shared" si="21"/>
        <v>665 to 1439 lumens</v>
      </c>
      <c r="E159" s="1" t="str">
        <f t="shared" si="22"/>
        <v>Compact FluorescentReflectors and Outdoor665 to 1439 lumens</v>
      </c>
      <c r="F159" s="1">
        <v>60</v>
      </c>
      <c r="G159" s="1">
        <f t="shared" si="23"/>
        <v>60</v>
      </c>
      <c r="H159" s="45"/>
      <c r="I159" s="11">
        <v>17.653333333333329</v>
      </c>
      <c r="J159" s="11">
        <v>905.33333333333337</v>
      </c>
      <c r="K159" s="11"/>
      <c r="L159" s="11">
        <v>9333.3333333333339</v>
      </c>
      <c r="M159" s="11">
        <f t="shared" si="24"/>
        <v>51.28398791540787</v>
      </c>
    </row>
    <row r="160" spans="1:13">
      <c r="A160" s="2" t="str">
        <f t="shared" si="21"/>
        <v>Compact Fluorescent</v>
      </c>
      <c r="B160" s="2" t="str">
        <f t="shared" si="21"/>
        <v>Reflectors and Outdoor</v>
      </c>
      <c r="C160" s="2" t="str">
        <f t="shared" si="21"/>
        <v>1440 to 2600 lumens</v>
      </c>
      <c r="E160" s="1" t="str">
        <f t="shared" si="22"/>
        <v>Compact FluorescentReflectors and Outdoor1440 to 2600 lumens</v>
      </c>
      <c r="F160" s="1">
        <v>0</v>
      </c>
      <c r="G160" s="1">
        <f t="shared" si="23"/>
        <v>0</v>
      </c>
      <c r="H160" s="45"/>
      <c r="I160" s="11" t="e">
        <v>#DIV/0!</v>
      </c>
      <c r="J160" s="11" t="e">
        <v>#DIV/0!</v>
      </c>
      <c r="K160" s="11"/>
      <c r="L160" s="11" t="e">
        <v>#DIV/0!</v>
      </c>
      <c r="M160" s="11" t="e">
        <f t="shared" si="24"/>
        <v>#DIV/0!</v>
      </c>
    </row>
    <row r="161" spans="1:13">
      <c r="A161" s="2" t="str">
        <f t="shared" si="21"/>
        <v>Compact Fluorescent</v>
      </c>
      <c r="B161" s="2" t="str">
        <f t="shared" si="21"/>
        <v>Three-Way</v>
      </c>
      <c r="C161" s="2" t="str">
        <f t="shared" si="21"/>
        <v>250 to 664 lumens</v>
      </c>
      <c r="E161" s="1" t="str">
        <f t="shared" si="22"/>
        <v>Compact FluorescentThree-Way250 to 664 lumens</v>
      </c>
      <c r="F161" s="1">
        <v>0</v>
      </c>
      <c r="G161" s="1">
        <f t="shared" si="23"/>
        <v>0</v>
      </c>
      <c r="H161" s="45"/>
      <c r="I161" s="11" t="e">
        <v>#DIV/0!</v>
      </c>
      <c r="J161" s="11" t="e">
        <v>#DIV/0!</v>
      </c>
      <c r="K161" s="11"/>
      <c r="L161" s="11" t="e">
        <v>#DIV/0!</v>
      </c>
      <c r="M161" s="11" t="e">
        <f t="shared" si="24"/>
        <v>#DIV/0!</v>
      </c>
    </row>
    <row r="162" spans="1:13">
      <c r="A162" s="2" t="str">
        <f t="shared" si="21"/>
        <v>Compact Fluorescent</v>
      </c>
      <c r="B162" s="2" t="str">
        <f t="shared" si="21"/>
        <v>Three-Way</v>
      </c>
      <c r="C162" s="2" t="str">
        <f t="shared" si="21"/>
        <v>665 to 1439 lumens</v>
      </c>
      <c r="E162" s="1" t="str">
        <f t="shared" si="22"/>
        <v>Compact FluorescentThree-Way665 to 1439 lumens</v>
      </c>
      <c r="F162" s="1">
        <v>0</v>
      </c>
      <c r="G162" s="1">
        <f t="shared" si="23"/>
        <v>0</v>
      </c>
      <c r="H162" s="45"/>
      <c r="I162" s="11" t="e">
        <v>#DIV/0!</v>
      </c>
      <c r="J162" s="11" t="e">
        <v>#DIV/0!</v>
      </c>
      <c r="K162" s="11"/>
      <c r="L162" s="11" t="e">
        <v>#DIV/0!</v>
      </c>
      <c r="M162" s="11" t="e">
        <f t="shared" si="24"/>
        <v>#DIV/0!</v>
      </c>
    </row>
    <row r="163" spans="1:13">
      <c r="A163" s="2" t="str">
        <f t="shared" si="21"/>
        <v>Compact Fluorescent</v>
      </c>
      <c r="B163" s="2" t="str">
        <f t="shared" si="21"/>
        <v>Three-Way</v>
      </c>
      <c r="C163" s="2" t="str">
        <f t="shared" si="21"/>
        <v>1440 to 2600 lumens</v>
      </c>
      <c r="E163" s="1" t="str">
        <f t="shared" si="22"/>
        <v>Compact FluorescentThree-Way1440 to 2600 lumens</v>
      </c>
      <c r="F163" s="1">
        <v>9</v>
      </c>
      <c r="G163" s="1">
        <f t="shared" si="23"/>
        <v>9</v>
      </c>
      <c r="H163" s="45"/>
      <c r="I163" s="11">
        <v>39.666666666666664</v>
      </c>
      <c r="J163" s="11">
        <v>1977.7777777777778</v>
      </c>
      <c r="K163" s="11"/>
      <c r="L163" s="11">
        <v>10000</v>
      </c>
      <c r="M163" s="11">
        <f t="shared" si="24"/>
        <v>49.859943977591044</v>
      </c>
    </row>
    <row r="164" spans="1:13">
      <c r="A164" s="2" t="str">
        <f t="shared" si="21"/>
        <v>LED</v>
      </c>
      <c r="B164" s="2" t="str">
        <f t="shared" si="21"/>
        <v>Decorative and Mini-Base</v>
      </c>
      <c r="C164" s="2" t="str">
        <f t="shared" si="21"/>
        <v>250 to 664 lumens</v>
      </c>
      <c r="E164" s="1" t="str">
        <f t="shared" si="22"/>
        <v>LEDDecorative and Mini-Base250 to 664 lumens</v>
      </c>
      <c r="F164" s="1">
        <v>74</v>
      </c>
      <c r="G164" s="1">
        <f t="shared" si="23"/>
        <v>74</v>
      </c>
      <c r="H164" s="45"/>
      <c r="I164" s="11">
        <v>4.9824324324324314</v>
      </c>
      <c r="J164" s="11">
        <v>311.48648648648651</v>
      </c>
      <c r="K164" s="11"/>
      <c r="L164" s="11">
        <v>22162.162162162163</v>
      </c>
      <c r="M164" s="11">
        <f t="shared" si="24"/>
        <v>62.516951451044228</v>
      </c>
    </row>
    <row r="165" spans="1:13">
      <c r="A165" s="2" t="str">
        <f t="shared" ref="A165:C178" si="25">A133</f>
        <v>LED</v>
      </c>
      <c r="B165" s="2" t="str">
        <f t="shared" si="25"/>
        <v>Decorative and Mini-Base</v>
      </c>
      <c r="C165" s="2" t="str">
        <f t="shared" si="25"/>
        <v>665 to 1439 lumens</v>
      </c>
      <c r="E165" s="1" t="str">
        <f t="shared" si="22"/>
        <v>LEDDecorative and Mini-Base665 to 1439 lumens</v>
      </c>
      <c r="F165" s="1">
        <v>0</v>
      </c>
      <c r="G165" s="1">
        <f t="shared" si="23"/>
        <v>0</v>
      </c>
      <c r="H165" s="45"/>
      <c r="I165" s="11" t="e">
        <v>#DIV/0!</v>
      </c>
      <c r="J165" s="11" t="e">
        <v>#DIV/0!</v>
      </c>
      <c r="K165" s="11"/>
      <c r="L165" s="11" t="e">
        <v>#DIV/0!</v>
      </c>
      <c r="M165" s="11" t="e">
        <f t="shared" si="24"/>
        <v>#DIV/0!</v>
      </c>
    </row>
    <row r="166" spans="1:13">
      <c r="A166" s="2" t="str">
        <f t="shared" si="25"/>
        <v>LED</v>
      </c>
      <c r="B166" s="2" t="str">
        <f t="shared" si="25"/>
        <v>Decorative and Mini-Base</v>
      </c>
      <c r="C166" s="2" t="str">
        <f t="shared" si="25"/>
        <v>1440 to 2600 lumens</v>
      </c>
      <c r="E166" s="1" t="str">
        <f t="shared" si="22"/>
        <v>LEDDecorative and Mini-Base1440 to 2600 lumens</v>
      </c>
      <c r="F166" s="1">
        <v>0</v>
      </c>
      <c r="G166" s="1">
        <f t="shared" si="23"/>
        <v>0</v>
      </c>
      <c r="H166" s="45"/>
      <c r="I166" s="11" t="e">
        <v>#DIV/0!</v>
      </c>
      <c r="J166" s="11" t="e">
        <v>#DIV/0!</v>
      </c>
      <c r="K166" s="11"/>
      <c r="L166" s="11" t="e">
        <v>#DIV/0!</v>
      </c>
      <c r="M166" s="11" t="e">
        <f t="shared" si="24"/>
        <v>#DIV/0!</v>
      </c>
    </row>
    <row r="167" spans="1:13">
      <c r="A167" s="2" t="str">
        <f t="shared" si="25"/>
        <v>LED</v>
      </c>
      <c r="B167" s="2" t="str">
        <f t="shared" si="25"/>
        <v>General Purpose and Dimmable</v>
      </c>
      <c r="C167" s="2" t="str">
        <f t="shared" si="25"/>
        <v>250 to 664 lumens</v>
      </c>
      <c r="E167" s="1" t="str">
        <f t="shared" si="22"/>
        <v>LEDGeneral Purpose and Dimmable250 to 664 lumens</v>
      </c>
      <c r="F167" s="1">
        <v>64</v>
      </c>
      <c r="G167" s="1">
        <f t="shared" si="23"/>
        <v>64</v>
      </c>
      <c r="H167" s="45"/>
      <c r="I167" s="11">
        <v>7.5687499999999996</v>
      </c>
      <c r="J167" s="11">
        <v>470.96875</v>
      </c>
      <c r="K167" s="11"/>
      <c r="L167" s="11">
        <v>27187.5</v>
      </c>
      <c r="M167" s="11">
        <f t="shared" si="24"/>
        <v>62.225433526011564</v>
      </c>
    </row>
    <row r="168" spans="1:13">
      <c r="A168" s="2" t="str">
        <f t="shared" si="25"/>
        <v>LED</v>
      </c>
      <c r="B168" s="2" t="str">
        <f t="shared" si="25"/>
        <v>General Purpose and Dimmable</v>
      </c>
      <c r="C168" s="2" t="str">
        <f t="shared" si="25"/>
        <v>665 to 1439 lumens</v>
      </c>
      <c r="E168" s="1" t="str">
        <f t="shared" si="22"/>
        <v>LEDGeneral Purpose and Dimmable665 to 1439 lumens</v>
      </c>
      <c r="F168" s="1">
        <v>178</v>
      </c>
      <c r="G168" s="1">
        <f t="shared" si="23"/>
        <v>178</v>
      </c>
      <c r="H168" s="45"/>
      <c r="I168" s="11">
        <v>12.280337078651684</v>
      </c>
      <c r="J168" s="11">
        <v>862.41573033707868</v>
      </c>
      <c r="K168" s="11"/>
      <c r="L168" s="11">
        <v>28483.146067415732</v>
      </c>
      <c r="M168" s="11">
        <f t="shared" si="24"/>
        <v>70.227366302209631</v>
      </c>
    </row>
    <row r="169" spans="1:13">
      <c r="A169" s="2" t="str">
        <f t="shared" si="25"/>
        <v>LED</v>
      </c>
      <c r="B169" s="2" t="str">
        <f t="shared" si="25"/>
        <v>General Purpose and Dimmable</v>
      </c>
      <c r="C169" s="2" t="str">
        <f t="shared" si="25"/>
        <v>1440 to 2600 lumens</v>
      </c>
      <c r="E169" s="1" t="str">
        <f t="shared" si="22"/>
        <v>LEDGeneral Purpose and Dimmable1440 to 2600 lumens</v>
      </c>
      <c r="F169" s="1">
        <v>23</v>
      </c>
      <c r="G169" s="1">
        <f t="shared" si="23"/>
        <v>23</v>
      </c>
      <c r="H169" s="45"/>
      <c r="I169" s="11">
        <v>22.243478260869566</v>
      </c>
      <c r="J169" s="11">
        <v>1640.6521739130435</v>
      </c>
      <c r="K169" s="11"/>
      <c r="L169" s="11">
        <v>25000</v>
      </c>
      <c r="M169" s="11">
        <f t="shared" si="24"/>
        <v>73.758795934323686</v>
      </c>
    </row>
    <row r="170" spans="1:13">
      <c r="A170" s="2" t="str">
        <f t="shared" si="25"/>
        <v>LED</v>
      </c>
      <c r="B170" s="2" t="str">
        <f t="shared" si="25"/>
        <v>Globe</v>
      </c>
      <c r="C170" s="2" t="str">
        <f t="shared" si="25"/>
        <v>250 to 664 lumens</v>
      </c>
      <c r="E170" s="1" t="str">
        <f t="shared" si="22"/>
        <v>LEDGlobe250 to 664 lumens</v>
      </c>
      <c r="F170" s="1">
        <v>69</v>
      </c>
      <c r="G170" s="1">
        <f t="shared" si="23"/>
        <v>69</v>
      </c>
      <c r="H170" s="45"/>
      <c r="I170" s="11">
        <v>6.494202898550725</v>
      </c>
      <c r="J170" s="11">
        <v>420.36231884057969</v>
      </c>
      <c r="K170" s="11"/>
      <c r="L170" s="11">
        <v>26086.956521739132</v>
      </c>
      <c r="M170" s="11">
        <f t="shared" si="24"/>
        <v>64.728855166257532</v>
      </c>
    </row>
    <row r="171" spans="1:13">
      <c r="A171" s="2" t="str">
        <f t="shared" si="25"/>
        <v>LED</v>
      </c>
      <c r="B171" s="2" t="str">
        <f t="shared" si="25"/>
        <v>Globe</v>
      </c>
      <c r="C171" s="2" t="str">
        <f t="shared" si="25"/>
        <v>665 to 1439 lumens</v>
      </c>
      <c r="E171" s="1" t="str">
        <f t="shared" si="22"/>
        <v>LEDGlobe665 to 1439 lumens</v>
      </c>
      <c r="F171" s="1">
        <v>3</v>
      </c>
      <c r="G171" s="1">
        <f t="shared" si="23"/>
        <v>3</v>
      </c>
      <c r="H171" s="45"/>
      <c r="I171" s="11">
        <v>10.5</v>
      </c>
      <c r="J171" s="11">
        <v>820</v>
      </c>
      <c r="K171" s="11"/>
      <c r="L171" s="11">
        <v>26666.666666666668</v>
      </c>
      <c r="M171" s="11">
        <f t="shared" si="24"/>
        <v>78.095238095238102</v>
      </c>
    </row>
    <row r="172" spans="1:13">
      <c r="A172" s="2" t="str">
        <f t="shared" si="25"/>
        <v>LED</v>
      </c>
      <c r="B172" s="2" t="str">
        <f t="shared" si="25"/>
        <v>Globe</v>
      </c>
      <c r="C172" s="2" t="str">
        <f t="shared" si="25"/>
        <v>1440 to 2600 lumens</v>
      </c>
      <c r="E172" s="1" t="str">
        <f t="shared" si="22"/>
        <v>LEDGlobe1440 to 2600 lumens</v>
      </c>
      <c r="F172" s="1">
        <v>0</v>
      </c>
      <c r="G172" s="1">
        <f t="shared" si="23"/>
        <v>0</v>
      </c>
      <c r="H172" s="45"/>
      <c r="I172" s="11" t="e">
        <v>#DIV/0!</v>
      </c>
      <c r="J172" s="11" t="e">
        <v>#DIV/0!</v>
      </c>
      <c r="K172" s="11"/>
      <c r="L172" s="11" t="e">
        <v>#DIV/0!</v>
      </c>
      <c r="M172" s="11" t="e">
        <f t="shared" si="24"/>
        <v>#DIV/0!</v>
      </c>
    </row>
    <row r="173" spans="1:13">
      <c r="A173" s="2" t="str">
        <f t="shared" si="25"/>
        <v>LED</v>
      </c>
      <c r="B173" s="2" t="str">
        <f t="shared" si="25"/>
        <v>Reflectors and Outdoor</v>
      </c>
      <c r="C173" s="2" t="str">
        <f t="shared" si="25"/>
        <v>250 to 664 lumens</v>
      </c>
      <c r="E173" s="1" t="str">
        <f t="shared" si="22"/>
        <v>LEDReflectors and Outdoor250 to 664 lumens</v>
      </c>
      <c r="F173" s="1">
        <v>460</v>
      </c>
      <c r="G173" s="1">
        <f t="shared" si="23"/>
        <v>460</v>
      </c>
      <c r="H173" s="45"/>
      <c r="I173" s="11">
        <v>7.8447826086956489</v>
      </c>
      <c r="J173" s="11">
        <v>468.28043478260872</v>
      </c>
      <c r="K173" s="11"/>
      <c r="L173" s="11">
        <v>29847.82608695652</v>
      </c>
      <c r="M173" s="11">
        <f t="shared" si="24"/>
        <v>59.693232832677523</v>
      </c>
    </row>
    <row r="174" spans="1:13">
      <c r="A174" s="2" t="str">
        <f t="shared" si="25"/>
        <v>LED</v>
      </c>
      <c r="B174" s="2" t="str">
        <f t="shared" si="25"/>
        <v>Reflectors and Outdoor</v>
      </c>
      <c r="C174" s="2" t="str">
        <f t="shared" si="25"/>
        <v>665 to 1439 lumens</v>
      </c>
      <c r="E174" s="1" t="str">
        <f t="shared" si="22"/>
        <v>LEDReflectors and Outdoor665 to 1439 lumens</v>
      </c>
      <c r="F174" s="1">
        <v>998</v>
      </c>
      <c r="G174" s="1">
        <f t="shared" si="23"/>
        <v>998</v>
      </c>
      <c r="H174" s="45"/>
      <c r="I174" s="11">
        <v>15.160721442885766</v>
      </c>
      <c r="J174" s="11">
        <v>966.46993987975952</v>
      </c>
      <c r="K174" s="11"/>
      <c r="L174" s="11">
        <v>29834.669338677355</v>
      </c>
      <c r="M174" s="11">
        <f t="shared" si="24"/>
        <v>63.74828160524509</v>
      </c>
    </row>
    <row r="175" spans="1:13">
      <c r="A175" s="2" t="str">
        <f t="shared" si="25"/>
        <v>LED</v>
      </c>
      <c r="B175" s="2" t="str">
        <f t="shared" si="25"/>
        <v>Reflectors and Outdoor</v>
      </c>
      <c r="C175" s="2" t="str">
        <f t="shared" si="25"/>
        <v>1440 to 2600 lumens</v>
      </c>
      <c r="E175" s="1" t="str">
        <f t="shared" si="22"/>
        <v>LEDReflectors and Outdoor1440 to 2600 lumens</v>
      </c>
      <c r="F175" s="1">
        <v>17</v>
      </c>
      <c r="G175" s="1">
        <f t="shared" si="23"/>
        <v>17</v>
      </c>
      <c r="H175" s="45"/>
      <c r="I175" s="11">
        <v>20.735294117647058</v>
      </c>
      <c r="J175" s="11">
        <v>1648.5294117647059</v>
      </c>
      <c r="K175" s="11"/>
      <c r="L175" s="11">
        <v>30882.352941176472</v>
      </c>
      <c r="M175" s="11">
        <f t="shared" si="24"/>
        <v>79.503546099290787</v>
      </c>
    </row>
    <row r="176" spans="1:13">
      <c r="A176" s="2" t="str">
        <f t="shared" si="25"/>
        <v>LED</v>
      </c>
      <c r="B176" s="2" t="str">
        <f t="shared" si="25"/>
        <v>Three-Way</v>
      </c>
      <c r="C176" s="2" t="str">
        <f t="shared" si="25"/>
        <v>250 to 664 lumens</v>
      </c>
      <c r="E176" s="1" t="str">
        <f t="shared" si="22"/>
        <v>LEDThree-Way250 to 664 lumens</v>
      </c>
      <c r="F176" s="1">
        <v>0</v>
      </c>
      <c r="G176" s="1">
        <f t="shared" si="23"/>
        <v>0</v>
      </c>
      <c r="H176" s="45"/>
      <c r="I176" s="11" t="e">
        <v>#DIV/0!</v>
      </c>
      <c r="J176" s="11" t="e">
        <v>#DIV/0!</v>
      </c>
      <c r="K176" s="11"/>
      <c r="L176" s="11" t="e">
        <v>#DIV/0!</v>
      </c>
      <c r="M176" s="11" t="e">
        <f t="shared" si="24"/>
        <v>#DIV/0!</v>
      </c>
    </row>
    <row r="177" spans="1:13">
      <c r="A177" s="2" t="str">
        <f t="shared" si="25"/>
        <v>LED</v>
      </c>
      <c r="B177" s="2" t="str">
        <f t="shared" si="25"/>
        <v>Three-Way</v>
      </c>
      <c r="C177" s="2" t="str">
        <f t="shared" si="25"/>
        <v>665 to 1439 lumens</v>
      </c>
      <c r="E177" s="1" t="str">
        <f t="shared" si="22"/>
        <v>LEDThree-Way665 to 1439 lumens</v>
      </c>
      <c r="F177" s="1">
        <v>0</v>
      </c>
      <c r="G177" s="1">
        <f t="shared" si="23"/>
        <v>0</v>
      </c>
      <c r="H177" s="45"/>
      <c r="I177" s="11" t="e">
        <v>#DIV/0!</v>
      </c>
      <c r="J177" s="11" t="e">
        <v>#DIV/0!</v>
      </c>
      <c r="K177" s="11"/>
      <c r="L177" s="11" t="e">
        <v>#DIV/0!</v>
      </c>
      <c r="M177" s="11" t="e">
        <f t="shared" si="24"/>
        <v>#DIV/0!</v>
      </c>
    </row>
    <row r="178" spans="1:13">
      <c r="A178" s="2" t="str">
        <f t="shared" si="25"/>
        <v>LED</v>
      </c>
      <c r="B178" s="2" t="str">
        <f t="shared" si="25"/>
        <v>Three-Way</v>
      </c>
      <c r="C178" s="2" t="str">
        <f t="shared" si="25"/>
        <v>1440 to 2600 lumens</v>
      </c>
      <c r="E178" s="1" t="str">
        <f t="shared" si="22"/>
        <v>LEDThree-Way1440 to 2600 lumens</v>
      </c>
      <c r="F178" s="1">
        <v>0</v>
      </c>
      <c r="G178" s="1">
        <f t="shared" si="23"/>
        <v>0</v>
      </c>
      <c r="H178" s="45"/>
      <c r="I178" s="11" t="e">
        <v>#DIV/0!</v>
      </c>
      <c r="J178" s="11" t="e">
        <v>#DIV/0!</v>
      </c>
      <c r="K178" s="11"/>
      <c r="L178" s="11" t="e">
        <v>#DIV/0!</v>
      </c>
      <c r="M178" s="11" t="e">
        <f t="shared" si="24"/>
        <v>#DIV/0!</v>
      </c>
    </row>
    <row r="179" spans="1:13">
      <c r="A179" s="2"/>
      <c r="B179" s="2"/>
      <c r="C179" s="2"/>
      <c r="H179" s="45"/>
      <c r="I179" s="11"/>
      <c r="J179" s="11"/>
      <c r="K179" s="11"/>
      <c r="L179" s="11"/>
      <c r="M179" s="11"/>
    </row>
    <row r="180" spans="1:13">
      <c r="A180" s="12"/>
      <c r="B180" s="12"/>
      <c r="C180" s="2"/>
      <c r="D180" s="99"/>
      <c r="E180" s="99"/>
      <c r="F180" s="99"/>
    </row>
    <row r="181" spans="1:13">
      <c r="A181" s="12"/>
      <c r="B181" s="12"/>
      <c r="C181" s="2"/>
      <c r="D181" s="99"/>
      <c r="E181" s="99"/>
      <c r="F181" s="99"/>
    </row>
    <row r="182" spans="1:13">
      <c r="A182" s="12"/>
      <c r="B182" s="12"/>
      <c r="C182" s="2"/>
      <c r="D182" s="99"/>
      <c r="E182" s="99"/>
      <c r="F182" s="99"/>
    </row>
    <row r="183" spans="1:13">
      <c r="A183" s="12"/>
      <c r="B183" s="12"/>
      <c r="C183" s="2"/>
      <c r="D183" s="99"/>
      <c r="E183" s="99"/>
      <c r="F183" s="99"/>
    </row>
    <row r="184" spans="1:13">
      <c r="A184" s="12"/>
      <c r="B184" s="12"/>
      <c r="C184" s="2"/>
      <c r="D184" s="99"/>
      <c r="E184" s="99"/>
      <c r="F184" s="99"/>
    </row>
    <row r="185" spans="1:13">
      <c r="A185" s="12"/>
      <c r="B185" s="12"/>
      <c r="C185" s="2"/>
      <c r="D185" s="99"/>
      <c r="E185" s="99"/>
      <c r="F185" s="99"/>
    </row>
    <row r="186" spans="1:13">
      <c r="A186" s="12"/>
      <c r="B186" s="12"/>
      <c r="C186" s="2"/>
      <c r="D186" s="99"/>
      <c r="E186" s="99"/>
      <c r="F186" s="99"/>
    </row>
    <row r="187" spans="1:13">
      <c r="A187" s="12"/>
      <c r="B187" s="12"/>
      <c r="C187" s="2"/>
      <c r="D187" s="99"/>
      <c r="E187" s="99"/>
      <c r="F187" s="99"/>
    </row>
    <row r="188" spans="1:13">
      <c r="A188" s="2"/>
      <c r="B188" s="2"/>
      <c r="C188" s="2"/>
      <c r="D188" s="99"/>
      <c r="E188" s="99"/>
      <c r="F188" s="99"/>
    </row>
    <row r="189" spans="1:13">
      <c r="A189" s="2"/>
      <c r="B189" s="2"/>
      <c r="C189" s="2"/>
      <c r="D189" s="99"/>
      <c r="E189" s="99"/>
      <c r="F189" s="99"/>
    </row>
    <row r="190" spans="1:13">
      <c r="B190" s="2"/>
      <c r="C190" s="2"/>
    </row>
    <row r="191" spans="1:13">
      <c r="A191" s="2" t="s">
        <v>72</v>
      </c>
      <c r="F191" s="17" t="s">
        <v>114</v>
      </c>
      <c r="G191" s="17" t="s">
        <v>115</v>
      </c>
      <c r="H191" s="2" t="s">
        <v>116</v>
      </c>
    </row>
    <row r="192" spans="1:13">
      <c r="A192" s="1" t="str">
        <f t="shared" ref="A192:C207" si="26">A149</f>
        <v>Compact Fluorescent</v>
      </c>
      <c r="B192" s="1" t="str">
        <f t="shared" si="26"/>
        <v>Decorative and Mini-Base</v>
      </c>
      <c r="C192" s="1" t="str">
        <f t="shared" si="26"/>
        <v>250 to 664 lumens</v>
      </c>
      <c r="E192" s="1" t="str">
        <f t="shared" ref="E192:E221" si="27">CONCATENATE(A192,B192,C192)</f>
        <v>Compact FluorescentDecorative and Mini-Base250 to 664 lumens</v>
      </c>
      <c r="F192" s="1" t="b">
        <f t="shared" ref="F192:F221" si="28">IF(F117&gt;0,TRUE,FALSE)</f>
        <v>1</v>
      </c>
      <c r="G192" s="1" t="b">
        <f t="shared" ref="G192:G221" si="29">IF(F149&gt;0,TRUE,FALSE)</f>
        <v>1</v>
      </c>
      <c r="H192" s="1" t="b">
        <f>OR(F192,G192)</f>
        <v>1</v>
      </c>
    </row>
    <row r="193" spans="1:8">
      <c r="A193" s="1" t="str">
        <f t="shared" si="26"/>
        <v>Compact Fluorescent</v>
      </c>
      <c r="B193" s="1" t="str">
        <f t="shared" si="26"/>
        <v>Decorative and Mini-Base</v>
      </c>
      <c r="C193" s="1" t="str">
        <f t="shared" si="26"/>
        <v>665 to 1439 lumens</v>
      </c>
      <c r="E193" s="1" t="str">
        <f t="shared" si="27"/>
        <v>Compact FluorescentDecorative and Mini-Base665 to 1439 lumens</v>
      </c>
      <c r="F193" s="1" t="b">
        <f t="shared" si="28"/>
        <v>1</v>
      </c>
      <c r="G193" s="1" t="b">
        <f t="shared" si="29"/>
        <v>1</v>
      </c>
      <c r="H193" s="1" t="b">
        <f t="shared" ref="H193:H221" si="30">OR(F193,G193)</f>
        <v>1</v>
      </c>
    </row>
    <row r="194" spans="1:8">
      <c r="A194" s="100" t="str">
        <f t="shared" si="26"/>
        <v>Compact Fluorescent</v>
      </c>
      <c r="B194" s="100" t="str">
        <f t="shared" si="26"/>
        <v>Decorative and Mini-Base</v>
      </c>
      <c r="C194" s="100" t="str">
        <f t="shared" si="26"/>
        <v>1440 to 2600 lumens</v>
      </c>
      <c r="D194" s="100"/>
      <c r="E194" s="100" t="str">
        <f t="shared" si="27"/>
        <v>Compact FluorescentDecorative and Mini-Base1440 to 2600 lumens</v>
      </c>
      <c r="F194" s="1" t="b">
        <f t="shared" si="28"/>
        <v>0</v>
      </c>
      <c r="G194" s="1" t="b">
        <f t="shared" si="29"/>
        <v>0</v>
      </c>
      <c r="H194" s="1" t="b">
        <f t="shared" si="30"/>
        <v>0</v>
      </c>
    </row>
    <row r="195" spans="1:8">
      <c r="A195" s="1" t="str">
        <f t="shared" si="26"/>
        <v>Compact Fluorescent</v>
      </c>
      <c r="B195" s="1" t="str">
        <f t="shared" si="26"/>
        <v>General Purpose and Dimmable</v>
      </c>
      <c r="C195" s="1" t="str">
        <f t="shared" si="26"/>
        <v>250 to 664 lumens</v>
      </c>
      <c r="E195" s="1" t="str">
        <f t="shared" si="27"/>
        <v>Compact FluorescentGeneral Purpose and Dimmable250 to 664 lumens</v>
      </c>
      <c r="F195" s="1" t="b">
        <f t="shared" si="28"/>
        <v>1</v>
      </c>
      <c r="G195" s="1" t="b">
        <f t="shared" si="29"/>
        <v>1</v>
      </c>
      <c r="H195" s="1" t="b">
        <f t="shared" si="30"/>
        <v>1</v>
      </c>
    </row>
    <row r="196" spans="1:8">
      <c r="A196" s="1" t="str">
        <f t="shared" si="26"/>
        <v>Compact Fluorescent</v>
      </c>
      <c r="B196" s="1" t="str">
        <f t="shared" si="26"/>
        <v>General Purpose and Dimmable</v>
      </c>
      <c r="C196" s="1" t="str">
        <f t="shared" si="26"/>
        <v>665 to 1439 lumens</v>
      </c>
      <c r="E196" s="1" t="str">
        <f t="shared" si="27"/>
        <v>Compact FluorescentGeneral Purpose and Dimmable665 to 1439 lumens</v>
      </c>
      <c r="F196" s="1" t="b">
        <f t="shared" si="28"/>
        <v>1</v>
      </c>
      <c r="G196" s="1" t="b">
        <f t="shared" si="29"/>
        <v>1</v>
      </c>
      <c r="H196" s="1" t="b">
        <f t="shared" si="30"/>
        <v>1</v>
      </c>
    </row>
    <row r="197" spans="1:8">
      <c r="A197" s="1" t="str">
        <f t="shared" si="26"/>
        <v>Compact Fluorescent</v>
      </c>
      <c r="B197" s="1" t="str">
        <f t="shared" si="26"/>
        <v>General Purpose and Dimmable</v>
      </c>
      <c r="C197" s="1" t="str">
        <f t="shared" si="26"/>
        <v>1440 to 2600 lumens</v>
      </c>
      <c r="E197" s="1" t="str">
        <f t="shared" si="27"/>
        <v>Compact FluorescentGeneral Purpose and Dimmable1440 to 2600 lumens</v>
      </c>
      <c r="F197" s="1" t="b">
        <f t="shared" si="28"/>
        <v>1</v>
      </c>
      <c r="G197" s="1" t="b">
        <f t="shared" si="29"/>
        <v>1</v>
      </c>
      <c r="H197" s="1" t="b">
        <f t="shared" si="30"/>
        <v>1</v>
      </c>
    </row>
    <row r="198" spans="1:8">
      <c r="A198" s="1" t="str">
        <f t="shared" si="26"/>
        <v>Compact Fluorescent</v>
      </c>
      <c r="B198" s="1" t="str">
        <f t="shared" si="26"/>
        <v>Globe</v>
      </c>
      <c r="C198" s="1" t="str">
        <f t="shared" si="26"/>
        <v>250 to 664 lumens</v>
      </c>
      <c r="E198" s="1" t="str">
        <f t="shared" si="27"/>
        <v>Compact FluorescentGlobe250 to 664 lumens</v>
      </c>
      <c r="F198" s="1" t="b">
        <f t="shared" si="28"/>
        <v>1</v>
      </c>
      <c r="G198" s="1" t="b">
        <f t="shared" si="29"/>
        <v>1</v>
      </c>
      <c r="H198" s="1" t="b">
        <f t="shared" si="30"/>
        <v>1</v>
      </c>
    </row>
    <row r="199" spans="1:8">
      <c r="A199" s="1" t="str">
        <f t="shared" si="26"/>
        <v>Compact Fluorescent</v>
      </c>
      <c r="B199" s="1" t="str">
        <f t="shared" si="26"/>
        <v>Globe</v>
      </c>
      <c r="C199" s="1" t="str">
        <f t="shared" si="26"/>
        <v>665 to 1439 lumens</v>
      </c>
      <c r="E199" s="1" t="str">
        <f t="shared" si="27"/>
        <v>Compact FluorescentGlobe665 to 1439 lumens</v>
      </c>
      <c r="F199" s="1" t="b">
        <f t="shared" si="28"/>
        <v>1</v>
      </c>
      <c r="G199" s="1" t="b">
        <f t="shared" si="29"/>
        <v>1</v>
      </c>
      <c r="H199" s="1" t="b">
        <f t="shared" si="30"/>
        <v>1</v>
      </c>
    </row>
    <row r="200" spans="1:8">
      <c r="A200" s="100" t="str">
        <f t="shared" si="26"/>
        <v>Compact Fluorescent</v>
      </c>
      <c r="B200" s="100" t="str">
        <f t="shared" si="26"/>
        <v>Globe</v>
      </c>
      <c r="C200" s="100" t="str">
        <f t="shared" si="26"/>
        <v>1440 to 2600 lumens</v>
      </c>
      <c r="D200" s="100"/>
      <c r="E200" s="100" t="str">
        <f t="shared" si="27"/>
        <v>Compact FluorescentGlobe1440 to 2600 lumens</v>
      </c>
      <c r="F200" s="1" t="b">
        <f t="shared" si="28"/>
        <v>0</v>
      </c>
      <c r="G200" s="1" t="b">
        <f t="shared" si="29"/>
        <v>0</v>
      </c>
      <c r="H200" s="1" t="b">
        <f t="shared" si="30"/>
        <v>0</v>
      </c>
    </row>
    <row r="201" spans="1:8">
      <c r="A201" s="1" t="str">
        <f t="shared" si="26"/>
        <v>Compact Fluorescent</v>
      </c>
      <c r="B201" s="1" t="str">
        <f t="shared" si="26"/>
        <v>Reflectors and Outdoor</v>
      </c>
      <c r="C201" s="1" t="str">
        <f t="shared" si="26"/>
        <v>250 to 664 lumens</v>
      </c>
      <c r="E201" s="1" t="str">
        <f t="shared" si="27"/>
        <v>Compact FluorescentReflectors and Outdoor250 to 664 lumens</v>
      </c>
      <c r="F201" s="1" t="b">
        <f t="shared" si="28"/>
        <v>1</v>
      </c>
      <c r="G201" s="1" t="b">
        <f t="shared" si="29"/>
        <v>1</v>
      </c>
      <c r="H201" s="1" t="b">
        <f t="shared" si="30"/>
        <v>1</v>
      </c>
    </row>
    <row r="202" spans="1:8">
      <c r="A202" s="1" t="str">
        <f t="shared" si="26"/>
        <v>Compact Fluorescent</v>
      </c>
      <c r="B202" s="1" t="str">
        <f t="shared" si="26"/>
        <v>Reflectors and Outdoor</v>
      </c>
      <c r="C202" s="1" t="str">
        <f t="shared" si="26"/>
        <v>665 to 1439 lumens</v>
      </c>
      <c r="E202" s="1" t="str">
        <f t="shared" si="27"/>
        <v>Compact FluorescentReflectors and Outdoor665 to 1439 lumens</v>
      </c>
      <c r="F202" s="1" t="b">
        <f t="shared" si="28"/>
        <v>1</v>
      </c>
      <c r="G202" s="1" t="b">
        <f t="shared" si="29"/>
        <v>1</v>
      </c>
      <c r="H202" s="1" t="b">
        <f t="shared" si="30"/>
        <v>1</v>
      </c>
    </row>
    <row r="203" spans="1:8">
      <c r="A203" s="1" t="str">
        <f t="shared" si="26"/>
        <v>Compact Fluorescent</v>
      </c>
      <c r="B203" s="1" t="str">
        <f t="shared" si="26"/>
        <v>Reflectors and Outdoor</v>
      </c>
      <c r="C203" s="1" t="str">
        <f t="shared" si="26"/>
        <v>1440 to 2600 lumens</v>
      </c>
      <c r="E203" s="1" t="str">
        <f t="shared" si="27"/>
        <v>Compact FluorescentReflectors and Outdoor1440 to 2600 lumens</v>
      </c>
      <c r="F203" s="1" t="b">
        <f t="shared" si="28"/>
        <v>1</v>
      </c>
      <c r="G203" s="1" t="b">
        <f t="shared" si="29"/>
        <v>0</v>
      </c>
      <c r="H203" s="1" t="b">
        <f t="shared" si="30"/>
        <v>1</v>
      </c>
    </row>
    <row r="204" spans="1:8">
      <c r="A204" s="100" t="str">
        <f t="shared" si="26"/>
        <v>Compact Fluorescent</v>
      </c>
      <c r="B204" s="100" t="str">
        <f t="shared" si="26"/>
        <v>Three-Way</v>
      </c>
      <c r="C204" s="100" t="str">
        <f t="shared" si="26"/>
        <v>250 to 664 lumens</v>
      </c>
      <c r="D204" s="100"/>
      <c r="E204" s="100" t="str">
        <f t="shared" si="27"/>
        <v>Compact FluorescentThree-Way250 to 664 lumens</v>
      </c>
      <c r="F204" s="1" t="b">
        <f t="shared" si="28"/>
        <v>0</v>
      </c>
      <c r="G204" s="1" t="b">
        <f t="shared" si="29"/>
        <v>0</v>
      </c>
      <c r="H204" s="1" t="b">
        <f t="shared" si="30"/>
        <v>0</v>
      </c>
    </row>
    <row r="205" spans="1:8">
      <c r="A205" s="1" t="str">
        <f t="shared" si="26"/>
        <v>Compact Fluorescent</v>
      </c>
      <c r="B205" s="1" t="str">
        <f t="shared" si="26"/>
        <v>Three-Way</v>
      </c>
      <c r="C205" s="1" t="str">
        <f t="shared" si="26"/>
        <v>665 to 1439 lumens</v>
      </c>
      <c r="E205" s="1" t="str">
        <f t="shared" si="27"/>
        <v>Compact FluorescentThree-Way665 to 1439 lumens</v>
      </c>
      <c r="F205" s="1" t="b">
        <f t="shared" si="28"/>
        <v>1</v>
      </c>
      <c r="G205" s="1" t="b">
        <f t="shared" si="29"/>
        <v>0</v>
      </c>
      <c r="H205" s="1" t="b">
        <f t="shared" si="30"/>
        <v>1</v>
      </c>
    </row>
    <row r="206" spans="1:8">
      <c r="A206" s="1" t="str">
        <f t="shared" si="26"/>
        <v>Compact Fluorescent</v>
      </c>
      <c r="B206" s="1" t="str">
        <f t="shared" si="26"/>
        <v>Three-Way</v>
      </c>
      <c r="C206" s="1" t="str">
        <f t="shared" si="26"/>
        <v>1440 to 2600 lumens</v>
      </c>
      <c r="E206" s="1" t="str">
        <f t="shared" si="27"/>
        <v>Compact FluorescentThree-Way1440 to 2600 lumens</v>
      </c>
      <c r="F206" s="1" t="b">
        <f t="shared" si="28"/>
        <v>1</v>
      </c>
      <c r="G206" s="1" t="b">
        <f t="shared" si="29"/>
        <v>1</v>
      </c>
      <c r="H206" s="1" t="b">
        <f t="shared" si="30"/>
        <v>1</v>
      </c>
    </row>
    <row r="207" spans="1:8">
      <c r="A207" s="1" t="str">
        <f t="shared" si="26"/>
        <v>LED</v>
      </c>
      <c r="B207" s="1" t="str">
        <f t="shared" si="26"/>
        <v>Decorative and Mini-Base</v>
      </c>
      <c r="C207" s="1" t="str">
        <f t="shared" si="26"/>
        <v>250 to 664 lumens</v>
      </c>
      <c r="E207" s="1" t="str">
        <f t="shared" si="27"/>
        <v>LEDDecorative and Mini-Base250 to 664 lumens</v>
      </c>
      <c r="F207" s="1" t="b">
        <f t="shared" si="28"/>
        <v>0</v>
      </c>
      <c r="G207" s="1" t="b">
        <f t="shared" si="29"/>
        <v>1</v>
      </c>
      <c r="H207" s="1" t="b">
        <f t="shared" si="30"/>
        <v>1</v>
      </c>
    </row>
    <row r="208" spans="1:8">
      <c r="A208" s="100" t="str">
        <f t="shared" ref="A208:C221" si="31">A165</f>
        <v>LED</v>
      </c>
      <c r="B208" s="100" t="str">
        <f t="shared" si="31"/>
        <v>Decorative and Mini-Base</v>
      </c>
      <c r="C208" s="100" t="str">
        <f t="shared" si="31"/>
        <v>665 to 1439 lumens</v>
      </c>
      <c r="D208" s="100"/>
      <c r="E208" s="100" t="str">
        <f t="shared" si="27"/>
        <v>LEDDecorative and Mini-Base665 to 1439 lumens</v>
      </c>
      <c r="F208" s="1" t="b">
        <f t="shared" si="28"/>
        <v>0</v>
      </c>
      <c r="G208" s="1" t="b">
        <f t="shared" si="29"/>
        <v>0</v>
      </c>
      <c r="H208" s="1" t="b">
        <f t="shared" si="30"/>
        <v>0</v>
      </c>
    </row>
    <row r="209" spans="1:8">
      <c r="A209" s="100" t="str">
        <f t="shared" si="31"/>
        <v>LED</v>
      </c>
      <c r="B209" s="100" t="str">
        <f t="shared" si="31"/>
        <v>Decorative and Mini-Base</v>
      </c>
      <c r="C209" s="100" t="str">
        <f t="shared" si="31"/>
        <v>1440 to 2600 lumens</v>
      </c>
      <c r="D209" s="100"/>
      <c r="E209" s="100" t="str">
        <f t="shared" si="27"/>
        <v>LEDDecorative and Mini-Base1440 to 2600 lumens</v>
      </c>
      <c r="F209" s="1" t="b">
        <f t="shared" si="28"/>
        <v>0</v>
      </c>
      <c r="G209" s="1" t="b">
        <f t="shared" si="29"/>
        <v>0</v>
      </c>
      <c r="H209" s="1" t="b">
        <f t="shared" si="30"/>
        <v>0</v>
      </c>
    </row>
    <row r="210" spans="1:8">
      <c r="A210" s="1" t="str">
        <f t="shared" si="31"/>
        <v>LED</v>
      </c>
      <c r="B210" s="1" t="str">
        <f t="shared" si="31"/>
        <v>General Purpose and Dimmable</v>
      </c>
      <c r="C210" s="1" t="str">
        <f t="shared" si="31"/>
        <v>250 to 664 lumens</v>
      </c>
      <c r="E210" s="1" t="str">
        <f t="shared" si="27"/>
        <v>LEDGeneral Purpose and Dimmable250 to 664 lumens</v>
      </c>
      <c r="F210" s="1" t="b">
        <f t="shared" si="28"/>
        <v>1</v>
      </c>
      <c r="G210" s="1" t="b">
        <f t="shared" si="29"/>
        <v>1</v>
      </c>
      <c r="H210" s="1" t="b">
        <f t="shared" si="30"/>
        <v>1</v>
      </c>
    </row>
    <row r="211" spans="1:8">
      <c r="A211" s="1" t="str">
        <f t="shared" si="31"/>
        <v>LED</v>
      </c>
      <c r="B211" s="1" t="str">
        <f t="shared" si="31"/>
        <v>General Purpose and Dimmable</v>
      </c>
      <c r="C211" s="1" t="str">
        <f t="shared" si="31"/>
        <v>665 to 1439 lumens</v>
      </c>
      <c r="E211" s="1" t="str">
        <f t="shared" si="27"/>
        <v>LEDGeneral Purpose and Dimmable665 to 1439 lumens</v>
      </c>
      <c r="F211" s="1" t="b">
        <f t="shared" si="28"/>
        <v>1</v>
      </c>
      <c r="G211" s="1" t="b">
        <f t="shared" si="29"/>
        <v>1</v>
      </c>
      <c r="H211" s="1" t="b">
        <f t="shared" si="30"/>
        <v>1</v>
      </c>
    </row>
    <row r="212" spans="1:8">
      <c r="A212" s="1" t="str">
        <f t="shared" si="31"/>
        <v>LED</v>
      </c>
      <c r="B212" s="1" t="str">
        <f t="shared" si="31"/>
        <v>General Purpose and Dimmable</v>
      </c>
      <c r="C212" s="1" t="str">
        <f t="shared" si="31"/>
        <v>1440 to 2600 lumens</v>
      </c>
      <c r="E212" s="1" t="str">
        <f t="shared" si="27"/>
        <v>LEDGeneral Purpose and Dimmable1440 to 2600 lumens</v>
      </c>
      <c r="F212" s="1" t="b">
        <f t="shared" si="28"/>
        <v>0</v>
      </c>
      <c r="G212" s="1" t="b">
        <f t="shared" si="29"/>
        <v>1</v>
      </c>
      <c r="H212" s="1" t="b">
        <f t="shared" si="30"/>
        <v>1</v>
      </c>
    </row>
    <row r="213" spans="1:8">
      <c r="A213" s="1" t="str">
        <f t="shared" si="31"/>
        <v>LED</v>
      </c>
      <c r="B213" s="1" t="str">
        <f t="shared" si="31"/>
        <v>Globe</v>
      </c>
      <c r="C213" s="1" t="str">
        <f t="shared" si="31"/>
        <v>250 to 664 lumens</v>
      </c>
      <c r="E213" s="1" t="str">
        <f t="shared" si="27"/>
        <v>LEDGlobe250 to 664 lumens</v>
      </c>
      <c r="F213" s="1" t="b">
        <f t="shared" si="28"/>
        <v>1</v>
      </c>
      <c r="G213" s="1" t="b">
        <f t="shared" si="29"/>
        <v>1</v>
      </c>
      <c r="H213" s="1" t="b">
        <f t="shared" si="30"/>
        <v>1</v>
      </c>
    </row>
    <row r="214" spans="1:8">
      <c r="A214" s="1" t="str">
        <f t="shared" si="31"/>
        <v>LED</v>
      </c>
      <c r="B214" s="1" t="str">
        <f t="shared" si="31"/>
        <v>Globe</v>
      </c>
      <c r="C214" s="1" t="str">
        <f t="shared" si="31"/>
        <v>665 to 1439 lumens</v>
      </c>
      <c r="E214" s="1" t="str">
        <f t="shared" si="27"/>
        <v>LEDGlobe665 to 1439 lumens</v>
      </c>
      <c r="F214" s="1" t="b">
        <f t="shared" si="28"/>
        <v>0</v>
      </c>
      <c r="G214" s="1" t="b">
        <f t="shared" si="29"/>
        <v>1</v>
      </c>
      <c r="H214" s="1" t="b">
        <f t="shared" si="30"/>
        <v>1</v>
      </c>
    </row>
    <row r="215" spans="1:8">
      <c r="A215" s="100" t="str">
        <f t="shared" si="31"/>
        <v>LED</v>
      </c>
      <c r="B215" s="100" t="str">
        <f t="shared" si="31"/>
        <v>Globe</v>
      </c>
      <c r="C215" s="100" t="str">
        <f t="shared" si="31"/>
        <v>1440 to 2600 lumens</v>
      </c>
      <c r="D215" s="100"/>
      <c r="E215" s="100" t="str">
        <f t="shared" si="27"/>
        <v>LEDGlobe1440 to 2600 lumens</v>
      </c>
      <c r="F215" s="1" t="b">
        <f t="shared" si="28"/>
        <v>0</v>
      </c>
      <c r="G215" s="1" t="b">
        <f t="shared" si="29"/>
        <v>0</v>
      </c>
      <c r="H215" s="1" t="b">
        <f t="shared" si="30"/>
        <v>0</v>
      </c>
    </row>
    <row r="216" spans="1:8">
      <c r="A216" s="1" t="str">
        <f t="shared" si="31"/>
        <v>LED</v>
      </c>
      <c r="B216" s="1" t="str">
        <f t="shared" si="31"/>
        <v>Reflectors and Outdoor</v>
      </c>
      <c r="C216" s="1" t="str">
        <f t="shared" si="31"/>
        <v>250 to 664 lumens</v>
      </c>
      <c r="E216" s="1" t="str">
        <f t="shared" si="27"/>
        <v>LEDReflectors and Outdoor250 to 664 lumens</v>
      </c>
      <c r="F216" s="1" t="b">
        <f t="shared" si="28"/>
        <v>1</v>
      </c>
      <c r="G216" s="1" t="b">
        <f t="shared" si="29"/>
        <v>1</v>
      </c>
      <c r="H216" s="1" t="b">
        <f t="shared" si="30"/>
        <v>1</v>
      </c>
    </row>
    <row r="217" spans="1:8">
      <c r="A217" s="1" t="str">
        <f t="shared" si="31"/>
        <v>LED</v>
      </c>
      <c r="B217" s="1" t="str">
        <f t="shared" si="31"/>
        <v>Reflectors and Outdoor</v>
      </c>
      <c r="C217" s="1" t="str">
        <f t="shared" si="31"/>
        <v>665 to 1439 lumens</v>
      </c>
      <c r="E217" s="1" t="str">
        <f t="shared" si="27"/>
        <v>LEDReflectors and Outdoor665 to 1439 lumens</v>
      </c>
      <c r="F217" s="1" t="b">
        <f t="shared" si="28"/>
        <v>1</v>
      </c>
      <c r="G217" s="1" t="b">
        <f t="shared" si="29"/>
        <v>1</v>
      </c>
      <c r="H217" s="1" t="b">
        <f t="shared" si="30"/>
        <v>1</v>
      </c>
    </row>
    <row r="218" spans="1:8">
      <c r="A218" s="1" t="str">
        <f t="shared" si="31"/>
        <v>LED</v>
      </c>
      <c r="B218" s="1" t="str">
        <f t="shared" si="31"/>
        <v>Reflectors and Outdoor</v>
      </c>
      <c r="C218" s="1" t="str">
        <f t="shared" si="31"/>
        <v>1440 to 2600 lumens</v>
      </c>
      <c r="E218" s="1" t="str">
        <f t="shared" si="27"/>
        <v>LEDReflectors and Outdoor1440 to 2600 lumens</v>
      </c>
      <c r="F218" s="1" t="b">
        <f t="shared" si="28"/>
        <v>0</v>
      </c>
      <c r="G218" s="1" t="b">
        <f t="shared" si="29"/>
        <v>1</v>
      </c>
      <c r="H218" s="1" t="b">
        <f t="shared" si="30"/>
        <v>1</v>
      </c>
    </row>
    <row r="219" spans="1:8">
      <c r="A219" s="100" t="str">
        <f t="shared" si="31"/>
        <v>LED</v>
      </c>
      <c r="B219" s="100" t="str">
        <f t="shared" si="31"/>
        <v>Three-Way</v>
      </c>
      <c r="C219" s="100" t="str">
        <f t="shared" si="31"/>
        <v>250 to 664 lumens</v>
      </c>
      <c r="D219" s="100"/>
      <c r="E219" s="100" t="str">
        <f t="shared" si="27"/>
        <v>LEDThree-Way250 to 664 lumens</v>
      </c>
      <c r="F219" s="1" t="b">
        <f t="shared" si="28"/>
        <v>0</v>
      </c>
      <c r="G219" s="1" t="b">
        <f t="shared" si="29"/>
        <v>0</v>
      </c>
      <c r="H219" s="1" t="b">
        <f t="shared" si="30"/>
        <v>0</v>
      </c>
    </row>
    <row r="220" spans="1:8">
      <c r="A220" s="100" t="str">
        <f t="shared" si="31"/>
        <v>LED</v>
      </c>
      <c r="B220" s="100" t="str">
        <f t="shared" si="31"/>
        <v>Three-Way</v>
      </c>
      <c r="C220" s="100" t="str">
        <f t="shared" si="31"/>
        <v>665 to 1439 lumens</v>
      </c>
      <c r="D220" s="100"/>
      <c r="E220" s="100" t="str">
        <f t="shared" si="27"/>
        <v>LEDThree-Way665 to 1439 lumens</v>
      </c>
      <c r="F220" s="1" t="b">
        <f t="shared" si="28"/>
        <v>0</v>
      </c>
      <c r="G220" s="1" t="b">
        <f t="shared" si="29"/>
        <v>0</v>
      </c>
      <c r="H220" s="1" t="b">
        <f t="shared" si="30"/>
        <v>0</v>
      </c>
    </row>
    <row r="221" spans="1:8">
      <c r="A221" s="100" t="str">
        <f t="shared" si="31"/>
        <v>LED</v>
      </c>
      <c r="B221" s="100" t="str">
        <f t="shared" si="31"/>
        <v>Three-Way</v>
      </c>
      <c r="C221" s="100" t="str">
        <f t="shared" si="31"/>
        <v>1440 to 2600 lumens</v>
      </c>
      <c r="D221" s="100"/>
      <c r="E221" s="100" t="str">
        <f t="shared" si="27"/>
        <v>LEDThree-Way1440 to 2600 lumens</v>
      </c>
      <c r="F221" s="1" t="b">
        <f t="shared" si="28"/>
        <v>0</v>
      </c>
      <c r="G221" s="1" t="b">
        <f t="shared" si="29"/>
        <v>0</v>
      </c>
      <c r="H221" s="1" t="b">
        <f t="shared" si="30"/>
        <v>0</v>
      </c>
    </row>
    <row r="224" spans="1:8">
      <c r="A224" s="2" t="s">
        <v>117</v>
      </c>
    </row>
    <row r="225" spans="1:6">
      <c r="D225" s="1" t="s">
        <v>30</v>
      </c>
      <c r="E225" s="1" t="s">
        <v>33</v>
      </c>
      <c r="F225" s="1" t="s">
        <v>35</v>
      </c>
    </row>
    <row r="226" spans="1:6">
      <c r="A226" s="1" t="s">
        <v>31</v>
      </c>
      <c r="B226" s="1" t="s">
        <v>29</v>
      </c>
      <c r="D226" s="1" t="str">
        <f>CONCATENATE($A226,$B226,D$225)</f>
        <v>Compact FluorescentDecorative and Mini-Base250 to 664 lumens</v>
      </c>
      <c r="E226" s="1" t="str">
        <f>CONCATENATE($A226,$B226,E$225)</f>
        <v>Compact FluorescentDecorative and Mini-Base665 to 1439 lumens</v>
      </c>
      <c r="F226" s="1" t="str">
        <f>CONCATENATE($A226,$B226,F$225)</f>
        <v>Compact FluorescentDecorative and Mini-Base1440 to 2600 lumens</v>
      </c>
    </row>
    <row r="227" spans="1:6">
      <c r="A227" s="1" t="s">
        <v>31</v>
      </c>
      <c r="B227" s="1" t="s">
        <v>32</v>
      </c>
      <c r="D227" s="1" t="str">
        <f t="shared" ref="D227:F235" si="32">CONCATENATE($A227,$B227,D$225)</f>
        <v>Compact FluorescentGeneral Purpose and Dimmable250 to 664 lumens</v>
      </c>
      <c r="E227" s="1" t="str">
        <f t="shared" si="32"/>
        <v>Compact FluorescentGeneral Purpose and Dimmable665 to 1439 lumens</v>
      </c>
      <c r="F227" s="1" t="str">
        <f t="shared" si="32"/>
        <v>Compact FluorescentGeneral Purpose and Dimmable1440 to 2600 lumens</v>
      </c>
    </row>
    <row r="228" spans="1:6">
      <c r="A228" s="1" t="s">
        <v>31</v>
      </c>
      <c r="B228" s="1" t="s">
        <v>34</v>
      </c>
      <c r="D228" s="1" t="str">
        <f t="shared" si="32"/>
        <v>Compact FluorescentGlobe250 to 664 lumens</v>
      </c>
      <c r="E228" s="1" t="str">
        <f t="shared" si="32"/>
        <v>Compact FluorescentGlobe665 to 1439 lumens</v>
      </c>
      <c r="F228" s="1" t="str">
        <f t="shared" si="32"/>
        <v>Compact FluorescentGlobe1440 to 2600 lumens</v>
      </c>
    </row>
    <row r="229" spans="1:6">
      <c r="A229" s="1" t="s">
        <v>31</v>
      </c>
      <c r="B229" s="1" t="s">
        <v>36</v>
      </c>
      <c r="D229" s="1" t="str">
        <f t="shared" si="32"/>
        <v>Compact FluorescentReflectors and Outdoor250 to 664 lumens</v>
      </c>
      <c r="E229" s="1" t="str">
        <f t="shared" si="32"/>
        <v>Compact FluorescentReflectors and Outdoor665 to 1439 lumens</v>
      </c>
      <c r="F229" s="1" t="str">
        <f t="shared" si="32"/>
        <v>Compact FluorescentReflectors and Outdoor1440 to 2600 lumens</v>
      </c>
    </row>
    <row r="230" spans="1:6">
      <c r="A230" s="1" t="s">
        <v>31</v>
      </c>
      <c r="B230" s="1" t="s">
        <v>37</v>
      </c>
      <c r="D230" s="1" t="str">
        <f t="shared" si="32"/>
        <v>Compact FluorescentThree-Way250 to 664 lumens</v>
      </c>
      <c r="E230" s="1" t="str">
        <f t="shared" si="32"/>
        <v>Compact FluorescentThree-Way665 to 1439 lumens</v>
      </c>
      <c r="F230" s="1" t="str">
        <f t="shared" si="32"/>
        <v>Compact FluorescentThree-Way1440 to 2600 lumens</v>
      </c>
    </row>
    <row r="231" spans="1:6">
      <c r="A231" s="1" t="s">
        <v>28</v>
      </c>
      <c r="B231" s="1" t="s">
        <v>29</v>
      </c>
      <c r="D231" s="1" t="str">
        <f t="shared" si="32"/>
        <v>LEDDecorative and Mini-Base250 to 664 lumens</v>
      </c>
      <c r="E231" s="1" t="str">
        <f t="shared" si="32"/>
        <v>LEDDecorative and Mini-Base665 to 1439 lumens</v>
      </c>
      <c r="F231" s="1" t="str">
        <f t="shared" si="32"/>
        <v>LEDDecorative and Mini-Base1440 to 2600 lumens</v>
      </c>
    </row>
    <row r="232" spans="1:6">
      <c r="A232" s="1" t="s">
        <v>28</v>
      </c>
      <c r="B232" s="1" t="s">
        <v>32</v>
      </c>
      <c r="D232" s="1" t="str">
        <f t="shared" si="32"/>
        <v>LEDGeneral Purpose and Dimmable250 to 664 lumens</v>
      </c>
      <c r="E232" s="1" t="str">
        <f t="shared" si="32"/>
        <v>LEDGeneral Purpose and Dimmable665 to 1439 lumens</v>
      </c>
      <c r="F232" s="1" t="str">
        <f t="shared" si="32"/>
        <v>LEDGeneral Purpose and Dimmable1440 to 2600 lumens</v>
      </c>
    </row>
    <row r="233" spans="1:6">
      <c r="A233" s="1" t="s">
        <v>28</v>
      </c>
      <c r="B233" s="1" t="s">
        <v>34</v>
      </c>
      <c r="D233" s="1" t="str">
        <f t="shared" si="32"/>
        <v>LEDGlobe250 to 664 lumens</v>
      </c>
      <c r="E233" s="1" t="str">
        <f t="shared" si="32"/>
        <v>LEDGlobe665 to 1439 lumens</v>
      </c>
      <c r="F233" s="1" t="str">
        <f t="shared" si="32"/>
        <v>LEDGlobe1440 to 2600 lumens</v>
      </c>
    </row>
    <row r="234" spans="1:6">
      <c r="A234" s="1" t="s">
        <v>28</v>
      </c>
      <c r="B234" s="1" t="s">
        <v>36</v>
      </c>
      <c r="D234" s="1" t="str">
        <f t="shared" si="32"/>
        <v>LEDReflectors and Outdoor250 to 664 lumens</v>
      </c>
      <c r="E234" s="1" t="str">
        <f t="shared" si="32"/>
        <v>LEDReflectors and Outdoor665 to 1439 lumens</v>
      </c>
      <c r="F234" s="1" t="str">
        <f t="shared" si="32"/>
        <v>LEDReflectors and Outdoor1440 to 2600 lumens</v>
      </c>
    </row>
    <row r="235" spans="1:6">
      <c r="A235" s="1" t="s">
        <v>28</v>
      </c>
      <c r="B235" s="1" t="s">
        <v>37</v>
      </c>
      <c r="D235" s="1" t="str">
        <f t="shared" si="32"/>
        <v>LEDThree-Way250 to 664 lumens</v>
      </c>
      <c r="E235" s="1" t="str">
        <f t="shared" si="32"/>
        <v>LEDThree-Way665 to 1439 lumens</v>
      </c>
      <c r="F235" s="1" t="str">
        <f t="shared" si="32"/>
        <v>LEDThree-Way1440 to 2600 lumens</v>
      </c>
    </row>
    <row r="237" spans="1:6" ht="13.5" thickBot="1">
      <c r="A237" s="2" t="s">
        <v>118</v>
      </c>
    </row>
    <row r="238" spans="1:6" ht="51">
      <c r="B238" s="101" t="s">
        <v>119</v>
      </c>
      <c r="C238" s="102" t="s">
        <v>25</v>
      </c>
      <c r="D238" s="103" t="s">
        <v>120</v>
      </c>
      <c r="E238" s="103" t="s">
        <v>121</v>
      </c>
      <c r="F238" s="104" t="s">
        <v>122</v>
      </c>
    </row>
    <row r="239" spans="1:6">
      <c r="B239" s="105" t="str">
        <f t="shared" ref="B239:C248" si="33">A226</f>
        <v>Compact Fluorescent</v>
      </c>
      <c r="C239" s="93" t="str">
        <f t="shared" si="33"/>
        <v>Decorative and Mini-Base</v>
      </c>
      <c r="D239" s="93" t="b">
        <f t="shared" ref="D239:F248" si="34">VLOOKUP(D226,$E$192:$H$221,4,FALSE)</f>
        <v>1</v>
      </c>
      <c r="E239" s="93" t="b">
        <f t="shared" si="34"/>
        <v>1</v>
      </c>
      <c r="F239" s="106" t="b">
        <f t="shared" si="34"/>
        <v>0</v>
      </c>
    </row>
    <row r="240" spans="1:6">
      <c r="B240" s="105" t="str">
        <f t="shared" si="33"/>
        <v>Compact Fluorescent</v>
      </c>
      <c r="C240" s="93" t="str">
        <f t="shared" si="33"/>
        <v>General Purpose and Dimmable</v>
      </c>
      <c r="D240" s="93" t="b">
        <f t="shared" si="34"/>
        <v>1</v>
      </c>
      <c r="E240" s="93" t="b">
        <f t="shared" si="34"/>
        <v>1</v>
      </c>
      <c r="F240" s="106" t="b">
        <f t="shared" si="34"/>
        <v>1</v>
      </c>
    </row>
    <row r="241" spans="1:6">
      <c r="B241" s="105" t="str">
        <f t="shared" si="33"/>
        <v>Compact Fluorescent</v>
      </c>
      <c r="C241" s="93" t="str">
        <f t="shared" si="33"/>
        <v>Globe</v>
      </c>
      <c r="D241" s="93" t="b">
        <f t="shared" si="34"/>
        <v>1</v>
      </c>
      <c r="E241" s="93" t="b">
        <f t="shared" si="34"/>
        <v>1</v>
      </c>
      <c r="F241" s="106" t="b">
        <f t="shared" si="34"/>
        <v>0</v>
      </c>
    </row>
    <row r="242" spans="1:6">
      <c r="B242" s="105" t="str">
        <f t="shared" si="33"/>
        <v>Compact Fluorescent</v>
      </c>
      <c r="C242" s="93" t="str">
        <f t="shared" si="33"/>
        <v>Reflectors and Outdoor</v>
      </c>
      <c r="D242" s="93" t="b">
        <f t="shared" si="34"/>
        <v>1</v>
      </c>
      <c r="E242" s="93" t="b">
        <f t="shared" si="34"/>
        <v>1</v>
      </c>
      <c r="F242" s="106" t="b">
        <f t="shared" si="34"/>
        <v>1</v>
      </c>
    </row>
    <row r="243" spans="1:6">
      <c r="B243" s="105" t="str">
        <f t="shared" si="33"/>
        <v>Compact Fluorescent</v>
      </c>
      <c r="C243" s="93" t="str">
        <f t="shared" si="33"/>
        <v>Three-Way</v>
      </c>
      <c r="D243" s="93" t="b">
        <f t="shared" si="34"/>
        <v>0</v>
      </c>
      <c r="E243" s="93" t="b">
        <f t="shared" si="34"/>
        <v>1</v>
      </c>
      <c r="F243" s="106" t="b">
        <f t="shared" si="34"/>
        <v>1</v>
      </c>
    </row>
    <row r="244" spans="1:6">
      <c r="B244" s="105" t="str">
        <f t="shared" si="33"/>
        <v>LED</v>
      </c>
      <c r="C244" s="93" t="str">
        <f t="shared" si="33"/>
        <v>Decorative and Mini-Base</v>
      </c>
      <c r="D244" s="93" t="b">
        <f t="shared" si="34"/>
        <v>1</v>
      </c>
      <c r="E244" s="93" t="b">
        <f t="shared" si="34"/>
        <v>0</v>
      </c>
      <c r="F244" s="106" t="b">
        <f t="shared" si="34"/>
        <v>0</v>
      </c>
    </row>
    <row r="245" spans="1:6">
      <c r="B245" s="105" t="str">
        <f t="shared" si="33"/>
        <v>LED</v>
      </c>
      <c r="C245" s="93" t="str">
        <f t="shared" si="33"/>
        <v>General Purpose and Dimmable</v>
      </c>
      <c r="D245" s="93" t="b">
        <f t="shared" si="34"/>
        <v>1</v>
      </c>
      <c r="E245" s="93" t="b">
        <f t="shared" si="34"/>
        <v>1</v>
      </c>
      <c r="F245" s="106" t="b">
        <f t="shared" si="34"/>
        <v>1</v>
      </c>
    </row>
    <row r="246" spans="1:6">
      <c r="B246" s="105" t="str">
        <f t="shared" si="33"/>
        <v>LED</v>
      </c>
      <c r="C246" s="93" t="str">
        <f t="shared" si="33"/>
        <v>Globe</v>
      </c>
      <c r="D246" s="93" t="b">
        <f t="shared" si="34"/>
        <v>1</v>
      </c>
      <c r="E246" s="93" t="b">
        <f t="shared" si="34"/>
        <v>1</v>
      </c>
      <c r="F246" s="106" t="b">
        <f t="shared" si="34"/>
        <v>0</v>
      </c>
    </row>
    <row r="247" spans="1:6">
      <c r="B247" s="105" t="str">
        <f t="shared" si="33"/>
        <v>LED</v>
      </c>
      <c r="C247" s="93" t="str">
        <f t="shared" si="33"/>
        <v>Reflectors and Outdoor</v>
      </c>
      <c r="D247" s="93" t="b">
        <f t="shared" si="34"/>
        <v>1</v>
      </c>
      <c r="E247" s="93" t="b">
        <f t="shared" si="34"/>
        <v>1</v>
      </c>
      <c r="F247" s="106" t="b">
        <f t="shared" si="34"/>
        <v>1</v>
      </c>
    </row>
    <row r="248" spans="1:6" ht="13.5" thickBot="1">
      <c r="B248" s="107" t="str">
        <f t="shared" si="33"/>
        <v>LED</v>
      </c>
      <c r="C248" s="108" t="str">
        <f t="shared" si="33"/>
        <v>Three-Way</v>
      </c>
      <c r="D248" s="108" t="b">
        <f t="shared" si="34"/>
        <v>0</v>
      </c>
      <c r="E248" s="108" t="b">
        <f t="shared" si="34"/>
        <v>0</v>
      </c>
      <c r="F248" s="109" t="b">
        <f t="shared" si="34"/>
        <v>0</v>
      </c>
    </row>
    <row r="250" spans="1:6">
      <c r="A250" s="2"/>
    </row>
  </sheetData>
  <mergeCells count="8">
    <mergeCell ref="C14:C16"/>
    <mergeCell ref="C17:C19"/>
    <mergeCell ref="E3:G3"/>
    <mergeCell ref="H3:I3"/>
    <mergeCell ref="J3:K3"/>
    <mergeCell ref="C5:C7"/>
    <mergeCell ref="C8:C10"/>
    <mergeCell ref="C11:C13"/>
  </mergeCells>
  <conditionalFormatting sqref="M25:O39">
    <cfRule type="colorScale" priority="5">
      <colorScale>
        <cfvo type="min" val="0"/>
        <cfvo type="max" val="0"/>
        <color rgb="FFFCFCFF"/>
        <color rgb="FF63BE7B"/>
      </colorScale>
    </cfRule>
  </conditionalFormatting>
  <conditionalFormatting sqref="E25:G39">
    <cfRule type="colorScale" priority="4">
      <colorScale>
        <cfvo type="min" val="0"/>
        <cfvo type="max" val="0"/>
        <color rgb="FFFCFCFF"/>
        <color rgb="FF63BE7B"/>
      </colorScale>
    </cfRule>
  </conditionalFormatting>
  <conditionalFormatting sqref="F192:G221 D239:F248">
    <cfRule type="expression" dxfId="1" priority="3">
      <formula>D192=FALSE</formula>
    </cfRule>
  </conditionalFormatting>
  <conditionalFormatting sqref="E5:K19">
    <cfRule type="expression" dxfId="0" priority="1">
      <formula>E5 = 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17"/>
  <dimension ref="A1:O86"/>
  <sheetViews>
    <sheetView topLeftCell="A50" zoomScaleNormal="100" workbookViewId="0">
      <selection activeCell="C67" sqref="C67"/>
    </sheetView>
  </sheetViews>
  <sheetFormatPr defaultRowHeight="12.75"/>
  <cols>
    <col min="1" max="3" width="9.140625" style="1"/>
    <col min="4" max="6" width="12.7109375" style="1" customWidth="1"/>
    <col min="7" max="9" width="9.140625" style="1"/>
    <col min="10" max="10" width="34.28515625" style="1" customWidth="1"/>
    <col min="11" max="16384" width="9.140625" style="1"/>
  </cols>
  <sheetData>
    <row r="1" spans="1:15" ht="79.5" customHeight="1">
      <c r="I1" s="396" t="s">
        <v>123</v>
      </c>
      <c r="J1" s="396"/>
      <c r="K1" s="396"/>
      <c r="L1" s="396"/>
      <c r="M1" s="396"/>
      <c r="N1" s="396"/>
      <c r="O1" s="396"/>
    </row>
    <row r="3" spans="1:15" ht="13.5" thickBot="1">
      <c r="A3" s="2" t="s">
        <v>124</v>
      </c>
      <c r="B3" s="2"/>
      <c r="C3" s="2"/>
      <c r="H3" s="45"/>
      <c r="I3" s="110" t="s">
        <v>125</v>
      </c>
      <c r="M3" s="11"/>
    </row>
    <row r="4" spans="1:15" ht="25.5">
      <c r="A4" s="2"/>
      <c r="B4" s="101" t="s">
        <v>119</v>
      </c>
      <c r="C4" s="102" t="s">
        <v>25</v>
      </c>
      <c r="D4" s="103" t="s">
        <v>30</v>
      </c>
      <c r="E4" s="103" t="s">
        <v>33</v>
      </c>
      <c r="F4" s="104" t="s">
        <v>35</v>
      </c>
      <c r="H4" s="45"/>
      <c r="I4" s="2" t="s">
        <v>126</v>
      </c>
      <c r="M4" s="11"/>
    </row>
    <row r="5" spans="1:15">
      <c r="A5" s="2"/>
      <c r="B5" s="105" t="s">
        <v>31</v>
      </c>
      <c r="C5" s="93" t="s">
        <v>29</v>
      </c>
      <c r="D5" s="95">
        <v>49.443339305475043</v>
      </c>
      <c r="E5" s="95">
        <v>62.459815923222592</v>
      </c>
      <c r="F5" s="111" t="e">
        <v>#DIV/0!</v>
      </c>
      <c r="H5" s="45"/>
      <c r="M5" s="11"/>
    </row>
    <row r="6" spans="1:15">
      <c r="A6" s="2"/>
      <c r="B6" s="105" t="s">
        <v>31</v>
      </c>
      <c r="C6" s="93" t="s">
        <v>32</v>
      </c>
      <c r="D6" s="95">
        <v>58.693987969217332</v>
      </c>
      <c r="E6" s="95">
        <v>65.011221995709931</v>
      </c>
      <c r="F6" s="111">
        <v>69.492728120196375</v>
      </c>
      <c r="H6" s="45"/>
      <c r="K6" s="2" t="s">
        <v>127</v>
      </c>
      <c r="M6" s="11"/>
    </row>
    <row r="7" spans="1:15">
      <c r="A7" s="2"/>
      <c r="B7" s="105" t="s">
        <v>31</v>
      </c>
      <c r="C7" s="93" t="s">
        <v>34</v>
      </c>
      <c r="D7" s="95">
        <v>50.448317720218583</v>
      </c>
      <c r="E7" s="95">
        <v>55.972559680076365</v>
      </c>
      <c r="F7" s="111" t="e">
        <v>#DIV/0!</v>
      </c>
      <c r="H7" s="45"/>
      <c r="I7" s="1" t="s">
        <v>28</v>
      </c>
      <c r="J7" s="1" t="s">
        <v>29</v>
      </c>
      <c r="K7" s="1">
        <v>66</v>
      </c>
      <c r="M7" s="11"/>
    </row>
    <row r="8" spans="1:15">
      <c r="A8" s="2"/>
      <c r="B8" s="105" t="s">
        <v>31</v>
      </c>
      <c r="C8" s="93" t="s">
        <v>36</v>
      </c>
      <c r="D8" s="95">
        <v>44.566706761531705</v>
      </c>
      <c r="E8" s="95">
        <v>49.299166180823669</v>
      </c>
      <c r="F8" s="111">
        <v>67.307692307692307</v>
      </c>
      <c r="H8" s="45"/>
      <c r="I8" s="1" t="s">
        <v>28</v>
      </c>
      <c r="J8" s="1" t="s">
        <v>32</v>
      </c>
      <c r="K8" s="1">
        <v>76</v>
      </c>
      <c r="M8" s="11"/>
    </row>
    <row r="9" spans="1:15">
      <c r="A9" s="2"/>
      <c r="B9" s="105" t="s">
        <v>31</v>
      </c>
      <c r="C9" s="93" t="s">
        <v>37</v>
      </c>
      <c r="D9" s="95" t="e">
        <v>#DIV/0!</v>
      </c>
      <c r="E9" s="95">
        <v>42.211016724553993</v>
      </c>
      <c r="F9" s="111">
        <v>50.393616423624209</v>
      </c>
      <c r="H9" s="45"/>
      <c r="I9" s="1" t="s">
        <v>28</v>
      </c>
      <c r="J9" s="1" t="s">
        <v>34</v>
      </c>
      <c r="K9" s="1">
        <v>76</v>
      </c>
      <c r="M9" s="11"/>
    </row>
    <row r="10" spans="1:15">
      <c r="A10" s="2"/>
      <c r="B10" s="105" t="s">
        <v>28</v>
      </c>
      <c r="C10" s="93" t="s">
        <v>29</v>
      </c>
      <c r="D10" s="95" t="e">
        <v>#DIV/0!</v>
      </c>
      <c r="E10" s="95" t="e">
        <v>#DIV/0!</v>
      </c>
      <c r="F10" s="111" t="e">
        <v>#DIV/0!</v>
      </c>
      <c r="H10" s="45"/>
      <c r="I10" s="1" t="s">
        <v>28</v>
      </c>
      <c r="J10" s="1" t="s">
        <v>36</v>
      </c>
      <c r="K10" s="1">
        <v>67</v>
      </c>
      <c r="M10" s="11"/>
    </row>
    <row r="11" spans="1:15">
      <c r="A11" s="2"/>
      <c r="B11" s="105" t="s">
        <v>28</v>
      </c>
      <c r="C11" s="93" t="s">
        <v>32</v>
      </c>
      <c r="D11" s="95">
        <v>62.685528450267135</v>
      </c>
      <c r="E11" s="95">
        <v>68.394530990861966</v>
      </c>
      <c r="F11" s="111" t="e">
        <v>#DIV/0!</v>
      </c>
      <c r="H11" s="45"/>
      <c r="I11" s="1" t="s">
        <v>28</v>
      </c>
      <c r="J11" s="1" t="s">
        <v>37</v>
      </c>
      <c r="M11" s="11"/>
    </row>
    <row r="12" spans="1:15">
      <c r="A12" s="2"/>
      <c r="B12" s="105" t="s">
        <v>28</v>
      </c>
      <c r="C12" s="93" t="s">
        <v>34</v>
      </c>
      <c r="D12" s="95">
        <v>62.466913926172396</v>
      </c>
      <c r="E12" s="95" t="e">
        <v>#DIV/0!</v>
      </c>
      <c r="F12" s="111" t="e">
        <v>#DIV/0!</v>
      </c>
      <c r="H12" s="45"/>
      <c r="I12" s="11"/>
      <c r="J12" s="11"/>
      <c r="K12" s="11"/>
      <c r="L12" s="11"/>
      <c r="M12" s="11"/>
    </row>
    <row r="13" spans="1:15">
      <c r="A13" s="2"/>
      <c r="B13" s="105" t="s">
        <v>28</v>
      </c>
      <c r="C13" s="93" t="s">
        <v>36</v>
      </c>
      <c r="D13" s="95">
        <v>52.95849399360624</v>
      </c>
      <c r="E13" s="95">
        <v>56.967463464421122</v>
      </c>
      <c r="F13" s="111" t="e">
        <v>#DIV/0!</v>
      </c>
      <c r="H13" s="45"/>
      <c r="I13" s="11"/>
      <c r="J13" s="11"/>
      <c r="K13" s="11"/>
      <c r="L13" s="11"/>
      <c r="M13" s="11"/>
    </row>
    <row r="14" spans="1:15" ht="13.5" thickBot="1">
      <c r="A14" s="2"/>
      <c r="B14" s="107" t="s">
        <v>28</v>
      </c>
      <c r="C14" s="108" t="s">
        <v>37</v>
      </c>
      <c r="D14" s="112" t="e">
        <v>#DIV/0!</v>
      </c>
      <c r="E14" s="112" t="e">
        <v>#DIV/0!</v>
      </c>
      <c r="F14" s="113" t="e">
        <v>#DIV/0!</v>
      </c>
      <c r="H14" s="45"/>
      <c r="I14" s="11"/>
      <c r="J14" s="11"/>
      <c r="K14" s="11"/>
      <c r="L14" s="11"/>
      <c r="M14" s="11"/>
    </row>
    <row r="15" spans="1:15">
      <c r="A15" s="2"/>
      <c r="B15" s="2"/>
      <c r="C15" s="2"/>
      <c r="H15" s="45"/>
      <c r="I15" s="11"/>
      <c r="J15" s="11"/>
      <c r="K15" s="11"/>
      <c r="L15" s="11"/>
      <c r="M15" s="11"/>
    </row>
    <row r="16" spans="1:15" ht="13.5" thickBot="1">
      <c r="A16" s="2" t="s">
        <v>115</v>
      </c>
      <c r="B16" s="2"/>
      <c r="C16" s="2"/>
      <c r="H16" s="45"/>
      <c r="I16" s="11"/>
      <c r="J16" s="11"/>
      <c r="K16" s="11"/>
      <c r="L16" s="11"/>
      <c r="M16" s="11"/>
    </row>
    <row r="17" spans="1:13" ht="25.5">
      <c r="A17" s="2"/>
      <c r="B17" s="101" t="str">
        <f>B4</f>
        <v>Technology</v>
      </c>
      <c r="C17" s="102" t="str">
        <f>C4</f>
        <v>Lamp Type</v>
      </c>
      <c r="D17" s="103" t="str">
        <f>D4</f>
        <v>250 to 664 lumens</v>
      </c>
      <c r="E17" s="103" t="str">
        <f>E4</f>
        <v>665 to 1439 lumens</v>
      </c>
      <c r="F17" s="104" t="str">
        <f>F4</f>
        <v>1440 to 2600 lumens</v>
      </c>
      <c r="H17" s="45"/>
      <c r="I17" s="11"/>
      <c r="J17" s="11"/>
      <c r="K17" s="11"/>
      <c r="L17" s="11"/>
      <c r="M17" s="11"/>
    </row>
    <row r="18" spans="1:13">
      <c r="A18" s="2"/>
      <c r="B18" s="105" t="str">
        <f t="shared" ref="B18:C27" si="0">B5</f>
        <v>Compact Fluorescent</v>
      </c>
      <c r="C18" s="93" t="str">
        <f t="shared" si="0"/>
        <v>Decorative and Mini-Base</v>
      </c>
      <c r="D18" s="95">
        <v>45.209580838323355</v>
      </c>
      <c r="E18" s="95">
        <v>64.327485380116954</v>
      </c>
      <c r="F18" s="111" t="e">
        <v>#DIV/0!</v>
      </c>
      <c r="H18" s="45"/>
      <c r="I18" s="11"/>
      <c r="J18" s="11"/>
      <c r="K18" s="11"/>
      <c r="L18" s="11"/>
      <c r="M18" s="11"/>
    </row>
    <row r="19" spans="1:13">
      <c r="A19" s="2"/>
      <c r="B19" s="105" t="str">
        <f t="shared" si="0"/>
        <v>Compact Fluorescent</v>
      </c>
      <c r="C19" s="93" t="str">
        <f t="shared" si="0"/>
        <v>General Purpose and Dimmable</v>
      </c>
      <c r="D19" s="95">
        <v>56.659498207885321</v>
      </c>
      <c r="E19" s="95">
        <v>64.175776878712256</v>
      </c>
      <c r="F19" s="111">
        <v>69.212388619889424</v>
      </c>
      <c r="H19" s="45"/>
      <c r="I19" s="11"/>
      <c r="J19" s="11"/>
      <c r="K19" s="11"/>
      <c r="L19" s="11"/>
      <c r="M19" s="11"/>
    </row>
    <row r="20" spans="1:13">
      <c r="A20" s="2"/>
      <c r="B20" s="105" t="str">
        <f t="shared" si="0"/>
        <v>Compact Fluorescent</v>
      </c>
      <c r="C20" s="93" t="str">
        <f t="shared" si="0"/>
        <v>Globe</v>
      </c>
      <c r="D20" s="95">
        <v>54.266666666666666</v>
      </c>
      <c r="E20" s="95">
        <v>56.604803493449786</v>
      </c>
      <c r="F20" s="111" t="e">
        <v>#DIV/0!</v>
      </c>
      <c r="H20" s="45"/>
      <c r="I20" s="11"/>
      <c r="J20" s="11"/>
      <c r="K20" s="11"/>
      <c r="L20" s="11"/>
      <c r="M20" s="11"/>
    </row>
    <row r="21" spans="1:13">
      <c r="A21" s="2"/>
      <c r="B21" s="105" t="str">
        <f t="shared" si="0"/>
        <v>Compact Fluorescent</v>
      </c>
      <c r="C21" s="93" t="str">
        <f t="shared" si="0"/>
        <v>Reflectors and Outdoor</v>
      </c>
      <c r="D21" s="95">
        <v>42.737846704443783</v>
      </c>
      <c r="E21" s="95">
        <v>51.28398791540787</v>
      </c>
      <c r="F21" s="111" t="e">
        <v>#DIV/0!</v>
      </c>
      <c r="H21" s="45"/>
      <c r="I21" s="11"/>
      <c r="J21" s="11"/>
      <c r="K21" s="11"/>
      <c r="L21" s="11"/>
      <c r="M21" s="11"/>
    </row>
    <row r="22" spans="1:13">
      <c r="A22" s="2"/>
      <c r="B22" s="105" t="str">
        <f t="shared" si="0"/>
        <v>Compact Fluorescent</v>
      </c>
      <c r="C22" s="93" t="str">
        <f t="shared" si="0"/>
        <v>Three-Way</v>
      </c>
      <c r="D22" s="95" t="e">
        <v>#DIV/0!</v>
      </c>
      <c r="E22" s="95" t="e">
        <v>#DIV/0!</v>
      </c>
      <c r="F22" s="111">
        <v>49.859943977591044</v>
      </c>
      <c r="H22" s="45"/>
      <c r="I22" s="11"/>
      <c r="J22" s="11"/>
      <c r="K22" s="11"/>
      <c r="L22" s="11"/>
      <c r="M22" s="11"/>
    </row>
    <row r="23" spans="1:13">
      <c r="A23" s="2"/>
      <c r="B23" s="105" t="str">
        <f t="shared" si="0"/>
        <v>LED</v>
      </c>
      <c r="C23" s="93" t="str">
        <f t="shared" si="0"/>
        <v>Decorative and Mini-Base</v>
      </c>
      <c r="D23" s="95">
        <v>62.516951451044228</v>
      </c>
      <c r="E23" s="95" t="e">
        <v>#DIV/0!</v>
      </c>
      <c r="F23" s="111" t="e">
        <v>#DIV/0!</v>
      </c>
      <c r="H23" s="45"/>
      <c r="I23" s="11"/>
      <c r="J23" s="11"/>
      <c r="K23" s="11"/>
      <c r="L23" s="11"/>
      <c r="M23" s="11"/>
    </row>
    <row r="24" spans="1:13">
      <c r="A24" s="2"/>
      <c r="B24" s="105" t="str">
        <f t="shared" si="0"/>
        <v>LED</v>
      </c>
      <c r="C24" s="93" t="str">
        <f t="shared" si="0"/>
        <v>General Purpose and Dimmable</v>
      </c>
      <c r="D24" s="95">
        <v>62.225433526011564</v>
      </c>
      <c r="E24" s="95">
        <v>70.227366302209631</v>
      </c>
      <c r="F24" s="111">
        <v>73.758795934323686</v>
      </c>
      <c r="H24" s="45"/>
      <c r="I24" s="11"/>
      <c r="J24" s="11"/>
      <c r="K24" s="11"/>
      <c r="L24" s="11"/>
      <c r="M24" s="11"/>
    </row>
    <row r="25" spans="1:13">
      <c r="A25" s="2"/>
      <c r="B25" s="105" t="str">
        <f t="shared" si="0"/>
        <v>LED</v>
      </c>
      <c r="C25" s="93" t="str">
        <f t="shared" si="0"/>
        <v>Globe</v>
      </c>
      <c r="D25" s="95">
        <v>64.728855166257532</v>
      </c>
      <c r="E25" s="95">
        <v>78.095238095238102</v>
      </c>
      <c r="F25" s="111" t="e">
        <v>#DIV/0!</v>
      </c>
      <c r="H25" s="45"/>
      <c r="I25" s="11"/>
      <c r="J25" s="11"/>
      <c r="K25" s="11"/>
      <c r="L25" s="11"/>
      <c r="M25" s="11"/>
    </row>
    <row r="26" spans="1:13">
      <c r="A26" s="2"/>
      <c r="B26" s="105" t="str">
        <f t="shared" si="0"/>
        <v>LED</v>
      </c>
      <c r="C26" s="93" t="str">
        <f t="shared" si="0"/>
        <v>Reflectors and Outdoor</v>
      </c>
      <c r="D26" s="95">
        <v>59.693232832677523</v>
      </c>
      <c r="E26" s="95">
        <v>63.74828160524509</v>
      </c>
      <c r="F26" s="111">
        <v>79.503546099290787</v>
      </c>
      <c r="H26" s="45"/>
      <c r="I26" s="11"/>
      <c r="J26" s="11"/>
      <c r="K26" s="11"/>
      <c r="L26" s="11"/>
      <c r="M26" s="11"/>
    </row>
    <row r="27" spans="1:13" ht="13.5" thickBot="1">
      <c r="B27" s="107" t="str">
        <f t="shared" si="0"/>
        <v>LED</v>
      </c>
      <c r="C27" s="108" t="str">
        <f t="shared" si="0"/>
        <v>Three-Way</v>
      </c>
      <c r="D27" s="112" t="e">
        <v>#DIV/0!</v>
      </c>
      <c r="E27" s="112" t="e">
        <v>#DIV/0!</v>
      </c>
      <c r="F27" s="113" t="e">
        <v>#DIV/0!</v>
      </c>
      <c r="H27" s="45"/>
      <c r="I27" s="11"/>
      <c r="J27" s="11"/>
      <c r="K27" s="11"/>
      <c r="L27" s="11"/>
      <c r="M27" s="11"/>
    </row>
    <row r="28" spans="1:13" ht="13.5" thickBot="1">
      <c r="A28" s="2" t="s">
        <v>128</v>
      </c>
      <c r="B28" s="21"/>
      <c r="C28" s="21"/>
      <c r="D28" s="99"/>
      <c r="E28" s="99"/>
      <c r="F28" s="99"/>
      <c r="H28" s="45"/>
      <c r="I28" s="11"/>
      <c r="J28" s="11"/>
      <c r="K28" s="11"/>
      <c r="L28" s="11"/>
      <c r="M28" s="11"/>
    </row>
    <row r="29" spans="1:13" ht="25.5">
      <c r="A29" s="2"/>
      <c r="B29" s="101" t="s">
        <v>119</v>
      </c>
      <c r="C29" s="102" t="s">
        <v>25</v>
      </c>
      <c r="D29" s="103" t="s">
        <v>30</v>
      </c>
      <c r="E29" s="103" t="s">
        <v>33</v>
      </c>
      <c r="F29" s="104" t="s">
        <v>35</v>
      </c>
      <c r="H29" s="45"/>
      <c r="I29" s="11"/>
      <c r="J29" s="11"/>
      <c r="K29" s="11"/>
      <c r="L29" s="11"/>
      <c r="M29" s="11"/>
    </row>
    <row r="30" spans="1:13">
      <c r="B30" s="105" t="str">
        <f t="shared" ref="B30:C39" si="1">B18</f>
        <v>Compact Fluorescent</v>
      </c>
      <c r="C30" s="93" t="str">
        <f t="shared" si="1"/>
        <v>Decorative and Mini-Base</v>
      </c>
      <c r="D30" s="95">
        <f>IF(ISERROR(D5),D18,IF(ISERROR(D18),D5,AVERAGE(D5,D18)))</f>
        <v>47.326460071899199</v>
      </c>
      <c r="E30" s="95">
        <f>IF(ISERROR(E5),E18,IF(ISERROR(E18),E5,AVERAGE(E5,E18)))</f>
        <v>63.393650651669773</v>
      </c>
      <c r="F30" s="111" t="e">
        <f t="shared" ref="D30:F39" si="2">IF(ISERROR(F5),F18,IF(ISERROR(F18),F5,AVERAGE(F5,F18)))</f>
        <v>#DIV/0!</v>
      </c>
      <c r="H30" s="45"/>
      <c r="I30" s="11"/>
      <c r="J30" s="11"/>
      <c r="K30" s="11"/>
      <c r="L30" s="11"/>
      <c r="M30" s="11"/>
    </row>
    <row r="31" spans="1:13">
      <c r="A31" s="2"/>
      <c r="B31" s="105" t="str">
        <f t="shared" si="1"/>
        <v>Compact Fluorescent</v>
      </c>
      <c r="C31" s="93" t="str">
        <f t="shared" si="1"/>
        <v>General Purpose and Dimmable</v>
      </c>
      <c r="D31" s="95">
        <f t="shared" si="2"/>
        <v>57.676743088551326</v>
      </c>
      <c r="E31" s="95">
        <f t="shared" si="2"/>
        <v>64.593499437211094</v>
      </c>
      <c r="F31" s="111">
        <f>IF(ISERROR(F6),F19,IF(ISERROR(F19),F6,AVERAGE(F6,F19)))</f>
        <v>69.3525583700429</v>
      </c>
      <c r="H31" s="45"/>
      <c r="I31" s="11"/>
      <c r="J31" s="11"/>
      <c r="K31" s="11"/>
      <c r="L31" s="11"/>
      <c r="M31" s="11"/>
    </row>
    <row r="32" spans="1:13">
      <c r="A32" s="2"/>
      <c r="B32" s="105" t="str">
        <f t="shared" si="1"/>
        <v>Compact Fluorescent</v>
      </c>
      <c r="C32" s="93" t="str">
        <f t="shared" si="1"/>
        <v>Globe</v>
      </c>
      <c r="D32" s="95">
        <f t="shared" si="2"/>
        <v>52.357492193442624</v>
      </c>
      <c r="E32" s="95">
        <f t="shared" si="2"/>
        <v>56.288681586763076</v>
      </c>
      <c r="F32" s="111" t="e">
        <f t="shared" si="2"/>
        <v>#DIV/0!</v>
      </c>
      <c r="H32" s="45"/>
      <c r="I32" s="11"/>
      <c r="J32" s="11"/>
      <c r="K32" s="11"/>
      <c r="L32" s="11"/>
      <c r="M32" s="11"/>
    </row>
    <row r="33" spans="1:13">
      <c r="A33" s="2"/>
      <c r="B33" s="105" t="str">
        <f t="shared" si="1"/>
        <v>Compact Fluorescent</v>
      </c>
      <c r="C33" s="93" t="str">
        <f t="shared" si="1"/>
        <v>Reflectors and Outdoor</v>
      </c>
      <c r="D33" s="95">
        <f t="shared" si="2"/>
        <v>43.652276732987744</v>
      </c>
      <c r="E33" s="95">
        <f t="shared" si="2"/>
        <v>50.291577048115769</v>
      </c>
      <c r="F33" s="111">
        <f t="shared" si="2"/>
        <v>67.307692307692307</v>
      </c>
      <c r="H33" s="45"/>
      <c r="I33" s="11"/>
      <c r="J33" s="11"/>
      <c r="K33" s="11"/>
      <c r="L33" s="11"/>
      <c r="M33" s="11"/>
    </row>
    <row r="34" spans="1:13">
      <c r="A34" s="2"/>
      <c r="B34" s="105" t="str">
        <f t="shared" si="1"/>
        <v>Compact Fluorescent</v>
      </c>
      <c r="C34" s="93" t="str">
        <f t="shared" si="1"/>
        <v>Three-Way</v>
      </c>
      <c r="D34" s="95" t="e">
        <f t="shared" si="2"/>
        <v>#DIV/0!</v>
      </c>
      <c r="E34" s="95">
        <f t="shared" si="2"/>
        <v>42.211016724553993</v>
      </c>
      <c r="F34" s="111">
        <f t="shared" si="2"/>
        <v>50.126780200607627</v>
      </c>
      <c r="H34" s="45"/>
      <c r="I34" s="11" t="s">
        <v>129</v>
      </c>
      <c r="J34" s="11"/>
      <c r="K34" s="11"/>
      <c r="L34" s="11"/>
      <c r="M34" s="11"/>
    </row>
    <row r="35" spans="1:13">
      <c r="A35" s="2"/>
      <c r="B35" s="105" t="str">
        <f t="shared" si="1"/>
        <v>LED</v>
      </c>
      <c r="C35" s="93" t="str">
        <f t="shared" si="1"/>
        <v>Decorative and Mini-Base</v>
      </c>
      <c r="D35" s="95">
        <f t="shared" si="2"/>
        <v>62.516951451044228</v>
      </c>
      <c r="E35" s="95" t="e">
        <f t="shared" si="2"/>
        <v>#DIV/0!</v>
      </c>
      <c r="F35" s="111" t="e">
        <f t="shared" si="2"/>
        <v>#DIV/0!</v>
      </c>
      <c r="H35" s="45"/>
      <c r="I35" s="114" t="s">
        <v>130</v>
      </c>
      <c r="J35" s="114" t="s">
        <v>131</v>
      </c>
      <c r="K35" s="114" t="s">
        <v>132</v>
      </c>
      <c r="L35" s="11"/>
      <c r="M35" s="11"/>
    </row>
    <row r="36" spans="1:13">
      <c r="A36" s="2"/>
      <c r="B36" s="105" t="str">
        <f t="shared" si="1"/>
        <v>LED</v>
      </c>
      <c r="C36" s="93" t="str">
        <f t="shared" si="1"/>
        <v>General Purpose and Dimmable</v>
      </c>
      <c r="D36" s="95">
        <f>IF(ISERROR(D11),D24,IF(ISERROR(D24),D11,AVERAGE(D11,D24)))</f>
        <v>62.45548098813935</v>
      </c>
      <c r="E36" s="95">
        <f t="shared" si="2"/>
        <v>69.310948646535792</v>
      </c>
      <c r="F36" s="111">
        <f t="shared" si="2"/>
        <v>73.758795934323686</v>
      </c>
      <c r="H36" s="45"/>
      <c r="I36" s="115">
        <v>6</v>
      </c>
      <c r="J36" s="115">
        <v>300</v>
      </c>
      <c r="K36" s="115">
        <f>J36/I36</f>
        <v>50</v>
      </c>
      <c r="L36" s="11"/>
      <c r="M36" s="11"/>
    </row>
    <row r="37" spans="1:13">
      <c r="A37" s="2"/>
      <c r="B37" s="105" t="str">
        <f t="shared" si="1"/>
        <v>LED</v>
      </c>
      <c r="C37" s="93" t="str">
        <f t="shared" si="1"/>
        <v>Globe</v>
      </c>
      <c r="D37" s="95">
        <f t="shared" si="2"/>
        <v>63.597884546214964</v>
      </c>
      <c r="E37" s="95">
        <f t="shared" si="2"/>
        <v>78.095238095238102</v>
      </c>
      <c r="F37" s="111" t="e">
        <f t="shared" si="2"/>
        <v>#DIV/0!</v>
      </c>
      <c r="I37" s="116">
        <v>13.5</v>
      </c>
      <c r="J37" s="116">
        <v>800</v>
      </c>
      <c r="K37" s="115">
        <f>J37/I37</f>
        <v>59.25925925925926</v>
      </c>
    </row>
    <row r="38" spans="1:13">
      <c r="A38" s="2"/>
      <c r="B38" s="105" t="str">
        <f t="shared" si="1"/>
        <v>LED</v>
      </c>
      <c r="C38" s="93" t="str">
        <f t="shared" si="1"/>
        <v>Reflectors and Outdoor</v>
      </c>
      <c r="D38" s="95">
        <f t="shared" si="2"/>
        <v>56.325863413141882</v>
      </c>
      <c r="E38" s="95">
        <f t="shared" si="2"/>
        <v>60.357872534833106</v>
      </c>
      <c r="F38" s="111">
        <f t="shared" si="2"/>
        <v>79.503546099290787</v>
      </c>
      <c r="I38" s="116">
        <v>20</v>
      </c>
      <c r="J38" s="116">
        <v>1100</v>
      </c>
      <c r="K38" s="115">
        <f>J38/I38</f>
        <v>55</v>
      </c>
    </row>
    <row r="39" spans="1:13" ht="13.5" thickBot="1">
      <c r="A39" s="2"/>
      <c r="B39" s="107" t="str">
        <f t="shared" si="1"/>
        <v>LED</v>
      </c>
      <c r="C39" s="108" t="str">
        <f t="shared" si="1"/>
        <v>Three-Way</v>
      </c>
      <c r="D39" s="112" t="e">
        <f t="shared" si="2"/>
        <v>#DIV/0!</v>
      </c>
      <c r="E39" s="112" t="e">
        <f t="shared" si="2"/>
        <v>#DIV/0!</v>
      </c>
      <c r="F39" s="113" t="e">
        <f t="shared" si="2"/>
        <v>#DIV/0!</v>
      </c>
      <c r="I39" s="1" t="s">
        <v>133</v>
      </c>
    </row>
    <row r="40" spans="1:13">
      <c r="A40" s="2"/>
      <c r="B40" s="2"/>
      <c r="C40" s="2"/>
      <c r="D40" s="99"/>
      <c r="E40" s="99"/>
      <c r="F40" s="99"/>
    </row>
    <row r="41" spans="1:13">
      <c r="A41" s="17" t="s">
        <v>134</v>
      </c>
      <c r="B41" s="2"/>
      <c r="C41" s="2"/>
      <c r="D41" s="99"/>
      <c r="E41" s="99"/>
      <c r="F41" s="99"/>
      <c r="I41" s="116">
        <v>10</v>
      </c>
      <c r="J41" s="116">
        <v>810</v>
      </c>
      <c r="K41" s="116">
        <f>J41/I41</f>
        <v>81</v>
      </c>
    </row>
    <row r="42" spans="1:13" ht="51" customHeight="1" thickBot="1">
      <c r="A42" s="17"/>
      <c r="B42" s="397" t="s">
        <v>135</v>
      </c>
      <c r="C42" s="397"/>
      <c r="D42" s="397"/>
      <c r="E42" s="397"/>
      <c r="F42" s="397"/>
      <c r="I42" s="1" t="s">
        <v>136</v>
      </c>
    </row>
    <row r="43" spans="1:13" ht="25.5">
      <c r="B43" s="117" t="s">
        <v>119</v>
      </c>
      <c r="C43" s="103" t="s">
        <v>25</v>
      </c>
      <c r="D43" s="118" t="s">
        <v>30</v>
      </c>
      <c r="E43" s="118" t="s">
        <v>33</v>
      </c>
      <c r="F43" s="119" t="s">
        <v>35</v>
      </c>
      <c r="I43" s="116">
        <v>20</v>
      </c>
      <c r="J43" s="116">
        <v>1100</v>
      </c>
      <c r="K43" s="116">
        <f>J43/I43</f>
        <v>55</v>
      </c>
    </row>
    <row r="44" spans="1:13">
      <c r="A44" s="2"/>
      <c r="B44" s="120" t="str">
        <f t="shared" ref="B44:E53" si="3">B30</f>
        <v>Compact Fluorescent</v>
      </c>
      <c r="C44" s="92" t="str">
        <f t="shared" si="3"/>
        <v>Decorative and Mini-Base</v>
      </c>
      <c r="D44" s="121">
        <f t="shared" si="3"/>
        <v>47.326460071899199</v>
      </c>
      <c r="E44" s="121">
        <f t="shared" si="3"/>
        <v>63.393650651669773</v>
      </c>
      <c r="F44" s="122" t="s">
        <v>137</v>
      </c>
      <c r="G44" s="123" t="s">
        <v>138</v>
      </c>
    </row>
    <row r="45" spans="1:13">
      <c r="A45" s="2"/>
      <c r="B45" s="120" t="str">
        <f t="shared" si="3"/>
        <v>Compact Fluorescent</v>
      </c>
      <c r="C45" s="92" t="str">
        <f t="shared" si="3"/>
        <v>General Purpose and Dimmable</v>
      </c>
      <c r="D45" s="121">
        <f t="shared" si="3"/>
        <v>57.676743088551326</v>
      </c>
      <c r="E45" s="121">
        <f t="shared" si="3"/>
        <v>64.593499437211094</v>
      </c>
      <c r="F45" s="124">
        <f>F31</f>
        <v>69.3525583700429</v>
      </c>
    </row>
    <row r="46" spans="1:13">
      <c r="A46" s="2"/>
      <c r="B46" s="120" t="str">
        <f t="shared" si="3"/>
        <v>Compact Fluorescent</v>
      </c>
      <c r="C46" s="92" t="str">
        <f t="shared" si="3"/>
        <v>Globe</v>
      </c>
      <c r="D46" s="121">
        <f t="shared" si="3"/>
        <v>52.357492193442624</v>
      </c>
      <c r="E46" s="121">
        <f t="shared" si="3"/>
        <v>56.288681586763076</v>
      </c>
      <c r="F46" s="122" t="s">
        <v>137</v>
      </c>
    </row>
    <row r="47" spans="1:13">
      <c r="A47" s="2"/>
      <c r="B47" s="120" t="str">
        <f t="shared" si="3"/>
        <v>Compact Fluorescent</v>
      </c>
      <c r="C47" s="92" t="str">
        <f t="shared" si="3"/>
        <v>Reflectors and Outdoor</v>
      </c>
      <c r="D47" s="121">
        <f t="shared" si="3"/>
        <v>43.652276732987744</v>
      </c>
      <c r="E47" s="121">
        <f t="shared" si="3"/>
        <v>50.291577048115769</v>
      </c>
      <c r="F47" s="124">
        <f>F33</f>
        <v>67.307692307692307</v>
      </c>
    </row>
    <row r="48" spans="1:13">
      <c r="A48" s="2"/>
      <c r="B48" s="120" t="str">
        <f t="shared" si="3"/>
        <v>Compact Fluorescent</v>
      </c>
      <c r="C48" s="92" t="str">
        <f t="shared" si="3"/>
        <v>Three-Way</v>
      </c>
      <c r="D48" s="122" t="s">
        <v>137</v>
      </c>
      <c r="E48" s="121">
        <f>E34</f>
        <v>42.211016724553993</v>
      </c>
      <c r="F48" s="124">
        <f>F34</f>
        <v>50.126780200607627</v>
      </c>
    </row>
    <row r="49" spans="1:11">
      <c r="A49" s="2"/>
      <c r="B49" s="120" t="str">
        <f t="shared" si="3"/>
        <v>LED</v>
      </c>
      <c r="C49" s="92" t="str">
        <f t="shared" si="3"/>
        <v>Decorative and Mini-Base</v>
      </c>
      <c r="D49" s="121">
        <f>D35</f>
        <v>62.516951451044228</v>
      </c>
      <c r="E49" s="122" t="s">
        <v>137</v>
      </c>
      <c r="F49" s="122" t="s">
        <v>137</v>
      </c>
      <c r="G49" s="125" t="s">
        <v>139</v>
      </c>
    </row>
    <row r="50" spans="1:11">
      <c r="A50" s="2"/>
      <c r="B50" s="120" t="str">
        <f t="shared" si="3"/>
        <v>LED</v>
      </c>
      <c r="C50" s="92" t="str">
        <f t="shared" si="3"/>
        <v>General Purpose and Dimmable</v>
      </c>
      <c r="D50" s="121">
        <f>D36</f>
        <v>62.45548098813935</v>
      </c>
      <c r="E50" s="126">
        <f>'CFL and LED Efficacy'!K8</f>
        <v>76</v>
      </c>
      <c r="F50" s="127">
        <v>85</v>
      </c>
      <c r="G50" s="128" t="s">
        <v>140</v>
      </c>
    </row>
    <row r="51" spans="1:11">
      <c r="A51" s="2"/>
      <c r="B51" s="120" t="str">
        <f t="shared" si="3"/>
        <v>LED</v>
      </c>
      <c r="C51" s="92" t="str">
        <f t="shared" si="3"/>
        <v>Globe</v>
      </c>
      <c r="D51" s="121">
        <f>D37</f>
        <v>63.597884546214964</v>
      </c>
      <c r="E51" s="126">
        <f>'CFL and LED Efficacy'!K9</f>
        <v>76</v>
      </c>
      <c r="F51" s="122" t="s">
        <v>137</v>
      </c>
    </row>
    <row r="52" spans="1:11">
      <c r="A52" s="2"/>
      <c r="B52" s="120" t="str">
        <f t="shared" si="3"/>
        <v>LED</v>
      </c>
      <c r="C52" s="92" t="str">
        <f t="shared" si="3"/>
        <v>Reflectors and Outdoor</v>
      </c>
      <c r="D52" s="121">
        <f>D38</f>
        <v>56.325863413141882</v>
      </c>
      <c r="E52" s="126">
        <f>'CFL and LED Efficacy'!K10</f>
        <v>67</v>
      </c>
      <c r="F52" s="129">
        <f>'CFL and LED Efficacy'!K10</f>
        <v>67</v>
      </c>
    </row>
    <row r="53" spans="1:11" ht="13.5" thickBot="1">
      <c r="A53" s="2"/>
      <c r="B53" s="130" t="str">
        <f t="shared" si="3"/>
        <v>LED</v>
      </c>
      <c r="C53" s="131" t="str">
        <f t="shared" si="3"/>
        <v>Three-Way</v>
      </c>
      <c r="D53" s="132" t="s">
        <v>137</v>
      </c>
      <c r="E53" s="132" t="s">
        <v>137</v>
      </c>
      <c r="F53" s="133" t="s">
        <v>137</v>
      </c>
      <c r="I53" s="134" t="s">
        <v>141</v>
      </c>
      <c r="J53" s="18"/>
      <c r="K53" s="18"/>
    </row>
    <row r="54" spans="1:11">
      <c r="A54" s="2"/>
      <c r="B54" s="2"/>
      <c r="C54" s="2"/>
      <c r="D54" s="99"/>
      <c r="E54" s="99"/>
      <c r="F54" s="99"/>
      <c r="I54" s="18" t="s">
        <v>142</v>
      </c>
      <c r="J54" s="18"/>
      <c r="K54" s="18"/>
    </row>
    <row r="55" spans="1:11" ht="13.5" thickBot="1">
      <c r="A55" s="17" t="s">
        <v>143</v>
      </c>
      <c r="B55" s="2"/>
      <c r="C55" s="2"/>
      <c r="D55" s="99"/>
      <c r="E55" s="99"/>
      <c r="F55" s="99"/>
      <c r="I55" s="116">
        <v>18</v>
      </c>
      <c r="J55" s="116">
        <v>1600</v>
      </c>
      <c r="K55" s="115">
        <f>J55/I55</f>
        <v>88.888888888888886</v>
      </c>
    </row>
    <row r="56" spans="1:11">
      <c r="A56" s="101" t="s">
        <v>119</v>
      </c>
      <c r="B56" s="102" t="s">
        <v>25</v>
      </c>
      <c r="C56" s="102" t="s">
        <v>46</v>
      </c>
      <c r="D56" s="102" t="s">
        <v>97</v>
      </c>
      <c r="E56" s="135" t="s">
        <v>144</v>
      </c>
      <c r="F56" s="136"/>
      <c r="I56" s="18" t="s">
        <v>145</v>
      </c>
      <c r="J56" s="18"/>
      <c r="K56" s="18"/>
    </row>
    <row r="57" spans="1:11">
      <c r="A57" s="120" t="s">
        <v>31</v>
      </c>
      <c r="B57" s="92" t="s">
        <v>29</v>
      </c>
      <c r="C57" s="93" t="s">
        <v>30</v>
      </c>
      <c r="D57" s="93" t="str">
        <f t="shared" ref="D57:D86" si="4">CONCATENATE(A57,B57,C57)</f>
        <v>Compact FluorescentDecorative and Mini-Base250 to 664 lumens</v>
      </c>
      <c r="E57" s="111">
        <f t="shared" ref="E57:E66" si="5">D44</f>
        <v>47.326460071899199</v>
      </c>
      <c r="F57" s="99"/>
      <c r="I57" s="116">
        <v>22</v>
      </c>
      <c r="J57" s="116">
        <v>1780</v>
      </c>
      <c r="K57" s="115">
        <f>J57/I57</f>
        <v>80.909090909090907</v>
      </c>
    </row>
    <row r="58" spans="1:11">
      <c r="A58" s="120" t="s">
        <v>31</v>
      </c>
      <c r="B58" s="92" t="s">
        <v>32</v>
      </c>
      <c r="C58" s="93" t="s">
        <v>30</v>
      </c>
      <c r="D58" s="93" t="str">
        <f t="shared" si="4"/>
        <v>Compact FluorescentGeneral Purpose and Dimmable250 to 664 lumens</v>
      </c>
      <c r="E58" s="111">
        <f t="shared" si="5"/>
        <v>57.676743088551326</v>
      </c>
      <c r="F58" s="99"/>
      <c r="I58" s="18"/>
      <c r="J58" s="137" t="s">
        <v>146</v>
      </c>
      <c r="K58" s="138">
        <f>AVERAGE(K55:K57)</f>
        <v>84.898989898989896</v>
      </c>
    </row>
    <row r="59" spans="1:11">
      <c r="A59" s="120" t="s">
        <v>31</v>
      </c>
      <c r="B59" s="92" t="s">
        <v>34</v>
      </c>
      <c r="C59" s="93" t="s">
        <v>30</v>
      </c>
      <c r="D59" s="93" t="str">
        <f t="shared" si="4"/>
        <v>Compact FluorescentGlobe250 to 664 lumens</v>
      </c>
      <c r="E59" s="111">
        <f t="shared" si="5"/>
        <v>52.357492193442624</v>
      </c>
      <c r="F59" s="99"/>
    </row>
    <row r="60" spans="1:11">
      <c r="A60" s="120" t="s">
        <v>31</v>
      </c>
      <c r="B60" s="92" t="s">
        <v>36</v>
      </c>
      <c r="C60" s="93" t="s">
        <v>30</v>
      </c>
      <c r="D60" s="93" t="str">
        <f t="shared" si="4"/>
        <v>Compact FluorescentReflectors and Outdoor250 to 664 lumens</v>
      </c>
      <c r="E60" s="111">
        <f t="shared" si="5"/>
        <v>43.652276732987744</v>
      </c>
      <c r="F60" s="99"/>
    </row>
    <row r="61" spans="1:11">
      <c r="A61" s="120" t="s">
        <v>31</v>
      </c>
      <c r="B61" s="92" t="s">
        <v>37</v>
      </c>
      <c r="C61" s="93" t="s">
        <v>30</v>
      </c>
      <c r="D61" s="93" t="str">
        <f t="shared" si="4"/>
        <v>Compact FluorescentThree-Way250 to 664 lumens</v>
      </c>
      <c r="E61" s="111" t="str">
        <f t="shared" si="5"/>
        <v>[no products]</v>
      </c>
      <c r="F61" s="99"/>
    </row>
    <row r="62" spans="1:11">
      <c r="A62" s="120" t="s">
        <v>28</v>
      </c>
      <c r="B62" s="92" t="s">
        <v>29</v>
      </c>
      <c r="C62" s="93" t="s">
        <v>30</v>
      </c>
      <c r="D62" s="93" t="str">
        <f t="shared" si="4"/>
        <v>LEDDecorative and Mini-Base250 to 664 lumens</v>
      </c>
      <c r="E62" s="111">
        <f t="shared" si="5"/>
        <v>62.516951451044228</v>
      </c>
      <c r="F62" s="99"/>
    </row>
    <row r="63" spans="1:11">
      <c r="A63" s="120" t="s">
        <v>28</v>
      </c>
      <c r="B63" s="92" t="s">
        <v>32</v>
      </c>
      <c r="C63" s="93" t="s">
        <v>30</v>
      </c>
      <c r="D63" s="93" t="str">
        <f t="shared" si="4"/>
        <v>LEDGeneral Purpose and Dimmable250 to 664 lumens</v>
      </c>
      <c r="E63" s="111">
        <f t="shared" si="5"/>
        <v>62.45548098813935</v>
      </c>
      <c r="F63" s="99"/>
    </row>
    <row r="64" spans="1:11">
      <c r="A64" s="120" t="s">
        <v>28</v>
      </c>
      <c r="B64" s="92" t="s">
        <v>34</v>
      </c>
      <c r="C64" s="93" t="s">
        <v>30</v>
      </c>
      <c r="D64" s="93" t="str">
        <f t="shared" si="4"/>
        <v>LEDGlobe250 to 664 lumens</v>
      </c>
      <c r="E64" s="111">
        <f t="shared" si="5"/>
        <v>63.597884546214964</v>
      </c>
      <c r="F64" s="99"/>
    </row>
    <row r="65" spans="1:6">
      <c r="A65" s="120" t="s">
        <v>28</v>
      </c>
      <c r="B65" s="92" t="s">
        <v>36</v>
      </c>
      <c r="C65" s="93" t="s">
        <v>30</v>
      </c>
      <c r="D65" s="93" t="str">
        <f t="shared" si="4"/>
        <v>LEDReflectors and Outdoor250 to 664 lumens</v>
      </c>
      <c r="E65" s="111">
        <f t="shared" si="5"/>
        <v>56.325863413141882</v>
      </c>
      <c r="F65" s="99"/>
    </row>
    <row r="66" spans="1:6">
      <c r="A66" s="120" t="s">
        <v>28</v>
      </c>
      <c r="B66" s="92" t="s">
        <v>37</v>
      </c>
      <c r="C66" s="93" t="s">
        <v>30</v>
      </c>
      <c r="D66" s="93" t="str">
        <f t="shared" si="4"/>
        <v>LEDThree-Way250 to 664 lumens</v>
      </c>
      <c r="E66" s="111" t="str">
        <f t="shared" si="5"/>
        <v>[no products]</v>
      </c>
      <c r="F66" s="99"/>
    </row>
    <row r="67" spans="1:6">
      <c r="A67" s="120" t="s">
        <v>31</v>
      </c>
      <c r="B67" s="92" t="s">
        <v>29</v>
      </c>
      <c r="C67" s="95" t="s">
        <v>33</v>
      </c>
      <c r="D67" s="95" t="str">
        <f t="shared" si="4"/>
        <v>Compact FluorescentDecorative and Mini-Base665 to 1439 lumens</v>
      </c>
      <c r="E67" s="111">
        <f>E44</f>
        <v>63.393650651669773</v>
      </c>
      <c r="F67" s="99"/>
    </row>
    <row r="68" spans="1:6">
      <c r="A68" s="120" t="s">
        <v>31</v>
      </c>
      <c r="B68" s="92" t="s">
        <v>32</v>
      </c>
      <c r="C68" s="95" t="s">
        <v>33</v>
      </c>
      <c r="D68" s="95" t="str">
        <f t="shared" si="4"/>
        <v>Compact FluorescentGeneral Purpose and Dimmable665 to 1439 lumens</v>
      </c>
      <c r="E68" s="111">
        <f>E45</f>
        <v>64.593499437211094</v>
      </c>
      <c r="F68" s="99"/>
    </row>
    <row r="69" spans="1:6">
      <c r="A69" s="120" t="s">
        <v>31</v>
      </c>
      <c r="B69" s="92" t="s">
        <v>34</v>
      </c>
      <c r="C69" s="95" t="s">
        <v>33</v>
      </c>
      <c r="D69" s="95" t="str">
        <f t="shared" si="4"/>
        <v>Compact FluorescentGlobe665 to 1439 lumens</v>
      </c>
      <c r="E69" s="111">
        <f t="shared" ref="E69:E76" si="6">E46</f>
        <v>56.288681586763076</v>
      </c>
      <c r="F69" s="99"/>
    </row>
    <row r="70" spans="1:6">
      <c r="A70" s="120" t="s">
        <v>31</v>
      </c>
      <c r="B70" s="92" t="s">
        <v>36</v>
      </c>
      <c r="C70" s="95" t="s">
        <v>33</v>
      </c>
      <c r="D70" s="95" t="str">
        <f t="shared" si="4"/>
        <v>Compact FluorescentReflectors and Outdoor665 to 1439 lumens</v>
      </c>
      <c r="E70" s="111">
        <f t="shared" si="6"/>
        <v>50.291577048115769</v>
      </c>
      <c r="F70" s="99"/>
    </row>
    <row r="71" spans="1:6">
      <c r="A71" s="120" t="s">
        <v>31</v>
      </c>
      <c r="B71" s="92" t="s">
        <v>37</v>
      </c>
      <c r="C71" s="95" t="s">
        <v>33</v>
      </c>
      <c r="D71" s="95" t="str">
        <f t="shared" si="4"/>
        <v>Compact FluorescentThree-Way665 to 1439 lumens</v>
      </c>
      <c r="E71" s="111">
        <f t="shared" si="6"/>
        <v>42.211016724553993</v>
      </c>
      <c r="F71" s="99"/>
    </row>
    <row r="72" spans="1:6">
      <c r="A72" s="120" t="s">
        <v>28</v>
      </c>
      <c r="B72" s="92" t="s">
        <v>29</v>
      </c>
      <c r="C72" s="95" t="s">
        <v>33</v>
      </c>
      <c r="D72" s="95" t="str">
        <f t="shared" si="4"/>
        <v>LEDDecorative and Mini-Base665 to 1439 lumens</v>
      </c>
      <c r="E72" s="111" t="str">
        <f t="shared" si="6"/>
        <v>[no products]</v>
      </c>
      <c r="F72" s="99"/>
    </row>
    <row r="73" spans="1:6">
      <c r="A73" s="120" t="s">
        <v>28</v>
      </c>
      <c r="B73" s="92" t="s">
        <v>32</v>
      </c>
      <c r="C73" s="95" t="s">
        <v>33</v>
      </c>
      <c r="D73" s="95" t="str">
        <f t="shared" si="4"/>
        <v>LEDGeneral Purpose and Dimmable665 to 1439 lumens</v>
      </c>
      <c r="E73" s="111">
        <f t="shared" si="6"/>
        <v>76</v>
      </c>
      <c r="F73" s="99"/>
    </row>
    <row r="74" spans="1:6">
      <c r="A74" s="120" t="s">
        <v>28</v>
      </c>
      <c r="B74" s="92" t="s">
        <v>34</v>
      </c>
      <c r="C74" s="95" t="s">
        <v>33</v>
      </c>
      <c r="D74" s="95" t="str">
        <f t="shared" si="4"/>
        <v>LEDGlobe665 to 1439 lumens</v>
      </c>
      <c r="E74" s="111">
        <f t="shared" si="6"/>
        <v>76</v>
      </c>
      <c r="F74" s="99"/>
    </row>
    <row r="75" spans="1:6">
      <c r="A75" s="120" t="s">
        <v>28</v>
      </c>
      <c r="B75" s="92" t="s">
        <v>36</v>
      </c>
      <c r="C75" s="95" t="s">
        <v>33</v>
      </c>
      <c r="D75" s="95" t="str">
        <f t="shared" si="4"/>
        <v>LEDReflectors and Outdoor665 to 1439 lumens</v>
      </c>
      <c r="E75" s="111">
        <f t="shared" si="6"/>
        <v>67</v>
      </c>
      <c r="F75" s="99"/>
    </row>
    <row r="76" spans="1:6">
      <c r="A76" s="120" t="s">
        <v>28</v>
      </c>
      <c r="B76" s="92" t="s">
        <v>37</v>
      </c>
      <c r="C76" s="95" t="s">
        <v>33</v>
      </c>
      <c r="D76" s="95" t="str">
        <f t="shared" si="4"/>
        <v>LEDThree-Way665 to 1439 lumens</v>
      </c>
      <c r="E76" s="111" t="str">
        <f t="shared" si="6"/>
        <v>[no products]</v>
      </c>
      <c r="F76" s="99"/>
    </row>
    <row r="77" spans="1:6">
      <c r="A77" s="120" t="s">
        <v>31</v>
      </c>
      <c r="B77" s="92" t="s">
        <v>29</v>
      </c>
      <c r="C77" s="95" t="s">
        <v>35</v>
      </c>
      <c r="D77" s="95" t="str">
        <f t="shared" si="4"/>
        <v>Compact FluorescentDecorative and Mini-Base1440 to 2600 lumens</v>
      </c>
      <c r="E77" s="111" t="str">
        <f>F44</f>
        <v>[no products]</v>
      </c>
      <c r="F77" s="99"/>
    </row>
    <row r="78" spans="1:6">
      <c r="A78" s="120" t="s">
        <v>31</v>
      </c>
      <c r="B78" s="92" t="s">
        <v>32</v>
      </c>
      <c r="C78" s="95" t="s">
        <v>35</v>
      </c>
      <c r="D78" s="95" t="str">
        <f t="shared" si="4"/>
        <v>Compact FluorescentGeneral Purpose and Dimmable1440 to 2600 lumens</v>
      </c>
      <c r="E78" s="111">
        <f t="shared" ref="E78:E86" si="7">F45</f>
        <v>69.3525583700429</v>
      </c>
      <c r="F78" s="99"/>
    </row>
    <row r="79" spans="1:6">
      <c r="A79" s="120" t="s">
        <v>31</v>
      </c>
      <c r="B79" s="92" t="s">
        <v>34</v>
      </c>
      <c r="C79" s="95" t="s">
        <v>35</v>
      </c>
      <c r="D79" s="95" t="str">
        <f t="shared" si="4"/>
        <v>Compact FluorescentGlobe1440 to 2600 lumens</v>
      </c>
      <c r="E79" s="111" t="str">
        <f t="shared" si="7"/>
        <v>[no products]</v>
      </c>
      <c r="F79" s="99"/>
    </row>
    <row r="80" spans="1:6">
      <c r="A80" s="120" t="s">
        <v>31</v>
      </c>
      <c r="B80" s="92" t="s">
        <v>36</v>
      </c>
      <c r="C80" s="95" t="s">
        <v>35</v>
      </c>
      <c r="D80" s="95" t="str">
        <f t="shared" si="4"/>
        <v>Compact FluorescentReflectors and Outdoor1440 to 2600 lumens</v>
      </c>
      <c r="E80" s="111">
        <f t="shared" si="7"/>
        <v>67.307692307692307</v>
      </c>
      <c r="F80" s="99"/>
    </row>
    <row r="81" spans="1:6">
      <c r="A81" s="120" t="s">
        <v>31</v>
      </c>
      <c r="B81" s="92" t="s">
        <v>37</v>
      </c>
      <c r="C81" s="95" t="s">
        <v>35</v>
      </c>
      <c r="D81" s="95" t="str">
        <f t="shared" si="4"/>
        <v>Compact FluorescentThree-Way1440 to 2600 lumens</v>
      </c>
      <c r="E81" s="111">
        <f t="shared" si="7"/>
        <v>50.126780200607627</v>
      </c>
      <c r="F81" s="99"/>
    </row>
    <row r="82" spans="1:6">
      <c r="A82" s="120" t="s">
        <v>28</v>
      </c>
      <c r="B82" s="92" t="s">
        <v>29</v>
      </c>
      <c r="C82" s="95" t="s">
        <v>35</v>
      </c>
      <c r="D82" s="95" t="str">
        <f t="shared" si="4"/>
        <v>LEDDecorative and Mini-Base1440 to 2600 lumens</v>
      </c>
      <c r="E82" s="111" t="str">
        <f t="shared" si="7"/>
        <v>[no products]</v>
      </c>
      <c r="F82" s="99"/>
    </row>
    <row r="83" spans="1:6">
      <c r="A83" s="120" t="s">
        <v>28</v>
      </c>
      <c r="B83" s="92" t="s">
        <v>32</v>
      </c>
      <c r="C83" s="95" t="s">
        <v>35</v>
      </c>
      <c r="D83" s="95" t="str">
        <f t="shared" si="4"/>
        <v>LEDGeneral Purpose and Dimmable1440 to 2600 lumens</v>
      </c>
      <c r="E83" s="111">
        <f t="shared" si="7"/>
        <v>85</v>
      </c>
      <c r="F83" s="99"/>
    </row>
    <row r="84" spans="1:6">
      <c r="A84" s="120" t="s">
        <v>28</v>
      </c>
      <c r="B84" s="92" t="s">
        <v>34</v>
      </c>
      <c r="C84" s="95" t="s">
        <v>35</v>
      </c>
      <c r="D84" s="95" t="str">
        <f t="shared" si="4"/>
        <v>LEDGlobe1440 to 2600 lumens</v>
      </c>
      <c r="E84" s="111" t="str">
        <f t="shared" si="7"/>
        <v>[no products]</v>
      </c>
      <c r="F84" s="99"/>
    </row>
    <row r="85" spans="1:6">
      <c r="A85" s="120" t="s">
        <v>28</v>
      </c>
      <c r="B85" s="92" t="s">
        <v>36</v>
      </c>
      <c r="C85" s="95" t="s">
        <v>35</v>
      </c>
      <c r="D85" s="95" t="str">
        <f t="shared" si="4"/>
        <v>LEDReflectors and Outdoor1440 to 2600 lumens</v>
      </c>
      <c r="E85" s="111">
        <f t="shared" si="7"/>
        <v>67</v>
      </c>
      <c r="F85" s="99"/>
    </row>
    <row r="86" spans="1:6" ht="13.5" thickBot="1">
      <c r="A86" s="130" t="s">
        <v>28</v>
      </c>
      <c r="B86" s="131" t="s">
        <v>37</v>
      </c>
      <c r="C86" s="112" t="s">
        <v>35</v>
      </c>
      <c r="D86" s="112" t="str">
        <f t="shared" si="4"/>
        <v>LEDThree-Way1440 to 2600 lumens</v>
      </c>
      <c r="E86" s="113" t="str">
        <f t="shared" si="7"/>
        <v>[no products]</v>
      </c>
      <c r="F86" s="99"/>
    </row>
  </sheetData>
  <mergeCells count="2">
    <mergeCell ref="I1:O1"/>
    <mergeCell ref="B42:F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21"/>
  <dimension ref="A1:S102"/>
  <sheetViews>
    <sheetView topLeftCell="A67" workbookViewId="0">
      <selection activeCell="H75" sqref="H75"/>
    </sheetView>
  </sheetViews>
  <sheetFormatPr defaultRowHeight="12.75"/>
  <cols>
    <col min="1" max="3" width="17.28515625" style="1" customWidth="1"/>
    <col min="4" max="4" width="64.140625" style="1" bestFit="1" customWidth="1"/>
    <col min="5" max="16384" width="9.140625" style="1"/>
  </cols>
  <sheetData>
    <row r="1" spans="1:15" ht="13.5" thickBot="1">
      <c r="A1" s="2" t="s">
        <v>147</v>
      </c>
      <c r="B1" s="2"/>
      <c r="C1" s="2"/>
    </row>
    <row r="2" spans="1:15" ht="38.25">
      <c r="A2" s="2"/>
      <c r="B2" s="117" t="s">
        <v>119</v>
      </c>
      <c r="C2" s="103" t="s">
        <v>25</v>
      </c>
      <c r="D2" s="103" t="s">
        <v>30</v>
      </c>
      <c r="E2" s="103" t="s">
        <v>33</v>
      </c>
      <c r="F2" s="104" t="s">
        <v>35</v>
      </c>
    </row>
    <row r="3" spans="1:15">
      <c r="A3" s="2"/>
      <c r="B3" s="105" t="s">
        <v>31</v>
      </c>
      <c r="C3" s="93" t="s">
        <v>29</v>
      </c>
      <c r="D3" s="88">
        <v>3.458278035762985</v>
      </c>
      <c r="E3" s="88">
        <v>2.4211814117993882</v>
      </c>
      <c r="F3" s="139" t="e">
        <v>#DIV/0!</v>
      </c>
    </row>
    <row r="4" spans="1:15">
      <c r="A4" s="2"/>
      <c r="B4" s="105" t="s">
        <v>31</v>
      </c>
      <c r="C4" s="93" t="s">
        <v>32</v>
      </c>
      <c r="D4" s="88">
        <v>2.1898859912922237</v>
      </c>
      <c r="E4" s="88">
        <v>1.4728992237857326</v>
      </c>
      <c r="F4" s="139">
        <v>1.9179627808849677</v>
      </c>
    </row>
    <row r="5" spans="1:15">
      <c r="A5" s="2"/>
      <c r="B5" s="105" t="s">
        <v>31</v>
      </c>
      <c r="C5" s="93" t="s">
        <v>34</v>
      </c>
      <c r="D5" s="88">
        <v>1.7146760251034388</v>
      </c>
      <c r="E5" s="88">
        <v>5.0829624289431434</v>
      </c>
      <c r="F5" s="139" t="e">
        <v>#DIV/0!</v>
      </c>
    </row>
    <row r="6" spans="1:15">
      <c r="A6" s="2"/>
      <c r="B6" s="105" t="s">
        <v>31</v>
      </c>
      <c r="C6" s="93" t="s">
        <v>36</v>
      </c>
      <c r="D6" s="88">
        <v>4.6692910687159506</v>
      </c>
      <c r="E6" s="88">
        <v>3.1556293233529593</v>
      </c>
      <c r="F6" s="139">
        <v>9.99</v>
      </c>
    </row>
    <row r="7" spans="1:15">
      <c r="A7" s="2"/>
      <c r="B7" s="105" t="s">
        <v>31</v>
      </c>
      <c r="C7" s="93" t="s">
        <v>37</v>
      </c>
      <c r="D7" s="88" t="e">
        <v>#DIV/0!</v>
      </c>
      <c r="E7" s="88">
        <v>10.778237678685738</v>
      </c>
      <c r="F7" s="139">
        <v>12.551757188498522</v>
      </c>
    </row>
    <row r="8" spans="1:15">
      <c r="A8" s="2"/>
      <c r="B8" s="105" t="s">
        <v>28</v>
      </c>
      <c r="C8" s="93" t="s">
        <v>29</v>
      </c>
      <c r="D8" s="88" t="e">
        <v>#DIV/0!</v>
      </c>
      <c r="E8" s="88" t="e">
        <v>#DIV/0!</v>
      </c>
      <c r="F8" s="139" t="e">
        <v>#DIV/0!</v>
      </c>
    </row>
    <row r="9" spans="1:15">
      <c r="A9" s="2"/>
      <c r="B9" s="105" t="s">
        <v>28</v>
      </c>
      <c r="C9" s="93" t="s">
        <v>32</v>
      </c>
      <c r="D9" s="88">
        <v>6.7335047253672657</v>
      </c>
      <c r="E9" s="88">
        <v>12.053647595621213</v>
      </c>
      <c r="F9" s="139" t="e">
        <v>#DIV/0!</v>
      </c>
    </row>
    <row r="10" spans="1:15">
      <c r="A10" s="2"/>
      <c r="B10" s="105" t="s">
        <v>28</v>
      </c>
      <c r="C10" s="93" t="s">
        <v>34</v>
      </c>
      <c r="D10" s="88">
        <v>6.6824863261449128</v>
      </c>
      <c r="E10" s="88" t="e">
        <v>#DIV/0!</v>
      </c>
      <c r="F10" s="139" t="e">
        <v>#DIV/0!</v>
      </c>
    </row>
    <row r="11" spans="1:15">
      <c r="A11" s="2"/>
      <c r="B11" s="105" t="s">
        <v>28</v>
      </c>
      <c r="C11" s="93" t="s">
        <v>36</v>
      </c>
      <c r="D11" s="88">
        <v>21.496385088241176</v>
      </c>
      <c r="E11" s="88">
        <v>18.190142600291061</v>
      </c>
      <c r="F11" s="139" t="e">
        <v>#DIV/0!</v>
      </c>
    </row>
    <row r="12" spans="1:15" ht="13.5" thickBot="1">
      <c r="A12" s="2"/>
      <c r="B12" s="107" t="s">
        <v>28</v>
      </c>
      <c r="C12" s="108" t="s">
        <v>37</v>
      </c>
      <c r="D12" s="140" t="e">
        <v>#DIV/0!</v>
      </c>
      <c r="E12" s="140" t="e">
        <v>#DIV/0!</v>
      </c>
      <c r="F12" s="141" t="e">
        <v>#DIV/0!</v>
      </c>
    </row>
    <row r="14" spans="1:15">
      <c r="O14" s="2" t="s">
        <v>93</v>
      </c>
    </row>
    <row r="15" spans="1:15">
      <c r="A15" s="2" t="s">
        <v>148</v>
      </c>
    </row>
    <row r="16" spans="1:15" ht="13.5" thickBot="1"/>
    <row r="17" spans="1:12" ht="38.25">
      <c r="B17" s="117" t="s">
        <v>119</v>
      </c>
      <c r="C17" s="103" t="s">
        <v>25</v>
      </c>
      <c r="D17" s="103" t="s">
        <v>30</v>
      </c>
      <c r="E17" s="103" t="s">
        <v>33</v>
      </c>
      <c r="F17" s="104" t="s">
        <v>35</v>
      </c>
    </row>
    <row r="18" spans="1:12">
      <c r="B18" s="105" t="s">
        <v>31</v>
      </c>
      <c r="C18" s="93" t="s">
        <v>29</v>
      </c>
      <c r="D18" s="88">
        <v>3.458278035762985</v>
      </c>
      <c r="E18" s="88">
        <v>2.4211814117993882</v>
      </c>
      <c r="F18" s="142">
        <f>MAX(D18:E18)</f>
        <v>3.458278035762985</v>
      </c>
      <c r="G18" s="123" t="s">
        <v>149</v>
      </c>
    </row>
    <row r="19" spans="1:12">
      <c r="B19" s="105" t="s">
        <v>31</v>
      </c>
      <c r="C19" s="93" t="s">
        <v>32</v>
      </c>
      <c r="D19" s="88">
        <v>2.1898859912922237</v>
      </c>
      <c r="E19" s="88">
        <v>1.4728992237857326</v>
      </c>
      <c r="F19" s="139">
        <v>1.9179627808849677</v>
      </c>
    </row>
    <row r="20" spans="1:12">
      <c r="B20" s="105" t="s">
        <v>31</v>
      </c>
      <c r="C20" s="93" t="s">
        <v>34</v>
      </c>
      <c r="D20" s="143">
        <v>1.7146760251034388</v>
      </c>
      <c r="E20" s="88">
        <v>5.0829624289431434</v>
      </c>
      <c r="F20" s="142">
        <f>MAX(D20:E20)</f>
        <v>5.0829624289431434</v>
      </c>
      <c r="G20" s="123" t="s">
        <v>150</v>
      </c>
    </row>
    <row r="21" spans="1:12">
      <c r="B21" s="105" t="s">
        <v>31</v>
      </c>
      <c r="C21" s="93" t="s">
        <v>36</v>
      </c>
      <c r="D21" s="88">
        <v>4.6692910687159506</v>
      </c>
      <c r="E21" s="88">
        <v>3.1556293233529593</v>
      </c>
      <c r="F21" s="139">
        <v>9.99</v>
      </c>
    </row>
    <row r="22" spans="1:12">
      <c r="B22" s="105" t="s">
        <v>31</v>
      </c>
      <c r="C22" s="93" t="s">
        <v>37</v>
      </c>
      <c r="D22" s="144">
        <f>MAX(E22:F22)</f>
        <v>12.551757188498522</v>
      </c>
      <c r="E22" s="88">
        <v>10.778237678685738</v>
      </c>
      <c r="F22" s="139">
        <v>12.551757188498522</v>
      </c>
    </row>
    <row r="23" spans="1:12">
      <c r="B23" s="105" t="s">
        <v>28</v>
      </c>
      <c r="C23" s="93" t="s">
        <v>29</v>
      </c>
      <c r="D23" s="145">
        <f>D24*2</f>
        <v>10.100257088050899</v>
      </c>
      <c r="E23" s="145">
        <f>E24*2</f>
        <v>18.080471393431818</v>
      </c>
      <c r="F23" s="146">
        <f>F24*2</f>
        <v>44</v>
      </c>
      <c r="G23" s="147" t="s">
        <v>151</v>
      </c>
    </row>
    <row r="24" spans="1:12">
      <c r="B24" s="105" t="s">
        <v>28</v>
      </c>
      <c r="C24" s="93" t="s">
        <v>32</v>
      </c>
      <c r="D24" s="148">
        <f>D9*0.75</f>
        <v>5.0501285440254495</v>
      </c>
      <c r="E24" s="148">
        <f>E9*0.75</f>
        <v>9.040235696715909</v>
      </c>
      <c r="F24" s="149">
        <v>22</v>
      </c>
      <c r="G24" s="125" t="s">
        <v>152</v>
      </c>
    </row>
    <row r="25" spans="1:12">
      <c r="B25" s="105" t="s">
        <v>28</v>
      </c>
      <c r="C25" s="93" t="s">
        <v>34</v>
      </c>
      <c r="D25" s="88">
        <v>6.6824863261449128</v>
      </c>
      <c r="E25" s="148">
        <f>E24</f>
        <v>9.040235696715909</v>
      </c>
      <c r="F25" s="149">
        <v>22</v>
      </c>
      <c r="G25" s="128" t="s">
        <v>153</v>
      </c>
    </row>
    <row r="26" spans="1:12">
      <c r="B26" s="105" t="s">
        <v>28</v>
      </c>
      <c r="C26" s="93" t="s">
        <v>36</v>
      </c>
      <c r="D26" s="88">
        <v>21.496385088241176</v>
      </c>
      <c r="E26" s="88">
        <v>18.190142600291061</v>
      </c>
      <c r="F26" s="150">
        <f>F24*1.5</f>
        <v>33</v>
      </c>
      <c r="G26" s="151" t="s">
        <v>154</v>
      </c>
    </row>
    <row r="27" spans="1:12" ht="13.5" thickBot="1">
      <c r="B27" s="107" t="s">
        <v>28</v>
      </c>
      <c r="C27" s="108" t="s">
        <v>37</v>
      </c>
      <c r="D27" s="152">
        <f>D26</f>
        <v>21.496385088241176</v>
      </c>
      <c r="E27" s="152">
        <f>E26</f>
        <v>18.190142600291061</v>
      </c>
      <c r="F27" s="153">
        <f>F26</f>
        <v>33</v>
      </c>
      <c r="G27" s="154" t="s">
        <v>155</v>
      </c>
    </row>
    <row r="29" spans="1:12">
      <c r="A29" s="2" t="s">
        <v>335</v>
      </c>
      <c r="H29" s="18"/>
      <c r="I29" s="18"/>
      <c r="J29" s="18"/>
      <c r="K29" s="18"/>
      <c r="L29" s="18"/>
    </row>
    <row r="30" spans="1:12" ht="13.5" thickBot="1">
      <c r="H30" s="18"/>
      <c r="I30" s="18"/>
      <c r="J30" s="18"/>
      <c r="K30" s="18"/>
      <c r="L30" s="18"/>
    </row>
    <row r="31" spans="1:12" ht="38.25">
      <c r="B31" s="117" t="s">
        <v>119</v>
      </c>
      <c r="C31" s="103" t="s">
        <v>25</v>
      </c>
      <c r="D31" s="103" t="s">
        <v>30</v>
      </c>
      <c r="E31" s="103" t="s">
        <v>33</v>
      </c>
      <c r="F31" s="104" t="s">
        <v>35</v>
      </c>
      <c r="H31" s="18"/>
      <c r="I31" s="155" t="s">
        <v>334</v>
      </c>
      <c r="J31" s="18"/>
      <c r="K31" s="18"/>
      <c r="L31" s="18"/>
    </row>
    <row r="32" spans="1:12">
      <c r="B32" s="105" t="s">
        <v>31</v>
      </c>
      <c r="C32" s="93" t="s">
        <v>29</v>
      </c>
      <c r="D32" s="88">
        <f t="shared" ref="D32:F41" si="0">D18*$J$32</f>
        <v>3.4098621432623033</v>
      </c>
      <c r="E32" s="88">
        <f t="shared" si="0"/>
        <v>2.3872848720341966</v>
      </c>
      <c r="F32" s="139">
        <f t="shared" si="0"/>
        <v>3.4098621432623033</v>
      </c>
      <c r="H32" s="18"/>
      <c r="I32" s="156" t="s">
        <v>156</v>
      </c>
      <c r="J32" s="157">
        <v>0.98599999999999999</v>
      </c>
      <c r="K32" s="156" t="s">
        <v>157</v>
      </c>
      <c r="L32" s="18"/>
    </row>
    <row r="33" spans="1:19">
      <c r="B33" s="105" t="s">
        <v>31</v>
      </c>
      <c r="C33" s="93" t="s">
        <v>32</v>
      </c>
      <c r="D33" s="88">
        <f t="shared" si="0"/>
        <v>2.1592275874141325</v>
      </c>
      <c r="E33" s="88">
        <f t="shared" si="0"/>
        <v>1.4522786346527323</v>
      </c>
      <c r="F33" s="139">
        <f t="shared" si="0"/>
        <v>1.8911113019525783</v>
      </c>
      <c r="H33" s="18"/>
      <c r="I33" s="158"/>
      <c r="J33" s="18"/>
      <c r="K33" s="156"/>
      <c r="L33" s="18"/>
    </row>
    <row r="34" spans="1:19">
      <c r="B34" s="105" t="s">
        <v>31</v>
      </c>
      <c r="C34" s="93" t="s">
        <v>34</v>
      </c>
      <c r="D34" s="88">
        <f t="shared" si="0"/>
        <v>1.6906705607519905</v>
      </c>
      <c r="E34" s="88">
        <f t="shared" si="0"/>
        <v>5.0118009549379394</v>
      </c>
      <c r="F34" s="139">
        <f t="shared" si="0"/>
        <v>5.0118009549379394</v>
      </c>
      <c r="H34" s="18"/>
      <c r="I34" s="18"/>
      <c r="J34" s="18"/>
      <c r="K34" s="18"/>
      <c r="L34" s="18"/>
    </row>
    <row r="35" spans="1:19" ht="15">
      <c r="B35" s="105" t="s">
        <v>31</v>
      </c>
      <c r="C35" s="93" t="s">
        <v>36</v>
      </c>
      <c r="D35" s="88">
        <f t="shared" si="0"/>
        <v>4.6039209937539276</v>
      </c>
      <c r="E35" s="88">
        <f t="shared" si="0"/>
        <v>3.1114505128260177</v>
      </c>
      <c r="F35" s="139">
        <f t="shared" si="0"/>
        <v>9.8501399999999997</v>
      </c>
      <c r="H35" s="18"/>
      <c r="I35" s="18"/>
      <c r="J35" s="18"/>
      <c r="K35" s="159"/>
      <c r="L35" s="18"/>
    </row>
    <row r="36" spans="1:19">
      <c r="B36" s="105" t="s">
        <v>31</v>
      </c>
      <c r="C36" s="93" t="s">
        <v>37</v>
      </c>
      <c r="D36" s="88">
        <f t="shared" si="0"/>
        <v>12.376032587859543</v>
      </c>
      <c r="E36" s="88">
        <f t="shared" si="0"/>
        <v>10.627342351184137</v>
      </c>
      <c r="F36" s="139">
        <f t="shared" si="0"/>
        <v>12.376032587859543</v>
      </c>
      <c r="J36" s="160"/>
      <c r="K36" s="161"/>
    </row>
    <row r="37" spans="1:19">
      <c r="B37" s="105" t="s">
        <v>28</v>
      </c>
      <c r="C37" s="93" t="s">
        <v>29</v>
      </c>
      <c r="D37" s="88">
        <f t="shared" si="0"/>
        <v>9.9588534888181872</v>
      </c>
      <c r="E37" s="88">
        <f t="shared" si="0"/>
        <v>17.827344793923771</v>
      </c>
      <c r="F37" s="139">
        <f t="shared" si="0"/>
        <v>43.384</v>
      </c>
    </row>
    <row r="38" spans="1:19">
      <c r="B38" s="105" t="s">
        <v>28</v>
      </c>
      <c r="C38" s="93" t="s">
        <v>32</v>
      </c>
      <c r="D38" s="88">
        <f t="shared" si="0"/>
        <v>4.9794267444090936</v>
      </c>
      <c r="E38" s="88">
        <f t="shared" si="0"/>
        <v>8.9136723969618856</v>
      </c>
      <c r="F38" s="139">
        <f t="shared" si="0"/>
        <v>21.692</v>
      </c>
    </row>
    <row r="39" spans="1:19">
      <c r="B39" s="105" t="s">
        <v>28</v>
      </c>
      <c r="C39" s="93" t="s">
        <v>34</v>
      </c>
      <c r="D39" s="88">
        <f t="shared" si="0"/>
        <v>6.5889315175788843</v>
      </c>
      <c r="E39" s="88">
        <f t="shared" si="0"/>
        <v>8.9136723969618856</v>
      </c>
      <c r="F39" s="139">
        <f t="shared" si="0"/>
        <v>21.692</v>
      </c>
    </row>
    <row r="40" spans="1:19">
      <c r="B40" s="105" t="s">
        <v>28</v>
      </c>
      <c r="C40" s="93" t="s">
        <v>36</v>
      </c>
      <c r="D40" s="88">
        <f t="shared" si="0"/>
        <v>21.195435697005799</v>
      </c>
      <c r="E40" s="88">
        <f t="shared" si="0"/>
        <v>17.935480603886987</v>
      </c>
      <c r="F40" s="139">
        <f t="shared" si="0"/>
        <v>32.537999999999997</v>
      </c>
    </row>
    <row r="41" spans="1:19" ht="13.5" thickBot="1">
      <c r="B41" s="107" t="s">
        <v>28</v>
      </c>
      <c r="C41" s="108" t="s">
        <v>37</v>
      </c>
      <c r="D41" s="140">
        <f t="shared" si="0"/>
        <v>21.195435697005799</v>
      </c>
      <c r="E41" s="140">
        <f t="shared" si="0"/>
        <v>17.935480603886987</v>
      </c>
      <c r="F41" s="141">
        <f t="shared" si="0"/>
        <v>32.537999999999997</v>
      </c>
    </row>
    <row r="42" spans="1:19">
      <c r="B42" s="21"/>
      <c r="C42" s="21"/>
      <c r="D42" s="162"/>
      <c r="E42" s="162"/>
      <c r="F42" s="162"/>
    </row>
    <row r="43" spans="1:19">
      <c r="A43" s="17" t="s">
        <v>158</v>
      </c>
      <c r="B43" s="21"/>
      <c r="C43" s="21"/>
      <c r="D43" s="162"/>
      <c r="E43" s="162"/>
      <c r="F43" s="162"/>
    </row>
    <row r="44" spans="1:19">
      <c r="B44" s="21"/>
      <c r="C44" s="21"/>
      <c r="D44" s="162"/>
      <c r="E44" s="162"/>
      <c r="F44" s="162"/>
    </row>
    <row r="45" spans="1:19">
      <c r="A45" s="2" t="s">
        <v>159</v>
      </c>
    </row>
    <row r="48" spans="1:19" ht="12.75" customHeight="1">
      <c r="A48" s="41"/>
      <c r="B48" s="41"/>
      <c r="C48" s="41"/>
      <c r="D48" s="41"/>
      <c r="E48" s="41"/>
      <c r="F48" s="41"/>
      <c r="G48" s="41"/>
      <c r="H48" s="41"/>
      <c r="I48" s="41"/>
      <c r="J48" s="41"/>
      <c r="K48" s="398" t="s">
        <v>92</v>
      </c>
      <c r="L48" s="398"/>
      <c r="M48" s="41"/>
      <c r="N48" s="398" t="s">
        <v>160</v>
      </c>
      <c r="O48" s="398"/>
      <c r="P48" s="398"/>
      <c r="Q48" s="41"/>
      <c r="R48" s="398" t="s">
        <v>161</v>
      </c>
      <c r="S48" s="398"/>
    </row>
    <row r="49" spans="1:19" ht="51">
      <c r="A49" s="40" t="s">
        <v>162</v>
      </c>
      <c r="B49" s="40" t="s">
        <v>54</v>
      </c>
      <c r="C49" s="40" t="s">
        <v>163</v>
      </c>
      <c r="D49" s="40" t="s">
        <v>53</v>
      </c>
      <c r="E49" s="40" t="s">
        <v>164</v>
      </c>
      <c r="F49" s="40" t="s">
        <v>165</v>
      </c>
      <c r="G49" s="40" t="s">
        <v>166</v>
      </c>
      <c r="H49" s="40" t="s">
        <v>167</v>
      </c>
      <c r="I49" s="40" t="s">
        <v>168</v>
      </c>
      <c r="J49" s="41"/>
      <c r="K49" s="163" t="s">
        <v>169</v>
      </c>
      <c r="L49" s="163" t="s">
        <v>170</v>
      </c>
      <c r="M49" s="41"/>
      <c r="N49" s="163" t="s">
        <v>171</v>
      </c>
      <c r="O49" s="163" t="s">
        <v>172</v>
      </c>
      <c r="P49" s="163" t="s">
        <v>173</v>
      </c>
      <c r="Q49" s="41"/>
      <c r="R49" s="41" t="s">
        <v>174</v>
      </c>
      <c r="S49" s="41" t="s">
        <v>173</v>
      </c>
    </row>
    <row r="50" spans="1:19">
      <c r="A50" s="2" t="s">
        <v>175</v>
      </c>
      <c r="B50" s="14" t="s">
        <v>176</v>
      </c>
      <c r="C50" s="14">
        <v>13.5</v>
      </c>
      <c r="D50" s="1">
        <v>900</v>
      </c>
      <c r="E50" s="47">
        <v>1.19</v>
      </c>
      <c r="F50" s="47">
        <v>1.39</v>
      </c>
      <c r="G50" s="47">
        <v>1.29</v>
      </c>
      <c r="H50" s="47">
        <v>2.8750916635684689</v>
      </c>
      <c r="I50" s="45">
        <v>0.44868134687535305</v>
      </c>
      <c r="K50" s="47">
        <v>2.7</v>
      </c>
      <c r="L50" s="44">
        <v>288034</v>
      </c>
      <c r="N50" s="1">
        <v>15.5</v>
      </c>
      <c r="O50" s="1">
        <v>30</v>
      </c>
      <c r="P50" s="44">
        <v>39722</v>
      </c>
      <c r="R50" s="13">
        <v>0.2</v>
      </c>
      <c r="S50" s="44">
        <v>24355</v>
      </c>
    </row>
    <row r="51" spans="1:19">
      <c r="A51" s="2" t="s">
        <v>175</v>
      </c>
      <c r="B51" s="14" t="s">
        <v>177</v>
      </c>
      <c r="C51" s="14">
        <v>19</v>
      </c>
      <c r="D51" s="1">
        <v>1250</v>
      </c>
      <c r="E51" s="47">
        <v>1.39</v>
      </c>
      <c r="F51" s="47">
        <v>1.91</v>
      </c>
      <c r="G51" s="47">
        <v>1.65</v>
      </c>
      <c r="H51" s="47">
        <v>3.5190881797754221</v>
      </c>
      <c r="I51" s="45">
        <v>0.46887145638541461</v>
      </c>
      <c r="K51" s="2">
        <v>0</v>
      </c>
      <c r="L51" s="2">
        <v>0</v>
      </c>
      <c r="N51" s="1">
        <v>15.5</v>
      </c>
      <c r="O51" s="1">
        <v>30</v>
      </c>
      <c r="P51" s="44">
        <v>45288</v>
      </c>
      <c r="R51" s="13">
        <v>0.2</v>
      </c>
      <c r="S51" s="44">
        <v>63750</v>
      </c>
    </row>
    <row r="52" spans="1:19">
      <c r="A52" s="2" t="s">
        <v>175</v>
      </c>
      <c r="B52" s="19">
        <v>23</v>
      </c>
      <c r="C52" s="19">
        <v>23</v>
      </c>
      <c r="D52" s="1">
        <v>1600</v>
      </c>
      <c r="E52" s="47">
        <v>1.65</v>
      </c>
      <c r="F52" s="47">
        <v>1.99</v>
      </c>
      <c r="G52" s="47">
        <v>1.8199999999999998</v>
      </c>
      <c r="H52" s="47">
        <v>3.5157444198520995</v>
      </c>
      <c r="I52" s="45">
        <v>0.5176713044677359</v>
      </c>
      <c r="K52" s="47">
        <v>2.35</v>
      </c>
      <c r="L52" s="44">
        <v>52477</v>
      </c>
      <c r="N52" s="1">
        <v>15.5</v>
      </c>
      <c r="O52" s="1">
        <v>30</v>
      </c>
      <c r="P52" s="44">
        <v>9494</v>
      </c>
      <c r="R52" s="13">
        <v>0.2</v>
      </c>
      <c r="S52" s="44">
        <v>8961</v>
      </c>
    </row>
    <row r="53" spans="1:19">
      <c r="A53" s="2" t="s">
        <v>34</v>
      </c>
      <c r="B53" s="14" t="s">
        <v>178</v>
      </c>
      <c r="C53" s="14">
        <v>14.5</v>
      </c>
      <c r="D53" s="1">
        <v>800</v>
      </c>
      <c r="E53" s="47">
        <v>2.86</v>
      </c>
      <c r="F53" s="47">
        <v>3.15</v>
      </c>
      <c r="G53" s="47">
        <v>3.0049999999999999</v>
      </c>
      <c r="H53" s="47">
        <v>5.6657181835897958</v>
      </c>
      <c r="I53" s="45">
        <v>0.53038289279966155</v>
      </c>
      <c r="K53" s="47">
        <v>2.6</v>
      </c>
      <c r="L53" s="44">
        <v>79775</v>
      </c>
      <c r="N53" s="1">
        <v>22.5</v>
      </c>
      <c r="O53" s="1">
        <v>46</v>
      </c>
      <c r="P53" s="44">
        <v>59292</v>
      </c>
      <c r="R53" s="13">
        <v>0.2</v>
      </c>
      <c r="S53" s="44">
        <v>10237</v>
      </c>
    </row>
    <row r="54" spans="1:19">
      <c r="A54" s="2" t="s">
        <v>179</v>
      </c>
      <c r="B54" s="14" t="s">
        <v>180</v>
      </c>
      <c r="C54" s="14">
        <v>15.5</v>
      </c>
      <c r="D54" s="1">
        <v>750</v>
      </c>
      <c r="E54" s="47">
        <v>2.86</v>
      </c>
      <c r="F54" s="47">
        <v>3.25</v>
      </c>
      <c r="G54" s="47">
        <v>3.0549999999999997</v>
      </c>
      <c r="H54" s="47">
        <v>6.5832465629925077</v>
      </c>
      <c r="I54" s="45">
        <v>0.46405674932085583</v>
      </c>
      <c r="K54" s="47">
        <v>2.6</v>
      </c>
      <c r="L54" s="44">
        <v>67668</v>
      </c>
      <c r="N54" s="1">
        <v>22.5</v>
      </c>
      <c r="O54" s="1">
        <v>46</v>
      </c>
      <c r="P54" s="44">
        <v>18988</v>
      </c>
      <c r="R54" s="13">
        <v>0.2</v>
      </c>
      <c r="S54" s="44">
        <v>2008</v>
      </c>
    </row>
    <row r="55" spans="1:19">
      <c r="A55" s="2" t="s">
        <v>181</v>
      </c>
      <c r="B55" s="14" t="s">
        <v>182</v>
      </c>
      <c r="C55" s="14">
        <v>10</v>
      </c>
      <c r="D55" s="1">
        <v>470</v>
      </c>
      <c r="E55" s="164">
        <v>2.79</v>
      </c>
      <c r="F55" s="47">
        <v>2.99</v>
      </c>
      <c r="G55" s="47">
        <v>2.89</v>
      </c>
      <c r="H55" s="47">
        <v>4.6624701440111345</v>
      </c>
      <c r="I55" s="45">
        <v>0.61984311121265989</v>
      </c>
      <c r="K55" s="2">
        <v>0</v>
      </c>
      <c r="L55" s="2">
        <v>0</v>
      </c>
      <c r="N55" s="1">
        <v>22.5</v>
      </c>
      <c r="O55" s="1">
        <v>46</v>
      </c>
      <c r="P55" s="44">
        <v>9494</v>
      </c>
      <c r="R55" s="13">
        <v>0.2</v>
      </c>
      <c r="S55" s="44">
        <v>5880</v>
      </c>
    </row>
    <row r="56" spans="1:19">
      <c r="A56" s="2" t="s">
        <v>183</v>
      </c>
      <c r="B56" s="19">
        <v>14</v>
      </c>
      <c r="C56" s="19">
        <v>14</v>
      </c>
      <c r="D56" s="1">
        <v>800</v>
      </c>
      <c r="E56" s="164">
        <v>2.4300000000000002</v>
      </c>
      <c r="F56" s="164">
        <v>2.89</v>
      </c>
      <c r="G56" s="47">
        <v>2.66</v>
      </c>
      <c r="H56" s="47">
        <v>5.6657181835897958</v>
      </c>
      <c r="I56" s="45">
        <v>0.46949034770286185</v>
      </c>
      <c r="K56" s="2">
        <v>0</v>
      </c>
      <c r="L56" s="2">
        <v>0</v>
      </c>
      <c r="N56" s="2">
        <v>0</v>
      </c>
      <c r="O56" s="2">
        <v>0</v>
      </c>
      <c r="P56" s="44">
        <v>0</v>
      </c>
      <c r="R56" s="1" t="s">
        <v>184</v>
      </c>
      <c r="S56" s="44">
        <v>0</v>
      </c>
    </row>
    <row r="57" spans="1:19">
      <c r="E57" s="47"/>
      <c r="F57" s="47"/>
      <c r="G57" s="47"/>
      <c r="H57" s="47"/>
      <c r="I57" s="165" t="s">
        <v>185</v>
      </c>
      <c r="K57" s="17" t="s">
        <v>185</v>
      </c>
      <c r="N57" s="17" t="s">
        <v>186</v>
      </c>
      <c r="R57" s="2" t="s">
        <v>187</v>
      </c>
    </row>
    <row r="58" spans="1:19">
      <c r="E58" s="47"/>
      <c r="F58" s="47"/>
      <c r="G58" s="47"/>
      <c r="H58" s="47"/>
      <c r="I58" s="45">
        <f>SUMPRODUCT(I50:I56,S50:S56)/SUM(S50:S56)</f>
        <v>0.48148792203567681</v>
      </c>
      <c r="K58" s="47">
        <f>SUMPRODUCT(K50:K56,L50:L56)/SUM(L50:L56)</f>
        <v>2.632142681482271</v>
      </c>
      <c r="N58" s="47">
        <v>3.25</v>
      </c>
      <c r="R58" s="13">
        <v>0.2</v>
      </c>
    </row>
    <row r="59" spans="1:19">
      <c r="E59" s="47"/>
      <c r="F59" s="47"/>
      <c r="G59" s="47"/>
      <c r="H59" s="47"/>
      <c r="I59" s="47"/>
      <c r="K59" s="2" t="s">
        <v>188</v>
      </c>
      <c r="N59" s="17" t="s">
        <v>189</v>
      </c>
    </row>
    <row r="60" spans="1:19">
      <c r="A60" s="2" t="s">
        <v>190</v>
      </c>
      <c r="E60" s="47"/>
      <c r="F60" s="47"/>
      <c r="G60" s="47"/>
      <c r="H60" s="47"/>
      <c r="I60" s="47"/>
      <c r="K60" s="47">
        <f>K58*A61</f>
        <v>2.3555772136587718</v>
      </c>
      <c r="N60" s="47">
        <v>4.8928571428571432</v>
      </c>
    </row>
    <row r="61" spans="1:19">
      <c r="A61" s="1">
        <v>0.89492763072108483</v>
      </c>
      <c r="E61" s="47"/>
      <c r="F61" s="47"/>
      <c r="G61" s="47"/>
      <c r="H61" s="47"/>
      <c r="I61" s="47"/>
    </row>
    <row r="62" spans="1:19">
      <c r="E62" s="47"/>
      <c r="F62" s="47"/>
      <c r="G62" s="47"/>
      <c r="H62" s="47"/>
      <c r="I62" s="47"/>
    </row>
    <row r="63" spans="1:19">
      <c r="A63" s="17" t="s">
        <v>191</v>
      </c>
    </row>
    <row r="64" spans="1:19">
      <c r="A64" s="166">
        <f>I58</f>
        <v>0.48148792203567681</v>
      </c>
      <c r="B64" s="2" t="s">
        <v>192</v>
      </c>
    </row>
    <row r="65" spans="1:11">
      <c r="A65" s="47">
        <f>K60</f>
        <v>2.3555772136587718</v>
      </c>
      <c r="B65" s="2" t="s">
        <v>193</v>
      </c>
    </row>
    <row r="66" spans="1:11">
      <c r="A66" s="13">
        <v>2</v>
      </c>
      <c r="B66" s="2" t="s">
        <v>194</v>
      </c>
    </row>
    <row r="67" spans="1:11">
      <c r="A67" s="13">
        <v>0.2</v>
      </c>
      <c r="B67" s="2" t="s">
        <v>195</v>
      </c>
      <c r="G67" s="164"/>
    </row>
    <row r="68" spans="1:11">
      <c r="A68" s="166">
        <v>1</v>
      </c>
      <c r="B68" s="2" t="s">
        <v>196</v>
      </c>
    </row>
    <row r="69" spans="1:11">
      <c r="B69" s="21"/>
      <c r="C69" s="21"/>
      <c r="D69" s="162"/>
      <c r="E69" s="162"/>
      <c r="F69" s="162"/>
    </row>
    <row r="71" spans="1:11" ht="13.5" thickBot="1">
      <c r="A71" s="17" t="s">
        <v>197</v>
      </c>
      <c r="B71" s="2"/>
      <c r="C71" s="2"/>
      <c r="D71" s="167"/>
      <c r="E71" s="399" t="s">
        <v>336</v>
      </c>
      <c r="F71" s="399"/>
      <c r="G71" s="399"/>
      <c r="H71" s="399"/>
      <c r="I71" s="399"/>
      <c r="J71" s="399"/>
    </row>
    <row r="72" spans="1:11" ht="38.25">
      <c r="A72" s="101" t="s">
        <v>119</v>
      </c>
      <c r="B72" s="102" t="s">
        <v>25</v>
      </c>
      <c r="C72" s="102" t="s">
        <v>46</v>
      </c>
      <c r="D72" s="102" t="s">
        <v>97</v>
      </c>
      <c r="E72" s="168" t="s">
        <v>27</v>
      </c>
      <c r="F72" s="169" t="s">
        <v>198</v>
      </c>
      <c r="G72" s="170" t="s">
        <v>92</v>
      </c>
      <c r="H72" s="170" t="s">
        <v>199</v>
      </c>
      <c r="I72" s="170" t="s">
        <v>200</v>
      </c>
      <c r="J72" s="170" t="s">
        <v>201</v>
      </c>
      <c r="K72" s="171" t="s">
        <v>202</v>
      </c>
    </row>
    <row r="73" spans="1:11">
      <c r="A73" s="120" t="s">
        <v>31</v>
      </c>
      <c r="B73" s="92" t="s">
        <v>32</v>
      </c>
      <c r="C73" s="93" t="s">
        <v>30</v>
      </c>
      <c r="D73" s="93" t="str">
        <f>CONCATENATE(A73,B73,C73)</f>
        <v>Compact FluorescentGeneral Purpose and Dimmable250 to 664 lumens</v>
      </c>
      <c r="E73" s="172">
        <f>D33</f>
        <v>2.1592275874141325</v>
      </c>
      <c r="F73" s="172">
        <f>E73*'CFL and LED Cost'!$A$64</f>
        <v>1.0396420042661383</v>
      </c>
      <c r="G73" s="172">
        <f>F73+'CFL and LED Cost'!$A$65</f>
        <v>3.3952192179249101</v>
      </c>
      <c r="H73" s="172">
        <f>G73</f>
        <v>3.3952192179249101</v>
      </c>
      <c r="I73" s="172">
        <f>F73+'CFL and LED Cost'!$A$66</f>
        <v>3.0396420042661383</v>
      </c>
      <c r="J73" s="172">
        <f>I73</f>
        <v>3.0396420042661383</v>
      </c>
      <c r="K73" s="173">
        <f>F73+'CFL and LED Cost'!$A$67</f>
        <v>1.2396420042661382</v>
      </c>
    </row>
    <row r="74" spans="1:11">
      <c r="A74" s="120" t="s">
        <v>31</v>
      </c>
      <c r="B74" s="92" t="s">
        <v>32</v>
      </c>
      <c r="C74" s="95" t="s">
        <v>33</v>
      </c>
      <c r="D74" s="93" t="str">
        <f t="shared" ref="D74:D102" si="1">CONCATENATE(A74,B74,C74)</f>
        <v>Compact FluorescentGeneral Purpose and Dimmable665 to 1439 lumens</v>
      </c>
      <c r="E74" s="172">
        <f>E33</f>
        <v>1.4522786346527323</v>
      </c>
      <c r="F74" s="172">
        <f>E74*'CFL and LED Cost'!$A$64</f>
        <v>0.69925462201575395</v>
      </c>
      <c r="G74" s="172">
        <f>F74+'CFL and LED Cost'!$A$65</f>
        <v>3.0548318356745257</v>
      </c>
      <c r="H74" s="172">
        <f t="shared" ref="H74:H102" si="2">G74</f>
        <v>3.0548318356745257</v>
      </c>
      <c r="I74" s="172">
        <f>F74+'CFL and LED Cost'!$A$66</f>
        <v>2.6992546220157538</v>
      </c>
      <c r="J74" s="172">
        <f t="shared" ref="J74:J102" si="3">I74</f>
        <v>2.6992546220157538</v>
      </c>
      <c r="K74" s="173">
        <f>F74+'CFL and LED Cost'!$A$67</f>
        <v>0.89925462201575401</v>
      </c>
    </row>
    <row r="75" spans="1:11">
      <c r="A75" s="120" t="s">
        <v>31</v>
      </c>
      <c r="B75" s="92" t="s">
        <v>32</v>
      </c>
      <c r="C75" s="95" t="s">
        <v>35</v>
      </c>
      <c r="D75" s="93" t="str">
        <f t="shared" si="1"/>
        <v>Compact FluorescentGeneral Purpose and Dimmable1440 to 2600 lumens</v>
      </c>
      <c r="E75" s="172">
        <f>F33</f>
        <v>1.8911113019525783</v>
      </c>
      <c r="F75" s="172">
        <f>E75*'CFL and LED Cost'!$A$64</f>
        <v>0.9105472511153303</v>
      </c>
      <c r="G75" s="172">
        <f>F75+'CFL and LED Cost'!$A$65</f>
        <v>3.2661244647741023</v>
      </c>
      <c r="H75" s="172">
        <f t="shared" si="2"/>
        <v>3.2661244647741023</v>
      </c>
      <c r="I75" s="172">
        <f>F75+'CFL and LED Cost'!$A$66</f>
        <v>2.9105472511153305</v>
      </c>
      <c r="J75" s="172">
        <f t="shared" si="3"/>
        <v>2.9105472511153305</v>
      </c>
      <c r="K75" s="173">
        <f>F75+'CFL and LED Cost'!$A$67</f>
        <v>1.1105472511153303</v>
      </c>
    </row>
    <row r="76" spans="1:11">
      <c r="A76" s="120" t="s">
        <v>31</v>
      </c>
      <c r="B76" s="92" t="s">
        <v>29</v>
      </c>
      <c r="C76" s="93" t="s">
        <v>30</v>
      </c>
      <c r="D76" s="93" t="str">
        <f t="shared" si="1"/>
        <v>Compact FluorescentDecorative and Mini-Base250 to 664 lumens</v>
      </c>
      <c r="E76" s="172">
        <f>D32</f>
        <v>3.4098621432623033</v>
      </c>
      <c r="F76" s="172">
        <f>E76*'CFL and LED Cost'!$A$64</f>
        <v>1.6418074377874856</v>
      </c>
      <c r="G76" s="172">
        <f>F76+'CFL and LED Cost'!$A$65</f>
        <v>3.9973846514462572</v>
      </c>
      <c r="H76" s="172">
        <f t="shared" si="2"/>
        <v>3.9973846514462572</v>
      </c>
      <c r="I76" s="172">
        <f>F76+'CFL and LED Cost'!$A$66</f>
        <v>3.6418074377874854</v>
      </c>
      <c r="J76" s="172">
        <f t="shared" si="3"/>
        <v>3.6418074377874854</v>
      </c>
      <c r="K76" s="173">
        <f>F76+'CFL and LED Cost'!$A$67</f>
        <v>1.8418074377874856</v>
      </c>
    </row>
    <row r="77" spans="1:11">
      <c r="A77" s="120" t="s">
        <v>31</v>
      </c>
      <c r="B77" s="92" t="s">
        <v>29</v>
      </c>
      <c r="C77" s="95" t="s">
        <v>33</v>
      </c>
      <c r="D77" s="93" t="str">
        <f t="shared" si="1"/>
        <v>Compact FluorescentDecorative and Mini-Base665 to 1439 lumens</v>
      </c>
      <c r="E77" s="172">
        <f>E32</f>
        <v>2.3872848720341966</v>
      </c>
      <c r="F77" s="172">
        <f>E77*'CFL and LED Cost'!$A$64</f>
        <v>1.1494488323429519</v>
      </c>
      <c r="G77" s="172">
        <f>F77+'CFL and LED Cost'!$A$65</f>
        <v>3.5050260460017237</v>
      </c>
      <c r="H77" s="172">
        <f t="shared" si="2"/>
        <v>3.5050260460017237</v>
      </c>
      <c r="I77" s="172">
        <f>F77+'CFL and LED Cost'!$A$66</f>
        <v>3.1494488323429519</v>
      </c>
      <c r="J77" s="172">
        <f t="shared" si="3"/>
        <v>3.1494488323429519</v>
      </c>
      <c r="K77" s="173">
        <f>F77+'CFL and LED Cost'!$A$67</f>
        <v>1.3494488323429519</v>
      </c>
    </row>
    <row r="78" spans="1:11">
      <c r="A78" s="120" t="s">
        <v>31</v>
      </c>
      <c r="B78" s="92" t="s">
        <v>29</v>
      </c>
      <c r="C78" s="95" t="s">
        <v>35</v>
      </c>
      <c r="D78" s="93" t="str">
        <f t="shared" si="1"/>
        <v>Compact FluorescentDecorative and Mini-Base1440 to 2600 lumens</v>
      </c>
      <c r="E78" s="172">
        <f>F32</f>
        <v>3.4098621432623033</v>
      </c>
      <c r="F78" s="172">
        <f>E78*'CFL and LED Cost'!$A$64</f>
        <v>1.6418074377874856</v>
      </c>
      <c r="G78" s="172">
        <f>F78+'CFL and LED Cost'!$A$65</f>
        <v>3.9973846514462572</v>
      </c>
      <c r="H78" s="172">
        <f t="shared" si="2"/>
        <v>3.9973846514462572</v>
      </c>
      <c r="I78" s="172">
        <f>F78+'CFL and LED Cost'!$A$66</f>
        <v>3.6418074377874854</v>
      </c>
      <c r="J78" s="172">
        <f t="shared" si="3"/>
        <v>3.6418074377874854</v>
      </c>
      <c r="K78" s="173">
        <f>F78+'CFL and LED Cost'!$A$67</f>
        <v>1.8418074377874856</v>
      </c>
    </row>
    <row r="79" spans="1:11">
      <c r="A79" s="120" t="s">
        <v>31</v>
      </c>
      <c r="B79" s="92" t="s">
        <v>34</v>
      </c>
      <c r="C79" s="93" t="s">
        <v>30</v>
      </c>
      <c r="D79" s="93" t="str">
        <f t="shared" si="1"/>
        <v>Compact FluorescentGlobe250 to 664 lumens</v>
      </c>
      <c r="E79" s="172">
        <f>D34</f>
        <v>1.6906705607519905</v>
      </c>
      <c r="F79" s="172">
        <f>E79*'CFL and LED Cost'!$A$64</f>
        <v>0.81403745514336845</v>
      </c>
      <c r="G79" s="172">
        <f>F79+'CFL and LED Cost'!$A$65</f>
        <v>3.16961466880214</v>
      </c>
      <c r="H79" s="172">
        <f t="shared" si="2"/>
        <v>3.16961466880214</v>
      </c>
      <c r="I79" s="172">
        <f>F79+'CFL and LED Cost'!$A$66</f>
        <v>2.8140374551433682</v>
      </c>
      <c r="J79" s="172">
        <f t="shared" si="3"/>
        <v>2.8140374551433682</v>
      </c>
      <c r="K79" s="173">
        <f>F79+'CFL and LED Cost'!$A$67</f>
        <v>1.0140374551433684</v>
      </c>
    </row>
    <row r="80" spans="1:11">
      <c r="A80" s="120" t="s">
        <v>31</v>
      </c>
      <c r="B80" s="92" t="s">
        <v>34</v>
      </c>
      <c r="C80" s="95" t="s">
        <v>33</v>
      </c>
      <c r="D80" s="93" t="str">
        <f t="shared" si="1"/>
        <v>Compact FluorescentGlobe665 to 1439 lumens</v>
      </c>
      <c r="E80" s="172">
        <f>E34</f>
        <v>5.0118009549379394</v>
      </c>
      <c r="F80" s="172">
        <f>E80*'CFL and LED Cost'!$A$64</f>
        <v>2.4131216274494891</v>
      </c>
      <c r="G80" s="172">
        <f>F80+'CFL and LED Cost'!$A$65</f>
        <v>4.7686988411082609</v>
      </c>
      <c r="H80" s="172">
        <f t="shared" si="2"/>
        <v>4.7686988411082609</v>
      </c>
      <c r="I80" s="172">
        <f>F80+'CFL and LED Cost'!$A$66</f>
        <v>4.4131216274494891</v>
      </c>
      <c r="J80" s="172">
        <f t="shared" si="3"/>
        <v>4.4131216274494891</v>
      </c>
      <c r="K80" s="173">
        <f>F80+'CFL and LED Cost'!$A$67</f>
        <v>2.6131216274494893</v>
      </c>
    </row>
    <row r="81" spans="1:11">
      <c r="A81" s="120" t="s">
        <v>31</v>
      </c>
      <c r="B81" s="92" t="s">
        <v>34</v>
      </c>
      <c r="C81" s="95" t="s">
        <v>35</v>
      </c>
      <c r="D81" s="93" t="str">
        <f t="shared" si="1"/>
        <v>Compact FluorescentGlobe1440 to 2600 lumens</v>
      </c>
      <c r="E81" s="172">
        <f>F34</f>
        <v>5.0118009549379394</v>
      </c>
      <c r="F81" s="172">
        <f>E81*'CFL and LED Cost'!$A$64</f>
        <v>2.4131216274494891</v>
      </c>
      <c r="G81" s="172">
        <f>F81+'CFL and LED Cost'!$A$65</f>
        <v>4.7686988411082609</v>
      </c>
      <c r="H81" s="172">
        <f t="shared" si="2"/>
        <v>4.7686988411082609</v>
      </c>
      <c r="I81" s="172">
        <f>F81+'CFL and LED Cost'!$A$66</f>
        <v>4.4131216274494891</v>
      </c>
      <c r="J81" s="172">
        <f t="shared" si="3"/>
        <v>4.4131216274494891</v>
      </c>
      <c r="K81" s="173">
        <f>F81+'CFL and LED Cost'!$A$67</f>
        <v>2.6131216274494893</v>
      </c>
    </row>
    <row r="82" spans="1:11">
      <c r="A82" s="120" t="s">
        <v>31</v>
      </c>
      <c r="B82" s="92" t="s">
        <v>36</v>
      </c>
      <c r="C82" s="93" t="s">
        <v>30</v>
      </c>
      <c r="D82" s="93" t="str">
        <f t="shared" si="1"/>
        <v>Compact FluorescentReflectors and Outdoor250 to 664 lumens</v>
      </c>
      <c r="E82" s="172">
        <f>D35</f>
        <v>4.6039209937539276</v>
      </c>
      <c r="F82" s="172">
        <f>E82*'CFL and LED Cost'!$A$64</f>
        <v>2.2167323524990068</v>
      </c>
      <c r="G82" s="172">
        <f>F82+'CFL and LED Cost'!$A$65</f>
        <v>4.5723095661577791</v>
      </c>
      <c r="H82" s="172">
        <f t="shared" si="2"/>
        <v>4.5723095661577791</v>
      </c>
      <c r="I82" s="172">
        <f>F82+'CFL and LED Cost'!$A$66</f>
        <v>4.2167323524990064</v>
      </c>
      <c r="J82" s="172">
        <f t="shared" si="3"/>
        <v>4.2167323524990064</v>
      </c>
      <c r="K82" s="173">
        <f>F82+'CFL and LED Cost'!$A$67</f>
        <v>2.416732352499007</v>
      </c>
    </row>
    <row r="83" spans="1:11">
      <c r="A83" s="120" t="s">
        <v>31</v>
      </c>
      <c r="B83" s="92" t="s">
        <v>36</v>
      </c>
      <c r="C83" s="95" t="s">
        <v>33</v>
      </c>
      <c r="D83" s="93" t="str">
        <f t="shared" si="1"/>
        <v>Compact FluorescentReflectors and Outdoor665 to 1439 lumens</v>
      </c>
      <c r="E83" s="172">
        <f>E35</f>
        <v>3.1114505128260177</v>
      </c>
      <c r="F83" s="172">
        <f>E83*'CFL and LED Cost'!$A$64</f>
        <v>1.4981258419374401</v>
      </c>
      <c r="G83" s="172">
        <f>F83+'CFL and LED Cost'!$A$65</f>
        <v>3.853703055596212</v>
      </c>
      <c r="H83" s="172">
        <f t="shared" si="2"/>
        <v>3.853703055596212</v>
      </c>
      <c r="I83" s="172">
        <f>F83+'CFL and LED Cost'!$A$66</f>
        <v>3.4981258419374401</v>
      </c>
      <c r="J83" s="172">
        <f t="shared" si="3"/>
        <v>3.4981258419374401</v>
      </c>
      <c r="K83" s="173">
        <f>F83+'CFL and LED Cost'!$A$67</f>
        <v>1.6981258419374401</v>
      </c>
    </row>
    <row r="84" spans="1:11">
      <c r="A84" s="120" t="s">
        <v>31</v>
      </c>
      <c r="B84" s="92" t="s">
        <v>36</v>
      </c>
      <c r="C84" s="95" t="s">
        <v>35</v>
      </c>
      <c r="D84" s="93" t="str">
        <f t="shared" si="1"/>
        <v>Compact FluorescentReflectors and Outdoor1440 to 2600 lumens</v>
      </c>
      <c r="E84" s="172">
        <f>F35</f>
        <v>9.8501399999999997</v>
      </c>
      <c r="F84" s="172">
        <f>E84*'CFL and LED Cost'!$A$64</f>
        <v>4.7427234403605016</v>
      </c>
      <c r="G84" s="172">
        <f>F84+'CFL and LED Cost'!$A$65</f>
        <v>7.0983006540192735</v>
      </c>
      <c r="H84" s="172">
        <f t="shared" si="2"/>
        <v>7.0983006540192735</v>
      </c>
      <c r="I84" s="172">
        <f>F84+'CFL and LED Cost'!$A$66</f>
        <v>6.7427234403605016</v>
      </c>
      <c r="J84" s="172">
        <f t="shared" si="3"/>
        <v>6.7427234403605016</v>
      </c>
      <c r="K84" s="173">
        <f>F84+'CFL and LED Cost'!$A$67</f>
        <v>4.9427234403605018</v>
      </c>
    </row>
    <row r="85" spans="1:11">
      <c r="A85" s="120" t="s">
        <v>31</v>
      </c>
      <c r="B85" s="92" t="s">
        <v>37</v>
      </c>
      <c r="C85" s="93" t="s">
        <v>30</v>
      </c>
      <c r="D85" s="93" t="str">
        <f t="shared" si="1"/>
        <v>Compact FluorescentThree-Way250 to 664 lumens</v>
      </c>
      <c r="E85" s="172">
        <f>D36</f>
        <v>12.376032587859543</v>
      </c>
      <c r="F85" s="172">
        <f>E85*'CFL and LED Cost'!$A$64</f>
        <v>5.9589102137743106</v>
      </c>
      <c r="G85" s="172">
        <f>F85+'CFL and LED Cost'!$A$65</f>
        <v>8.3144874274330824</v>
      </c>
      <c r="H85" s="172">
        <f t="shared" si="2"/>
        <v>8.3144874274330824</v>
      </c>
      <c r="I85" s="172">
        <f>F85+'CFL and LED Cost'!$A$66</f>
        <v>7.9589102137743106</v>
      </c>
      <c r="J85" s="172">
        <f t="shared" si="3"/>
        <v>7.9589102137743106</v>
      </c>
      <c r="K85" s="173">
        <f>F85+'CFL and LED Cost'!$A$67</f>
        <v>6.1589102137743108</v>
      </c>
    </row>
    <row r="86" spans="1:11">
      <c r="A86" s="120" t="s">
        <v>31</v>
      </c>
      <c r="B86" s="92" t="s">
        <v>37</v>
      </c>
      <c r="C86" s="95" t="s">
        <v>33</v>
      </c>
      <c r="D86" s="93" t="str">
        <f t="shared" si="1"/>
        <v>Compact FluorescentThree-Way665 to 1439 lumens</v>
      </c>
      <c r="E86" s="172">
        <f>E36</f>
        <v>10.627342351184137</v>
      </c>
      <c r="F86" s="172">
        <f>E86*'CFL and LED Cost'!$A$64</f>
        <v>5.1169369854333935</v>
      </c>
      <c r="G86" s="172">
        <f>F86+'CFL and LED Cost'!$A$65</f>
        <v>7.4725141990921653</v>
      </c>
      <c r="H86" s="172">
        <f t="shared" si="2"/>
        <v>7.4725141990921653</v>
      </c>
      <c r="I86" s="172">
        <f>F86+'CFL and LED Cost'!$A$66</f>
        <v>7.1169369854333935</v>
      </c>
      <c r="J86" s="172">
        <f t="shared" si="3"/>
        <v>7.1169369854333935</v>
      </c>
      <c r="K86" s="173">
        <f>F86+'CFL and LED Cost'!$A$67</f>
        <v>5.3169369854333937</v>
      </c>
    </row>
    <row r="87" spans="1:11">
      <c r="A87" s="120" t="s">
        <v>31</v>
      </c>
      <c r="B87" s="92" t="s">
        <v>37</v>
      </c>
      <c r="C87" s="95" t="s">
        <v>35</v>
      </c>
      <c r="D87" s="93" t="str">
        <f t="shared" si="1"/>
        <v>Compact FluorescentThree-Way1440 to 2600 lumens</v>
      </c>
      <c r="E87" s="172">
        <f>F36</f>
        <v>12.376032587859543</v>
      </c>
      <c r="F87" s="172">
        <f>E87*'CFL and LED Cost'!$A$64</f>
        <v>5.9589102137743106</v>
      </c>
      <c r="G87" s="172">
        <f>F87+'CFL and LED Cost'!$A$65</f>
        <v>8.3144874274330824</v>
      </c>
      <c r="H87" s="172">
        <f t="shared" si="2"/>
        <v>8.3144874274330824</v>
      </c>
      <c r="I87" s="172">
        <f>F87+'CFL and LED Cost'!$A$66</f>
        <v>7.9589102137743106</v>
      </c>
      <c r="J87" s="172">
        <f t="shared" si="3"/>
        <v>7.9589102137743106</v>
      </c>
      <c r="K87" s="173">
        <f>F87+'CFL and LED Cost'!$A$67</f>
        <v>6.1589102137743108</v>
      </c>
    </row>
    <row r="88" spans="1:11">
      <c r="A88" s="120" t="s">
        <v>28</v>
      </c>
      <c r="B88" s="92" t="s">
        <v>32</v>
      </c>
      <c r="C88" s="93" t="s">
        <v>30</v>
      </c>
      <c r="D88" s="93" t="str">
        <f t="shared" si="1"/>
        <v>LEDGeneral Purpose and Dimmable250 to 664 lumens</v>
      </c>
      <c r="E88" s="172">
        <f>D38</f>
        <v>4.9794267444090936</v>
      </c>
      <c r="F88" s="172">
        <f>E88*'CFL and LED Cost'!$A$68</f>
        <v>4.9794267444090936</v>
      </c>
      <c r="G88" s="172">
        <f>F88+'CFL and LED Cost'!$A$65</f>
        <v>7.3350039580678654</v>
      </c>
      <c r="H88" s="172">
        <f t="shared" si="2"/>
        <v>7.3350039580678654</v>
      </c>
      <c r="I88" s="172">
        <f>F88+'CFL and LED Cost'!$A$66</f>
        <v>6.9794267444090936</v>
      </c>
      <c r="J88" s="172">
        <f t="shared" si="3"/>
        <v>6.9794267444090936</v>
      </c>
      <c r="K88" s="173">
        <f>F88+'CFL and LED Cost'!$A$67</f>
        <v>5.1794267444090938</v>
      </c>
    </row>
    <row r="89" spans="1:11">
      <c r="A89" s="120" t="s">
        <v>28</v>
      </c>
      <c r="B89" s="92" t="s">
        <v>32</v>
      </c>
      <c r="C89" s="95" t="s">
        <v>33</v>
      </c>
      <c r="D89" s="93" t="str">
        <f t="shared" si="1"/>
        <v>LEDGeneral Purpose and Dimmable665 to 1439 lumens</v>
      </c>
      <c r="E89" s="172">
        <f>E38</f>
        <v>8.9136723969618856</v>
      </c>
      <c r="F89" s="172">
        <f>E89*'CFL and LED Cost'!$A$68</f>
        <v>8.9136723969618856</v>
      </c>
      <c r="G89" s="172">
        <f>F89+'CFL and LED Cost'!$A$65</f>
        <v>11.269249610620658</v>
      </c>
      <c r="H89" s="172">
        <f t="shared" si="2"/>
        <v>11.269249610620658</v>
      </c>
      <c r="I89" s="172">
        <f>F89+'CFL and LED Cost'!$A$66</f>
        <v>10.913672396961886</v>
      </c>
      <c r="J89" s="172">
        <f t="shared" si="3"/>
        <v>10.913672396961886</v>
      </c>
      <c r="K89" s="173">
        <f>F89+'CFL and LED Cost'!$A$67</f>
        <v>9.1136723969618849</v>
      </c>
    </row>
    <row r="90" spans="1:11">
      <c r="A90" s="120" t="s">
        <v>28</v>
      </c>
      <c r="B90" s="92" t="s">
        <v>32</v>
      </c>
      <c r="C90" s="95" t="s">
        <v>35</v>
      </c>
      <c r="D90" s="93" t="str">
        <f t="shared" si="1"/>
        <v>LEDGeneral Purpose and Dimmable1440 to 2600 lumens</v>
      </c>
      <c r="E90" s="172">
        <f>F38</f>
        <v>21.692</v>
      </c>
      <c r="F90" s="172">
        <f>E90*'CFL and LED Cost'!$A$68</f>
        <v>21.692</v>
      </c>
      <c r="G90" s="172">
        <f>F90+'CFL and LED Cost'!$A$65</f>
        <v>24.047577213658773</v>
      </c>
      <c r="H90" s="172">
        <f t="shared" si="2"/>
        <v>24.047577213658773</v>
      </c>
      <c r="I90" s="172">
        <f>F90+'CFL and LED Cost'!$A$66</f>
        <v>23.692</v>
      </c>
      <c r="J90" s="172">
        <f t="shared" si="3"/>
        <v>23.692</v>
      </c>
      <c r="K90" s="173">
        <f>F90+'CFL and LED Cost'!$A$67</f>
        <v>21.891999999999999</v>
      </c>
    </row>
    <row r="91" spans="1:11">
      <c r="A91" s="120" t="s">
        <v>28</v>
      </c>
      <c r="B91" s="92" t="s">
        <v>29</v>
      </c>
      <c r="C91" s="93" t="s">
        <v>30</v>
      </c>
      <c r="D91" s="93" t="str">
        <f t="shared" si="1"/>
        <v>LEDDecorative and Mini-Base250 to 664 lumens</v>
      </c>
      <c r="E91" s="172">
        <f>D37</f>
        <v>9.9588534888181872</v>
      </c>
      <c r="F91" s="172">
        <f>E91*'CFL and LED Cost'!$A$68</f>
        <v>9.9588534888181872</v>
      </c>
      <c r="G91" s="172">
        <f>F91+'CFL and LED Cost'!$A$65</f>
        <v>12.314430702476958</v>
      </c>
      <c r="H91" s="172">
        <f t="shared" si="2"/>
        <v>12.314430702476958</v>
      </c>
      <c r="I91" s="172">
        <f>F91+'CFL and LED Cost'!$A$66</f>
        <v>11.958853488818187</v>
      </c>
      <c r="J91" s="172">
        <f t="shared" si="3"/>
        <v>11.958853488818187</v>
      </c>
      <c r="K91" s="173">
        <f>F91+'CFL and LED Cost'!$A$67</f>
        <v>10.158853488818187</v>
      </c>
    </row>
    <row r="92" spans="1:11">
      <c r="A92" s="120" t="s">
        <v>28</v>
      </c>
      <c r="B92" s="92" t="s">
        <v>29</v>
      </c>
      <c r="C92" s="95" t="s">
        <v>33</v>
      </c>
      <c r="D92" s="93" t="str">
        <f t="shared" si="1"/>
        <v>LEDDecorative and Mini-Base665 to 1439 lumens</v>
      </c>
      <c r="E92" s="172">
        <f>E37</f>
        <v>17.827344793923771</v>
      </c>
      <c r="F92" s="172">
        <f>E92*'CFL and LED Cost'!$A$68</f>
        <v>17.827344793923771</v>
      </c>
      <c r="G92" s="172">
        <f>F92+'CFL and LED Cost'!$A$65</f>
        <v>20.182922007582544</v>
      </c>
      <c r="H92" s="172">
        <f t="shared" si="2"/>
        <v>20.182922007582544</v>
      </c>
      <c r="I92" s="172">
        <f>F92+'CFL and LED Cost'!$A$66</f>
        <v>19.827344793923771</v>
      </c>
      <c r="J92" s="172">
        <f t="shared" si="3"/>
        <v>19.827344793923771</v>
      </c>
      <c r="K92" s="173">
        <f>F92+'CFL and LED Cost'!$A$67</f>
        <v>18.027344793923771</v>
      </c>
    </row>
    <row r="93" spans="1:11">
      <c r="A93" s="120" t="s">
        <v>28</v>
      </c>
      <c r="B93" s="92" t="s">
        <v>29</v>
      </c>
      <c r="C93" s="95" t="s">
        <v>35</v>
      </c>
      <c r="D93" s="93" t="str">
        <f t="shared" si="1"/>
        <v>LEDDecorative and Mini-Base1440 to 2600 lumens</v>
      </c>
      <c r="E93" s="172">
        <f>F37</f>
        <v>43.384</v>
      </c>
      <c r="F93" s="172">
        <f>E93*'CFL and LED Cost'!$A$68</f>
        <v>43.384</v>
      </c>
      <c r="G93" s="172">
        <f>F93+'CFL and LED Cost'!$A$65</f>
        <v>45.739577213658769</v>
      </c>
      <c r="H93" s="172">
        <f t="shared" si="2"/>
        <v>45.739577213658769</v>
      </c>
      <c r="I93" s="172">
        <f>F93+'CFL and LED Cost'!$A$66</f>
        <v>45.384</v>
      </c>
      <c r="J93" s="172">
        <f t="shared" si="3"/>
        <v>45.384</v>
      </c>
      <c r="K93" s="173">
        <f>F93+'CFL and LED Cost'!$A$67</f>
        <v>43.584000000000003</v>
      </c>
    </row>
    <row r="94" spans="1:11">
      <c r="A94" s="120" t="s">
        <v>28</v>
      </c>
      <c r="B94" s="92" t="s">
        <v>34</v>
      </c>
      <c r="C94" s="93" t="s">
        <v>30</v>
      </c>
      <c r="D94" s="93" t="str">
        <f t="shared" si="1"/>
        <v>LEDGlobe250 to 664 lumens</v>
      </c>
      <c r="E94" s="172">
        <f>D39</f>
        <v>6.5889315175788843</v>
      </c>
      <c r="F94" s="172">
        <f>E94*'CFL and LED Cost'!$A$68</f>
        <v>6.5889315175788843</v>
      </c>
      <c r="G94" s="172">
        <f>F94+'CFL and LED Cost'!$A$65</f>
        <v>8.9445087312376561</v>
      </c>
      <c r="H94" s="172">
        <f t="shared" si="2"/>
        <v>8.9445087312376561</v>
      </c>
      <c r="I94" s="172">
        <f>F94+'CFL and LED Cost'!$A$66</f>
        <v>8.5889315175788852</v>
      </c>
      <c r="J94" s="172">
        <f t="shared" si="3"/>
        <v>8.5889315175788852</v>
      </c>
      <c r="K94" s="173">
        <f>F94+'CFL and LED Cost'!$A$67</f>
        <v>6.7889315175788845</v>
      </c>
    </row>
    <row r="95" spans="1:11">
      <c r="A95" s="120" t="s">
        <v>28</v>
      </c>
      <c r="B95" s="92" t="s">
        <v>34</v>
      </c>
      <c r="C95" s="95" t="s">
        <v>33</v>
      </c>
      <c r="D95" s="93" t="str">
        <f t="shared" si="1"/>
        <v>LEDGlobe665 to 1439 lumens</v>
      </c>
      <c r="E95" s="172">
        <f>E39</f>
        <v>8.9136723969618856</v>
      </c>
      <c r="F95" s="172">
        <f>E95*'CFL and LED Cost'!$A$68</f>
        <v>8.9136723969618856</v>
      </c>
      <c r="G95" s="172">
        <f>F95+'CFL and LED Cost'!$A$65</f>
        <v>11.269249610620658</v>
      </c>
      <c r="H95" s="172">
        <f t="shared" si="2"/>
        <v>11.269249610620658</v>
      </c>
      <c r="I95" s="172">
        <f>F95+'CFL and LED Cost'!$A$66</f>
        <v>10.913672396961886</v>
      </c>
      <c r="J95" s="172">
        <f t="shared" si="3"/>
        <v>10.913672396961886</v>
      </c>
      <c r="K95" s="173">
        <f>F95+'CFL and LED Cost'!$A$67</f>
        <v>9.1136723969618849</v>
      </c>
    </row>
    <row r="96" spans="1:11">
      <c r="A96" s="120" t="s">
        <v>28</v>
      </c>
      <c r="B96" s="92" t="s">
        <v>34</v>
      </c>
      <c r="C96" s="95" t="s">
        <v>35</v>
      </c>
      <c r="D96" s="93" t="str">
        <f t="shared" si="1"/>
        <v>LEDGlobe1440 to 2600 lumens</v>
      </c>
      <c r="E96" s="172">
        <f>F39</f>
        <v>21.692</v>
      </c>
      <c r="F96" s="172">
        <f>E96*'CFL and LED Cost'!$A$68</f>
        <v>21.692</v>
      </c>
      <c r="G96" s="172">
        <f>F96+'CFL and LED Cost'!$A$65</f>
        <v>24.047577213658773</v>
      </c>
      <c r="H96" s="172">
        <f t="shared" si="2"/>
        <v>24.047577213658773</v>
      </c>
      <c r="I96" s="172">
        <f>F96+'CFL and LED Cost'!$A$66</f>
        <v>23.692</v>
      </c>
      <c r="J96" s="172">
        <f t="shared" si="3"/>
        <v>23.692</v>
      </c>
      <c r="K96" s="173">
        <f>F96+'CFL and LED Cost'!$A$67</f>
        <v>21.891999999999999</v>
      </c>
    </row>
    <row r="97" spans="1:11">
      <c r="A97" s="120" t="s">
        <v>28</v>
      </c>
      <c r="B97" s="92" t="s">
        <v>36</v>
      </c>
      <c r="C97" s="93" t="s">
        <v>30</v>
      </c>
      <c r="D97" s="93" t="str">
        <f t="shared" si="1"/>
        <v>LEDReflectors and Outdoor250 to 664 lumens</v>
      </c>
      <c r="E97" s="172">
        <f>D40</f>
        <v>21.195435697005799</v>
      </c>
      <c r="F97" s="172">
        <f>E97*'CFL and LED Cost'!$A$68</f>
        <v>21.195435697005799</v>
      </c>
      <c r="G97" s="172">
        <f>F97+'CFL and LED Cost'!$A$65</f>
        <v>23.551012910664571</v>
      </c>
      <c r="H97" s="172">
        <f t="shared" si="2"/>
        <v>23.551012910664571</v>
      </c>
      <c r="I97" s="172">
        <f>F97+'CFL and LED Cost'!$A$66</f>
        <v>23.195435697005799</v>
      </c>
      <c r="J97" s="172">
        <f t="shared" si="3"/>
        <v>23.195435697005799</v>
      </c>
      <c r="K97" s="173">
        <f>F97+'CFL and LED Cost'!$A$67</f>
        <v>21.395435697005798</v>
      </c>
    </row>
    <row r="98" spans="1:11">
      <c r="A98" s="120" t="s">
        <v>28</v>
      </c>
      <c r="B98" s="92" t="s">
        <v>36</v>
      </c>
      <c r="C98" s="95" t="s">
        <v>33</v>
      </c>
      <c r="D98" s="93" t="str">
        <f t="shared" si="1"/>
        <v>LEDReflectors and Outdoor665 to 1439 lumens</v>
      </c>
      <c r="E98" s="172">
        <f>E40</f>
        <v>17.935480603886987</v>
      </c>
      <c r="F98" s="172">
        <f>E98*'CFL and LED Cost'!$A$68</f>
        <v>17.935480603886987</v>
      </c>
      <c r="G98" s="172">
        <f>F98+'CFL and LED Cost'!$A$65</f>
        <v>20.291057817545759</v>
      </c>
      <c r="H98" s="172">
        <f t="shared" si="2"/>
        <v>20.291057817545759</v>
      </c>
      <c r="I98" s="172">
        <f>F98+'CFL and LED Cost'!$A$66</f>
        <v>19.935480603886987</v>
      </c>
      <c r="J98" s="172">
        <f t="shared" si="3"/>
        <v>19.935480603886987</v>
      </c>
      <c r="K98" s="173">
        <f>F98+'CFL and LED Cost'!$A$67</f>
        <v>18.135480603886986</v>
      </c>
    </row>
    <row r="99" spans="1:11">
      <c r="A99" s="120" t="s">
        <v>28</v>
      </c>
      <c r="B99" s="92" t="s">
        <v>36</v>
      </c>
      <c r="C99" s="95" t="s">
        <v>35</v>
      </c>
      <c r="D99" s="93" t="str">
        <f t="shared" si="1"/>
        <v>LEDReflectors and Outdoor1440 to 2600 lumens</v>
      </c>
      <c r="E99" s="172">
        <f>F40</f>
        <v>32.537999999999997</v>
      </c>
      <c r="F99" s="172">
        <f>E99*'CFL and LED Cost'!$A$68</f>
        <v>32.537999999999997</v>
      </c>
      <c r="G99" s="172">
        <f>F99+'CFL and LED Cost'!$A$65</f>
        <v>34.893577213658766</v>
      </c>
      <c r="H99" s="172">
        <f t="shared" si="2"/>
        <v>34.893577213658766</v>
      </c>
      <c r="I99" s="172">
        <f>F99+'CFL and LED Cost'!$A$66</f>
        <v>34.537999999999997</v>
      </c>
      <c r="J99" s="172">
        <f t="shared" si="3"/>
        <v>34.537999999999997</v>
      </c>
      <c r="K99" s="173">
        <f>F99+'CFL and LED Cost'!$A$67</f>
        <v>32.738</v>
      </c>
    </row>
    <row r="100" spans="1:11">
      <c r="A100" s="120" t="s">
        <v>28</v>
      </c>
      <c r="B100" s="92" t="s">
        <v>37</v>
      </c>
      <c r="C100" s="93" t="s">
        <v>30</v>
      </c>
      <c r="D100" s="93" t="str">
        <f t="shared" si="1"/>
        <v>LEDThree-Way250 to 664 lumens</v>
      </c>
      <c r="E100" s="172">
        <f>D41</f>
        <v>21.195435697005799</v>
      </c>
      <c r="F100" s="172">
        <f>E100*'CFL and LED Cost'!$A$68</f>
        <v>21.195435697005799</v>
      </c>
      <c r="G100" s="172">
        <f>F100+'CFL and LED Cost'!$A$65</f>
        <v>23.551012910664571</v>
      </c>
      <c r="H100" s="172">
        <f t="shared" si="2"/>
        <v>23.551012910664571</v>
      </c>
      <c r="I100" s="172">
        <f>F100+'CFL and LED Cost'!$A$66</f>
        <v>23.195435697005799</v>
      </c>
      <c r="J100" s="172">
        <f t="shared" si="3"/>
        <v>23.195435697005799</v>
      </c>
      <c r="K100" s="173">
        <f>F100+'CFL and LED Cost'!$A$67</f>
        <v>21.395435697005798</v>
      </c>
    </row>
    <row r="101" spans="1:11">
      <c r="A101" s="120" t="s">
        <v>28</v>
      </c>
      <c r="B101" s="92" t="s">
        <v>37</v>
      </c>
      <c r="C101" s="95" t="s">
        <v>33</v>
      </c>
      <c r="D101" s="93" t="str">
        <f t="shared" si="1"/>
        <v>LEDThree-Way665 to 1439 lumens</v>
      </c>
      <c r="E101" s="172">
        <f>E41</f>
        <v>17.935480603886987</v>
      </c>
      <c r="F101" s="172">
        <f>E101*'CFL and LED Cost'!$A$68</f>
        <v>17.935480603886987</v>
      </c>
      <c r="G101" s="172">
        <f>F101+'CFL and LED Cost'!$A$65</f>
        <v>20.291057817545759</v>
      </c>
      <c r="H101" s="172">
        <f t="shared" si="2"/>
        <v>20.291057817545759</v>
      </c>
      <c r="I101" s="172">
        <f>F101+'CFL and LED Cost'!$A$66</f>
        <v>19.935480603886987</v>
      </c>
      <c r="J101" s="172">
        <f t="shared" si="3"/>
        <v>19.935480603886987</v>
      </c>
      <c r="K101" s="173">
        <f>F101+'CFL and LED Cost'!$A$67</f>
        <v>18.135480603886986</v>
      </c>
    </row>
    <row r="102" spans="1:11" ht="13.5" thickBot="1">
      <c r="A102" s="130" t="s">
        <v>28</v>
      </c>
      <c r="B102" s="131" t="s">
        <v>37</v>
      </c>
      <c r="C102" s="112" t="s">
        <v>35</v>
      </c>
      <c r="D102" s="108" t="str">
        <f t="shared" si="1"/>
        <v>LEDThree-Way1440 to 2600 lumens</v>
      </c>
      <c r="E102" s="174">
        <f>F41</f>
        <v>32.537999999999997</v>
      </c>
      <c r="F102" s="174">
        <f>E102*'CFL and LED Cost'!$A$68</f>
        <v>32.537999999999997</v>
      </c>
      <c r="G102" s="174">
        <f>F102+'CFL and LED Cost'!$A$65</f>
        <v>34.893577213658766</v>
      </c>
      <c r="H102" s="174">
        <f t="shared" si="2"/>
        <v>34.893577213658766</v>
      </c>
      <c r="I102" s="174">
        <f>F102+'CFL and LED Cost'!$A$66</f>
        <v>34.537999999999997</v>
      </c>
      <c r="J102" s="174">
        <f t="shared" si="3"/>
        <v>34.537999999999997</v>
      </c>
      <c r="K102" s="175">
        <f>F102+'CFL and LED Cost'!$A$67</f>
        <v>32.738</v>
      </c>
    </row>
  </sheetData>
  <autoFilter ref="A72:C102">
    <sortState ref="A79:C108">
      <sortCondition ref="A78:A108"/>
    </sortState>
  </autoFilter>
  <mergeCells count="4">
    <mergeCell ref="K48:L48"/>
    <mergeCell ref="N48:P48"/>
    <mergeCell ref="R48:S48"/>
    <mergeCell ref="E71:J71"/>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16"/>
  <dimension ref="A2:I85"/>
  <sheetViews>
    <sheetView workbookViewId="0">
      <selection activeCell="B10" sqref="B10"/>
    </sheetView>
  </sheetViews>
  <sheetFormatPr defaultRowHeight="12.75"/>
  <cols>
    <col min="1" max="1" width="22.28515625" style="1" customWidth="1"/>
    <col min="2" max="16384" width="9.140625" style="1"/>
  </cols>
  <sheetData>
    <row r="2" spans="1:9" ht="13.5" thickBot="1">
      <c r="A2" s="176" t="s">
        <v>203</v>
      </c>
      <c r="B2" s="177"/>
      <c r="C2" s="177"/>
      <c r="D2" s="178"/>
      <c r="E2" s="178"/>
      <c r="F2" s="178"/>
      <c r="G2" s="178"/>
      <c r="H2" s="178"/>
      <c r="I2" s="178"/>
    </row>
    <row r="3" spans="1:9" ht="25.5">
      <c r="A3" s="179" t="s">
        <v>25</v>
      </c>
      <c r="B3" s="180" t="s">
        <v>204</v>
      </c>
      <c r="C3" s="181"/>
      <c r="D3" s="182"/>
      <c r="E3" s="182"/>
      <c r="F3" s="182"/>
      <c r="G3" s="182"/>
      <c r="H3" s="182"/>
      <c r="I3" s="182"/>
    </row>
    <row r="4" spans="1:9" ht="15">
      <c r="A4" s="183" t="s">
        <v>205</v>
      </c>
      <c r="B4" s="184">
        <v>10356.725146198831</v>
      </c>
      <c r="C4" s="182" t="s">
        <v>206</v>
      </c>
      <c r="D4" s="185"/>
      <c r="E4" s="182"/>
      <c r="F4" s="182"/>
      <c r="G4" s="182"/>
      <c r="H4" s="182"/>
      <c r="I4" s="182"/>
    </row>
    <row r="5" spans="1:9" ht="15">
      <c r="A5" s="183" t="s">
        <v>31</v>
      </c>
      <c r="B5" s="184">
        <f>B4*D16</f>
        <v>5447.6374269005855</v>
      </c>
      <c r="C5" s="182" t="s">
        <v>207</v>
      </c>
      <c r="D5" s="185"/>
      <c r="E5" s="182"/>
      <c r="F5" s="182"/>
      <c r="G5" s="182"/>
      <c r="H5" s="182"/>
      <c r="I5" s="182"/>
    </row>
    <row r="6" spans="1:9" ht="15">
      <c r="A6" s="183" t="s">
        <v>208</v>
      </c>
      <c r="B6" s="184">
        <v>1000</v>
      </c>
      <c r="C6" s="181" t="s">
        <v>209</v>
      </c>
      <c r="D6" s="182"/>
      <c r="E6" s="182"/>
      <c r="F6" s="182"/>
      <c r="G6" s="182"/>
      <c r="H6" s="182"/>
      <c r="I6" s="182"/>
    </row>
    <row r="7" spans="1:9" ht="15">
      <c r="A7" s="183" t="s">
        <v>210</v>
      </c>
      <c r="B7" s="184">
        <v>1000</v>
      </c>
      <c r="C7" s="181" t="s">
        <v>209</v>
      </c>
      <c r="D7" s="182"/>
      <c r="E7" s="182"/>
      <c r="F7" s="182"/>
      <c r="G7" s="182"/>
      <c r="H7" s="182"/>
      <c r="I7" s="182"/>
    </row>
    <row r="8" spans="1:9" ht="15">
      <c r="A8" s="183" t="s">
        <v>28</v>
      </c>
      <c r="B8" s="184">
        <v>28708.42332613391</v>
      </c>
      <c r="C8" s="182" t="s">
        <v>206</v>
      </c>
      <c r="D8" s="185" t="s">
        <v>211</v>
      </c>
      <c r="E8" s="182"/>
      <c r="F8" s="182"/>
      <c r="G8" s="182"/>
      <c r="H8" s="182"/>
      <c r="I8" s="182"/>
    </row>
    <row r="9" spans="1:9" ht="13.5" thickBot="1">
      <c r="A9" s="186"/>
      <c r="B9" s="182"/>
      <c r="C9" s="187"/>
      <c r="D9" s="182"/>
      <c r="E9" s="182"/>
      <c r="F9" s="182"/>
      <c r="G9" s="182"/>
      <c r="H9" s="182"/>
      <c r="I9" s="182"/>
    </row>
    <row r="10" spans="1:9" ht="13.5" thickBot="1">
      <c r="A10" s="188" t="s">
        <v>212</v>
      </c>
      <c r="B10" s="189">
        <v>12</v>
      </c>
      <c r="C10" s="187" t="s">
        <v>213</v>
      </c>
      <c r="D10" s="182"/>
      <c r="E10" s="182"/>
      <c r="F10" s="182"/>
      <c r="G10" s="182"/>
      <c r="H10" s="182"/>
      <c r="I10" s="182"/>
    </row>
    <row r="11" spans="1:9">
      <c r="A11" s="182"/>
      <c r="B11" s="182"/>
      <c r="C11" s="182"/>
      <c r="D11" s="182"/>
      <c r="E11" s="182"/>
      <c r="F11" s="182"/>
      <c r="G11" s="182"/>
      <c r="H11" s="182"/>
      <c r="I11" s="182"/>
    </row>
    <row r="12" spans="1:9" ht="13.5" thickBot="1">
      <c r="A12" s="182"/>
      <c r="B12" s="182"/>
      <c r="C12" s="182"/>
      <c r="D12" s="182"/>
      <c r="E12" s="182"/>
      <c r="F12" s="182"/>
      <c r="G12" s="182"/>
      <c r="H12" s="182"/>
      <c r="I12" s="182"/>
    </row>
    <row r="13" spans="1:9" ht="13.5" thickBot="1">
      <c r="A13" s="400" t="s">
        <v>214</v>
      </c>
      <c r="B13" s="401"/>
      <c r="C13" s="401"/>
      <c r="D13" s="401"/>
      <c r="E13" s="401"/>
      <c r="F13" s="401"/>
      <c r="G13" s="401"/>
      <c r="H13" s="401"/>
      <c r="I13" s="402"/>
    </row>
    <row r="14" spans="1:9">
      <c r="A14" s="190" t="s">
        <v>47</v>
      </c>
      <c r="B14" s="403" t="s">
        <v>215</v>
      </c>
      <c r="C14" s="404"/>
      <c r="D14" s="404"/>
      <c r="E14" s="405"/>
      <c r="F14" s="403" t="s">
        <v>216</v>
      </c>
      <c r="G14" s="404"/>
      <c r="H14" s="404"/>
      <c r="I14" s="405"/>
    </row>
    <row r="15" spans="1:9" ht="13.5" thickBot="1">
      <c r="A15" s="191"/>
      <c r="B15" s="192" t="s">
        <v>217</v>
      </c>
      <c r="C15" s="193" t="s">
        <v>218</v>
      </c>
      <c r="D15" s="194" t="s">
        <v>219</v>
      </c>
      <c r="E15" s="195" t="s">
        <v>220</v>
      </c>
      <c r="F15" s="192" t="s">
        <v>217</v>
      </c>
      <c r="G15" s="193" t="s">
        <v>218</v>
      </c>
      <c r="H15" s="193" t="s">
        <v>219</v>
      </c>
      <c r="I15" s="195" t="s">
        <v>220</v>
      </c>
    </row>
    <row r="16" spans="1:9">
      <c r="A16" s="196" t="s">
        <v>221</v>
      </c>
      <c r="B16" s="197">
        <v>585</v>
      </c>
      <c r="C16" s="198">
        <v>0.49099999999999999</v>
      </c>
      <c r="D16" s="199">
        <v>0.52600000000000002</v>
      </c>
      <c r="E16" s="200">
        <v>0.56100000000000005</v>
      </c>
      <c r="F16" s="197">
        <v>447</v>
      </c>
      <c r="G16" s="198">
        <v>0.48599999999999999</v>
      </c>
      <c r="H16" s="201">
        <v>0.52100000000000002</v>
      </c>
      <c r="I16" s="200">
        <v>0.55600000000000005</v>
      </c>
    </row>
    <row r="17" spans="1:9">
      <c r="A17" s="202" t="s">
        <v>222</v>
      </c>
      <c r="B17" s="203">
        <v>89</v>
      </c>
      <c r="C17" s="204">
        <v>0.21</v>
      </c>
      <c r="D17" s="205">
        <v>0.25700000000000001</v>
      </c>
      <c r="E17" s="206">
        <v>0.30399999999999999</v>
      </c>
      <c r="F17" s="203">
        <v>71</v>
      </c>
      <c r="G17" s="204">
        <v>0.22</v>
      </c>
      <c r="H17" s="204">
        <v>0.26600000000000001</v>
      </c>
      <c r="I17" s="206">
        <v>0.312</v>
      </c>
    </row>
    <row r="18" spans="1:9">
      <c r="A18" s="202" t="s">
        <v>223</v>
      </c>
      <c r="B18" s="203">
        <v>138</v>
      </c>
      <c r="C18" s="204">
        <v>0.43</v>
      </c>
      <c r="D18" s="205">
        <v>0.46700000000000003</v>
      </c>
      <c r="E18" s="206">
        <v>0.505</v>
      </c>
      <c r="F18" s="203">
        <v>102</v>
      </c>
      <c r="G18" s="204">
        <v>0.41799999999999998</v>
      </c>
      <c r="H18" s="204">
        <v>0.45600000000000002</v>
      </c>
      <c r="I18" s="206">
        <v>0.49399999999999999</v>
      </c>
    </row>
    <row r="19" spans="1:9">
      <c r="A19" s="202" t="s">
        <v>224</v>
      </c>
      <c r="B19" s="203"/>
      <c r="C19" s="204"/>
      <c r="D19" s="207">
        <f>D16</f>
        <v>0.52600000000000002</v>
      </c>
      <c r="E19" s="206"/>
      <c r="F19" s="203"/>
      <c r="G19" s="204"/>
      <c r="H19" s="204"/>
      <c r="I19" s="206"/>
    </row>
    <row r="20" spans="1:9">
      <c r="A20" s="202" t="s">
        <v>225</v>
      </c>
      <c r="B20" s="203"/>
      <c r="C20" s="204"/>
      <c r="D20" s="207">
        <f>D16</f>
        <v>0.52600000000000002</v>
      </c>
      <c r="E20" s="206"/>
      <c r="F20" s="203"/>
      <c r="G20" s="204"/>
      <c r="H20" s="204"/>
      <c r="I20" s="206"/>
    </row>
    <row r="21" spans="1:9">
      <c r="A21" s="202" t="s">
        <v>109</v>
      </c>
      <c r="B21" s="203"/>
      <c r="C21" s="204"/>
      <c r="D21" s="207">
        <f>D30</f>
        <v>0.50800000000000001</v>
      </c>
      <c r="E21" s="206"/>
      <c r="F21" s="203"/>
      <c r="G21" s="204"/>
      <c r="H21" s="204"/>
      <c r="I21" s="206"/>
    </row>
    <row r="22" spans="1:9">
      <c r="A22" s="202" t="s">
        <v>226</v>
      </c>
      <c r="B22" s="203">
        <v>59</v>
      </c>
      <c r="C22" s="204">
        <v>0.66400000000000003</v>
      </c>
      <c r="D22" s="205">
        <v>0.69199999999999995</v>
      </c>
      <c r="E22" s="206">
        <v>0.72</v>
      </c>
      <c r="F22" s="203">
        <v>52</v>
      </c>
      <c r="G22" s="204">
        <v>0.67</v>
      </c>
      <c r="H22" s="204">
        <v>0.69799999999999995</v>
      </c>
      <c r="I22" s="206">
        <v>0.72499999999999998</v>
      </c>
    </row>
    <row r="23" spans="1:9">
      <c r="A23" s="202" t="s">
        <v>227</v>
      </c>
      <c r="B23" s="203">
        <v>12</v>
      </c>
      <c r="C23" s="204">
        <v>0.434</v>
      </c>
      <c r="D23" s="205">
        <v>0.47199999999999998</v>
      </c>
      <c r="E23" s="206">
        <v>0.51</v>
      </c>
      <c r="F23" s="203">
        <v>11</v>
      </c>
      <c r="G23" s="204">
        <v>0.44</v>
      </c>
      <c r="H23" s="204">
        <v>0.47799999999999998</v>
      </c>
      <c r="I23" s="206">
        <v>0.51500000000000001</v>
      </c>
    </row>
    <row r="24" spans="1:9">
      <c r="A24" s="202" t="s">
        <v>228</v>
      </c>
      <c r="B24" s="203">
        <v>42</v>
      </c>
      <c r="C24" s="204">
        <v>0.38700000000000001</v>
      </c>
      <c r="D24" s="205">
        <v>0.42599999999999999</v>
      </c>
      <c r="E24" s="206">
        <v>0.46500000000000002</v>
      </c>
      <c r="F24" s="203">
        <v>31</v>
      </c>
      <c r="G24" s="204">
        <v>0.38700000000000001</v>
      </c>
      <c r="H24" s="204">
        <v>0.42599999999999999</v>
      </c>
      <c r="I24" s="206">
        <v>0.46500000000000002</v>
      </c>
    </row>
    <row r="25" spans="1:9">
      <c r="A25" s="202" t="s">
        <v>229</v>
      </c>
      <c r="B25" s="203">
        <v>82</v>
      </c>
      <c r="C25" s="204">
        <v>0.54700000000000004</v>
      </c>
      <c r="D25" s="205">
        <v>0.57999999999999996</v>
      </c>
      <c r="E25" s="206">
        <v>0.61199999999999999</v>
      </c>
      <c r="F25" s="203">
        <v>53</v>
      </c>
      <c r="G25" s="204">
        <v>0.49199999999999999</v>
      </c>
      <c r="H25" s="204">
        <v>0.52700000000000002</v>
      </c>
      <c r="I25" s="206">
        <v>0.56200000000000006</v>
      </c>
    </row>
    <row r="26" spans="1:9">
      <c r="A26" s="202" t="s">
        <v>230</v>
      </c>
      <c r="B26" s="203">
        <v>20</v>
      </c>
      <c r="C26" s="204">
        <v>0.29899999999999999</v>
      </c>
      <c r="D26" s="205">
        <v>0.34300000000000003</v>
      </c>
      <c r="E26" s="206">
        <v>0.38600000000000001</v>
      </c>
      <c r="F26" s="203">
        <v>17</v>
      </c>
      <c r="G26" s="204">
        <v>0.28499999999999998</v>
      </c>
      <c r="H26" s="198">
        <v>0.32900000000000001</v>
      </c>
      <c r="I26" s="206">
        <v>0.373</v>
      </c>
    </row>
    <row r="27" spans="1:9">
      <c r="A27" s="202" t="s">
        <v>231</v>
      </c>
      <c r="B27" s="203">
        <v>128</v>
      </c>
      <c r="C27" s="204">
        <v>0.70799999999999996</v>
      </c>
      <c r="D27" s="205">
        <v>0.73399999999999999</v>
      </c>
      <c r="E27" s="206">
        <v>0.76</v>
      </c>
      <c r="F27" s="203">
        <v>96</v>
      </c>
      <c r="G27" s="204">
        <v>0.72399999999999998</v>
      </c>
      <c r="H27" s="198">
        <v>0.749</v>
      </c>
      <c r="I27" s="206">
        <v>0.77400000000000002</v>
      </c>
    </row>
    <row r="28" spans="1:9">
      <c r="A28" s="202" t="s">
        <v>232</v>
      </c>
      <c r="B28" s="203"/>
      <c r="C28" s="204"/>
      <c r="D28" s="208">
        <f>D18</f>
        <v>0.46700000000000003</v>
      </c>
      <c r="E28" s="206"/>
      <c r="F28" s="203"/>
      <c r="G28" s="204"/>
      <c r="H28" s="204"/>
      <c r="I28" s="206"/>
    </row>
    <row r="29" spans="1:9">
      <c r="A29" s="202" t="s">
        <v>233</v>
      </c>
      <c r="B29" s="203"/>
      <c r="C29" s="204"/>
      <c r="D29" s="208">
        <f>D16</f>
        <v>0.52600000000000002</v>
      </c>
      <c r="E29" s="206"/>
      <c r="F29" s="203"/>
      <c r="G29" s="204"/>
      <c r="H29" s="204"/>
      <c r="I29" s="206"/>
    </row>
    <row r="30" spans="1:9" ht="13.5" thickBot="1">
      <c r="A30" s="209" t="s">
        <v>22</v>
      </c>
      <c r="B30" s="192">
        <v>15</v>
      </c>
      <c r="C30" s="210">
        <v>0.47199999999999998</v>
      </c>
      <c r="D30" s="211">
        <v>0.50800000000000001</v>
      </c>
      <c r="E30" s="212">
        <v>0.54300000000000004</v>
      </c>
      <c r="F30" s="192">
        <v>14</v>
      </c>
      <c r="G30" s="210">
        <v>0.47599999999999998</v>
      </c>
      <c r="H30" s="213">
        <v>0.51100000000000001</v>
      </c>
      <c r="I30" s="212">
        <v>0.54700000000000004</v>
      </c>
    </row>
    <row r="31" spans="1:9">
      <c r="A31" s="214" t="s">
        <v>234</v>
      </c>
      <c r="B31" s="215"/>
      <c r="C31" s="215"/>
      <c r="D31" s="215"/>
      <c r="E31" s="215"/>
      <c r="F31" s="215"/>
      <c r="G31" s="215"/>
      <c r="H31" s="215"/>
      <c r="I31" s="182"/>
    </row>
    <row r="32" spans="1:9">
      <c r="A32" s="182"/>
      <c r="B32" s="215"/>
      <c r="C32" s="215"/>
      <c r="D32" s="215"/>
      <c r="E32" s="215"/>
      <c r="F32" s="215"/>
      <c r="G32" s="215"/>
      <c r="H32" s="215"/>
      <c r="I32" s="182"/>
    </row>
    <row r="33" spans="1:9">
      <c r="A33" s="216" t="s">
        <v>235</v>
      </c>
      <c r="B33" s="215"/>
      <c r="C33" s="215"/>
      <c r="D33" s="215"/>
      <c r="E33" s="215"/>
      <c r="F33" s="215"/>
      <c r="G33" s="215"/>
      <c r="H33" s="215"/>
      <c r="I33" s="182"/>
    </row>
    <row r="34" spans="1:9">
      <c r="A34" s="215" t="s">
        <v>236</v>
      </c>
      <c r="B34" s="215"/>
      <c r="C34" s="215"/>
      <c r="D34" s="215"/>
      <c r="E34" s="215"/>
      <c r="F34" s="215"/>
      <c r="G34" s="215"/>
      <c r="H34" s="215"/>
      <c r="I34" s="182"/>
    </row>
    <row r="35" spans="1:9">
      <c r="A35" s="215" t="s">
        <v>237</v>
      </c>
      <c r="B35" s="215"/>
      <c r="C35" s="215"/>
      <c r="D35" s="215"/>
      <c r="E35" s="215"/>
      <c r="F35" s="215"/>
      <c r="G35" s="215"/>
      <c r="H35" s="215"/>
      <c r="I35" s="182"/>
    </row>
    <row r="36" spans="1:9">
      <c r="A36" s="215" t="s">
        <v>238</v>
      </c>
      <c r="B36" s="182"/>
      <c r="C36" s="182"/>
      <c r="D36" s="182"/>
      <c r="E36" s="215"/>
      <c r="F36" s="215"/>
      <c r="G36" s="215"/>
      <c r="H36" s="215"/>
      <c r="I36" s="182"/>
    </row>
    <row r="37" spans="1:9">
      <c r="A37" s="215" t="s">
        <v>239</v>
      </c>
      <c r="B37" s="182"/>
      <c r="C37" s="182"/>
      <c r="D37" s="182"/>
      <c r="E37" s="215"/>
      <c r="F37" s="215"/>
      <c r="G37" s="215"/>
      <c r="H37" s="215"/>
      <c r="I37" s="182"/>
    </row>
    <row r="38" spans="1:9">
      <c r="A38" s="217" t="s">
        <v>240</v>
      </c>
      <c r="B38" s="182"/>
      <c r="C38" s="182"/>
      <c r="D38" s="182"/>
      <c r="E38" s="215"/>
      <c r="F38" s="215"/>
      <c r="G38" s="215"/>
      <c r="H38" s="215"/>
      <c r="I38" s="182"/>
    </row>
    <row r="42" spans="1:9" ht="20.25">
      <c r="A42" s="218" t="s">
        <v>241</v>
      </c>
      <c r="B42" s="218"/>
      <c r="C42" s="218"/>
      <c r="D42" s="182"/>
      <c r="E42" s="182"/>
      <c r="F42" s="182"/>
      <c r="G42" s="182"/>
      <c r="H42" s="182"/>
    </row>
    <row r="43" spans="1:9">
      <c r="A43" s="182"/>
      <c r="B43" s="182"/>
      <c r="C43" s="182"/>
      <c r="D43" s="182"/>
      <c r="E43" s="182"/>
      <c r="F43" s="182"/>
      <c r="G43" s="182"/>
      <c r="H43" s="182"/>
    </row>
    <row r="44" spans="1:9">
      <c r="A44" s="182" t="s">
        <v>242</v>
      </c>
      <c r="B44" s="182"/>
      <c r="C44" s="182"/>
      <c r="D44" s="182"/>
      <c r="E44" s="182"/>
      <c r="F44" s="182"/>
      <c r="G44" s="182"/>
      <c r="H44" s="182"/>
    </row>
    <row r="45" spans="1:9">
      <c r="A45" s="406" t="s">
        <v>243</v>
      </c>
      <c r="B45" s="406"/>
      <c r="C45" s="406"/>
      <c r="D45" s="406"/>
      <c r="E45" s="406"/>
      <c r="F45" s="182"/>
      <c r="G45" s="182"/>
      <c r="H45" s="182"/>
    </row>
    <row r="46" spans="1:9">
      <c r="A46" s="406" t="s">
        <v>244</v>
      </c>
      <c r="B46" s="406"/>
      <c r="C46" s="406"/>
      <c r="D46" s="406"/>
      <c r="E46" s="406"/>
      <c r="F46" s="182"/>
      <c r="G46" s="182"/>
      <c r="H46" s="182"/>
    </row>
    <row r="47" spans="1:9">
      <c r="A47" s="182" t="s">
        <v>245</v>
      </c>
      <c r="B47" s="182"/>
      <c r="C47" s="182"/>
      <c r="D47" s="182"/>
      <c r="E47" s="182"/>
      <c r="F47" s="182"/>
      <c r="G47" s="182"/>
      <c r="H47" s="182"/>
    </row>
    <row r="48" spans="1:9">
      <c r="A48" s="182"/>
      <c r="B48" s="182"/>
      <c r="C48" s="182"/>
      <c r="D48" s="182"/>
      <c r="E48" s="182"/>
      <c r="F48" s="182"/>
      <c r="G48" s="182"/>
      <c r="H48" s="182"/>
    </row>
    <row r="49" spans="1:8">
      <c r="A49" s="182"/>
      <c r="B49" s="182"/>
      <c r="C49" s="182"/>
      <c r="D49" s="182"/>
      <c r="E49" s="182"/>
      <c r="F49" s="182"/>
      <c r="G49" s="182"/>
      <c r="H49" s="182"/>
    </row>
    <row r="50" spans="1:8">
      <c r="A50" s="182"/>
      <c r="B50" s="182"/>
      <c r="C50" s="182"/>
      <c r="D50" s="182"/>
      <c r="E50" s="182"/>
      <c r="F50" s="182"/>
      <c r="G50" s="182"/>
      <c r="H50" s="182"/>
    </row>
    <row r="51" spans="1:8" ht="51">
      <c r="A51" s="182"/>
      <c r="B51" s="182"/>
      <c r="C51" s="219" t="s">
        <v>246</v>
      </c>
      <c r="D51" s="219" t="s">
        <v>247</v>
      </c>
      <c r="E51" s="219" t="s">
        <v>248</v>
      </c>
      <c r="F51" s="219" t="s">
        <v>249</v>
      </c>
      <c r="G51" s="219" t="s">
        <v>250</v>
      </c>
      <c r="H51" s="182"/>
    </row>
    <row r="52" spans="1:8" ht="38.25">
      <c r="A52" s="182" t="s">
        <v>251</v>
      </c>
      <c r="B52" s="219" t="s">
        <v>252</v>
      </c>
      <c r="C52" s="219" t="s">
        <v>253</v>
      </c>
      <c r="D52" s="182"/>
      <c r="E52" s="182"/>
      <c r="F52" s="182"/>
      <c r="G52" s="182"/>
      <c r="H52" s="182"/>
    </row>
    <row r="53" spans="1:8">
      <c r="A53" s="182">
        <v>1</v>
      </c>
      <c r="B53" s="220">
        <v>0.04</v>
      </c>
      <c r="C53" s="220">
        <f>1-B53</f>
        <v>0.96</v>
      </c>
      <c r="D53" s="221">
        <v>0</v>
      </c>
      <c r="E53" s="221">
        <v>0</v>
      </c>
      <c r="F53" s="221">
        <v>0</v>
      </c>
      <c r="G53" s="221">
        <f t="shared" ref="G53:G66" si="0">SUMPRODUCT(C53:F53,$C$68:$F$68)</f>
        <v>0.72960000000000003</v>
      </c>
      <c r="H53" s="182"/>
    </row>
    <row r="54" spans="1:8">
      <c r="A54" s="182">
        <f t="shared" ref="A54:A66" si="1">A53+1</f>
        <v>2</v>
      </c>
      <c r="B54" s="220">
        <v>0.09</v>
      </c>
      <c r="C54" s="220">
        <f t="shared" ref="C54:C66" si="2">C53-B54</f>
        <v>0.87</v>
      </c>
      <c r="D54" s="220">
        <f t="shared" ref="D54:D66" si="3">C53</f>
        <v>0.96</v>
      </c>
      <c r="E54" s="221">
        <v>0</v>
      </c>
      <c r="F54" s="221">
        <v>0</v>
      </c>
      <c r="G54" s="221">
        <f t="shared" si="0"/>
        <v>0.73799999999999999</v>
      </c>
      <c r="H54" s="182"/>
    </row>
    <row r="55" spans="1:8">
      <c r="A55" s="182">
        <f t="shared" si="1"/>
        <v>3</v>
      </c>
      <c r="B55" s="220">
        <v>0.08</v>
      </c>
      <c r="C55" s="220">
        <f t="shared" si="2"/>
        <v>0.79</v>
      </c>
      <c r="D55" s="220">
        <f t="shared" si="3"/>
        <v>0.87</v>
      </c>
      <c r="E55" s="220">
        <f t="shared" ref="E55:E66" si="4">C53</f>
        <v>0.96</v>
      </c>
      <c r="F55" s="221">
        <v>0</v>
      </c>
      <c r="G55" s="221">
        <f t="shared" si="0"/>
        <v>0.74680000000000002</v>
      </c>
      <c r="H55" s="182"/>
    </row>
    <row r="56" spans="1:8">
      <c r="A56" s="182">
        <f t="shared" si="1"/>
        <v>4</v>
      </c>
      <c r="B56" s="220">
        <v>0.15</v>
      </c>
      <c r="C56" s="220">
        <f t="shared" si="2"/>
        <v>0.64</v>
      </c>
      <c r="D56" s="220">
        <f t="shared" si="3"/>
        <v>0.79</v>
      </c>
      <c r="E56" s="220">
        <f t="shared" si="4"/>
        <v>0.87</v>
      </c>
      <c r="F56" s="220">
        <f t="shared" ref="F56:F66" si="5">C53</f>
        <v>0.96</v>
      </c>
      <c r="G56" s="221">
        <f t="shared" si="0"/>
        <v>0.69599999999999995</v>
      </c>
      <c r="H56" s="182"/>
    </row>
    <row r="57" spans="1:8">
      <c r="A57" s="182">
        <f t="shared" si="1"/>
        <v>5</v>
      </c>
      <c r="B57" s="220">
        <v>0.1</v>
      </c>
      <c r="C57" s="222">
        <f t="shared" si="2"/>
        <v>0.54</v>
      </c>
      <c r="D57" s="220">
        <f t="shared" si="3"/>
        <v>0.64</v>
      </c>
      <c r="E57" s="220">
        <f t="shared" si="4"/>
        <v>0.79</v>
      </c>
      <c r="F57" s="220">
        <f t="shared" si="5"/>
        <v>0.87</v>
      </c>
      <c r="G57" s="221">
        <f t="shared" si="0"/>
        <v>0.59440000000000004</v>
      </c>
      <c r="H57" s="182"/>
    </row>
    <row r="58" spans="1:8">
      <c r="A58" s="182">
        <f t="shared" si="1"/>
        <v>6</v>
      </c>
      <c r="B58" s="220">
        <v>0.08</v>
      </c>
      <c r="C58" s="222">
        <f t="shared" si="2"/>
        <v>0.46</v>
      </c>
      <c r="D58" s="220">
        <f t="shared" si="3"/>
        <v>0.54</v>
      </c>
      <c r="E58" s="220">
        <f t="shared" si="4"/>
        <v>0.64</v>
      </c>
      <c r="F58" s="220">
        <f t="shared" si="5"/>
        <v>0.79</v>
      </c>
      <c r="G58" s="223">
        <f t="shared" si="0"/>
        <v>0.5072000000000001</v>
      </c>
      <c r="H58" s="182"/>
    </row>
    <row r="59" spans="1:8">
      <c r="A59" s="182">
        <f t="shared" si="1"/>
        <v>7</v>
      </c>
      <c r="B59" s="220">
        <v>7.0000000000000007E-2</v>
      </c>
      <c r="C59" s="220">
        <f t="shared" si="2"/>
        <v>0.39</v>
      </c>
      <c r="D59" s="220">
        <f t="shared" si="3"/>
        <v>0.46</v>
      </c>
      <c r="E59" s="220">
        <f t="shared" si="4"/>
        <v>0.54</v>
      </c>
      <c r="F59" s="220">
        <f t="shared" si="5"/>
        <v>0.64</v>
      </c>
      <c r="G59" s="223">
        <f t="shared" si="0"/>
        <v>0.42760000000000004</v>
      </c>
      <c r="H59" s="182"/>
    </row>
    <row r="60" spans="1:8">
      <c r="A60" s="182">
        <f t="shared" si="1"/>
        <v>8</v>
      </c>
      <c r="B60" s="220">
        <v>0.06</v>
      </c>
      <c r="C60" s="220">
        <f t="shared" si="2"/>
        <v>0.33</v>
      </c>
      <c r="D60" s="220">
        <f t="shared" si="3"/>
        <v>0.39</v>
      </c>
      <c r="E60" s="220">
        <f t="shared" si="4"/>
        <v>0.46</v>
      </c>
      <c r="F60" s="220">
        <f t="shared" si="5"/>
        <v>0.54</v>
      </c>
      <c r="G60" s="221">
        <f t="shared" si="0"/>
        <v>0.36200000000000004</v>
      </c>
      <c r="H60" s="182"/>
    </row>
    <row r="61" spans="1:8">
      <c r="A61" s="182">
        <f t="shared" si="1"/>
        <v>9</v>
      </c>
      <c r="B61" s="220">
        <v>0.05</v>
      </c>
      <c r="C61" s="220">
        <f t="shared" si="2"/>
        <v>0.28000000000000003</v>
      </c>
      <c r="D61" s="220">
        <f t="shared" si="3"/>
        <v>0.33</v>
      </c>
      <c r="E61" s="220">
        <f t="shared" si="4"/>
        <v>0.39</v>
      </c>
      <c r="F61" s="220">
        <f t="shared" si="5"/>
        <v>0.46</v>
      </c>
      <c r="G61" s="221">
        <f t="shared" si="0"/>
        <v>0.30720000000000003</v>
      </c>
      <c r="H61" s="182"/>
    </row>
    <row r="62" spans="1:8">
      <c r="A62" s="182">
        <f t="shared" si="1"/>
        <v>10</v>
      </c>
      <c r="B62" s="220">
        <v>0.04</v>
      </c>
      <c r="C62" s="220">
        <f t="shared" si="2"/>
        <v>0.24000000000000002</v>
      </c>
      <c r="D62" s="220">
        <f t="shared" si="3"/>
        <v>0.28000000000000003</v>
      </c>
      <c r="E62" s="220">
        <f t="shared" si="4"/>
        <v>0.33</v>
      </c>
      <c r="F62" s="220">
        <f t="shared" si="5"/>
        <v>0.39</v>
      </c>
      <c r="G62" s="221">
        <f t="shared" si="0"/>
        <v>0.26240000000000002</v>
      </c>
      <c r="H62" s="182"/>
    </row>
    <row r="63" spans="1:8">
      <c r="A63" s="182">
        <f t="shared" si="1"/>
        <v>11</v>
      </c>
      <c r="B63" s="220">
        <v>0.04</v>
      </c>
      <c r="C63" s="220">
        <f t="shared" si="2"/>
        <v>0.2</v>
      </c>
      <c r="D63" s="220">
        <f t="shared" si="3"/>
        <v>0.24000000000000002</v>
      </c>
      <c r="E63" s="220">
        <f t="shared" si="4"/>
        <v>0.28000000000000003</v>
      </c>
      <c r="F63" s="220">
        <f t="shared" si="5"/>
        <v>0.33</v>
      </c>
      <c r="G63" s="221">
        <f t="shared" si="0"/>
        <v>0.22000000000000003</v>
      </c>
      <c r="H63" s="182"/>
    </row>
    <row r="64" spans="1:8">
      <c r="A64" s="182">
        <f t="shared" si="1"/>
        <v>12</v>
      </c>
      <c r="B64" s="220">
        <v>0.03</v>
      </c>
      <c r="C64" s="220">
        <f t="shared" si="2"/>
        <v>0.17</v>
      </c>
      <c r="D64" s="220">
        <f t="shared" si="3"/>
        <v>0.2</v>
      </c>
      <c r="E64" s="220">
        <f t="shared" si="4"/>
        <v>0.24000000000000002</v>
      </c>
      <c r="F64" s="220">
        <f t="shared" si="5"/>
        <v>0.28000000000000003</v>
      </c>
      <c r="G64" s="221">
        <f t="shared" si="0"/>
        <v>0.18679999999999999</v>
      </c>
      <c r="H64" s="182"/>
    </row>
    <row r="65" spans="1:8">
      <c r="A65" s="182">
        <f t="shared" si="1"/>
        <v>13</v>
      </c>
      <c r="B65" s="220">
        <v>0.03</v>
      </c>
      <c r="C65" s="220">
        <f t="shared" si="2"/>
        <v>0.14000000000000001</v>
      </c>
      <c r="D65" s="220">
        <f t="shared" si="3"/>
        <v>0.17</v>
      </c>
      <c r="E65" s="220">
        <f t="shared" si="4"/>
        <v>0.2</v>
      </c>
      <c r="F65" s="220">
        <f t="shared" si="5"/>
        <v>0.24000000000000002</v>
      </c>
      <c r="G65" s="221">
        <f t="shared" si="0"/>
        <v>0.1552</v>
      </c>
      <c r="H65" s="182"/>
    </row>
    <row r="66" spans="1:8">
      <c r="A66" s="182">
        <f t="shared" si="1"/>
        <v>14</v>
      </c>
      <c r="B66" s="220">
        <v>0.02</v>
      </c>
      <c r="C66" s="220">
        <f t="shared" si="2"/>
        <v>0.12000000000000001</v>
      </c>
      <c r="D66" s="220">
        <f t="shared" si="3"/>
        <v>0.14000000000000001</v>
      </c>
      <c r="E66" s="220">
        <f t="shared" si="4"/>
        <v>0.17</v>
      </c>
      <c r="F66" s="220">
        <f t="shared" si="5"/>
        <v>0.2</v>
      </c>
      <c r="G66" s="221">
        <f t="shared" si="0"/>
        <v>0.13200000000000001</v>
      </c>
      <c r="H66" s="182"/>
    </row>
    <row r="67" spans="1:8">
      <c r="A67" s="182"/>
      <c r="B67" s="182"/>
      <c r="C67" s="182"/>
      <c r="D67" s="182"/>
      <c r="E67" s="182"/>
      <c r="F67" s="182"/>
      <c r="G67" s="182"/>
      <c r="H67" s="182"/>
    </row>
    <row r="68" spans="1:8">
      <c r="A68" s="182" t="s">
        <v>254</v>
      </c>
      <c r="B68" s="220">
        <v>0.24</v>
      </c>
      <c r="C68" s="220">
        <f>1-B68</f>
        <v>0.76</v>
      </c>
      <c r="D68" s="221">
        <f>$B$68/3</f>
        <v>0.08</v>
      </c>
      <c r="E68" s="221">
        <f>$B$68/3</f>
        <v>0.08</v>
      </c>
      <c r="F68" s="221">
        <f>$B$68/3</f>
        <v>0.08</v>
      </c>
      <c r="G68" s="182"/>
      <c r="H68" s="182"/>
    </row>
    <row r="69" spans="1:8">
      <c r="A69" s="182"/>
      <c r="B69" s="182"/>
      <c r="C69" s="182"/>
      <c r="D69" s="182"/>
      <c r="E69" s="182"/>
      <c r="F69" s="182"/>
      <c r="G69" s="182"/>
      <c r="H69" s="182"/>
    </row>
    <row r="70" spans="1:8">
      <c r="A70" s="182"/>
      <c r="B70" s="182"/>
      <c r="C70" s="182"/>
      <c r="D70" s="182"/>
      <c r="E70" s="182"/>
      <c r="F70" s="182"/>
      <c r="G70" s="182"/>
      <c r="H70" s="182"/>
    </row>
    <row r="71" spans="1:8">
      <c r="A71" s="182" t="s">
        <v>255</v>
      </c>
      <c r="B71" s="182"/>
      <c r="C71" s="182"/>
      <c r="D71" s="182"/>
      <c r="E71" s="182"/>
      <c r="F71" s="182"/>
      <c r="G71" s="182"/>
      <c r="H71" s="182"/>
    </row>
    <row r="72" spans="1:8">
      <c r="A72" s="182"/>
      <c r="B72" s="182"/>
      <c r="C72" s="182"/>
      <c r="D72" s="182"/>
      <c r="E72" s="182"/>
      <c r="F72" s="182"/>
      <c r="G72" s="182"/>
      <c r="H72" s="182"/>
    </row>
    <row r="73" spans="1:8">
      <c r="A73" s="182" t="s">
        <v>256</v>
      </c>
      <c r="B73" s="182"/>
      <c r="C73" s="221">
        <f>6/5.5</f>
        <v>1.0909090909090908</v>
      </c>
      <c r="D73" s="182" t="s">
        <v>257</v>
      </c>
      <c r="E73" s="182"/>
      <c r="F73" s="182"/>
      <c r="G73" s="182"/>
      <c r="H73" s="182"/>
    </row>
    <row r="74" spans="1:8">
      <c r="A74" s="182"/>
      <c r="B74" s="182"/>
      <c r="C74" s="182"/>
      <c r="D74" s="182"/>
      <c r="E74" s="182"/>
      <c r="F74" s="182"/>
      <c r="G74" s="182"/>
      <c r="H74" s="182"/>
    </row>
    <row r="75" spans="1:8">
      <c r="A75" s="182"/>
      <c r="B75" s="182"/>
      <c r="C75" s="182"/>
      <c r="D75" s="182"/>
      <c r="E75" s="182"/>
      <c r="F75" s="182"/>
      <c r="G75" s="182"/>
      <c r="H75" s="182"/>
    </row>
    <row r="76" spans="1:8">
      <c r="A76" s="182"/>
      <c r="B76" s="182"/>
      <c r="C76" s="182"/>
      <c r="D76" s="182"/>
      <c r="E76" s="182"/>
      <c r="F76" s="182"/>
      <c r="G76" s="182"/>
      <c r="H76" s="182"/>
    </row>
    <row r="77" spans="1:8">
      <c r="A77" s="182"/>
      <c r="B77" s="182"/>
      <c r="C77" s="182"/>
      <c r="D77" s="182"/>
      <c r="E77" s="182"/>
      <c r="F77" s="182"/>
      <c r="G77" s="182"/>
      <c r="H77" s="182"/>
    </row>
    <row r="78" spans="1:8">
      <c r="A78" s="182"/>
      <c r="B78" s="182"/>
      <c r="C78" s="182"/>
      <c r="D78" s="182"/>
      <c r="E78" s="182"/>
      <c r="F78" s="182"/>
      <c r="G78" s="182"/>
      <c r="H78" s="182"/>
    </row>
    <row r="79" spans="1:8">
      <c r="A79" s="182"/>
      <c r="B79" s="182"/>
      <c r="C79" s="182"/>
      <c r="D79" s="182"/>
      <c r="E79" s="182"/>
      <c r="F79" s="182"/>
      <c r="G79" s="182"/>
      <c r="H79" s="182"/>
    </row>
    <row r="80" spans="1:8">
      <c r="A80" s="182"/>
      <c r="B80" s="182"/>
      <c r="C80" s="182"/>
      <c r="D80" s="182"/>
      <c r="E80" s="182"/>
      <c r="F80" s="182"/>
      <c r="G80" s="182"/>
      <c r="H80" s="182"/>
    </row>
    <row r="81" spans="1:8">
      <c r="A81" s="182"/>
      <c r="B81" s="182"/>
      <c r="C81" s="182"/>
      <c r="D81" s="182"/>
      <c r="E81" s="182"/>
      <c r="F81" s="182"/>
      <c r="G81" s="182"/>
      <c r="H81" s="182"/>
    </row>
    <row r="82" spans="1:8">
      <c r="A82" s="182"/>
      <c r="B82" s="182"/>
      <c r="C82" s="182"/>
      <c r="D82" s="182"/>
      <c r="E82" s="182"/>
      <c r="F82" s="182"/>
      <c r="G82" s="182"/>
      <c r="H82" s="182"/>
    </row>
    <row r="83" spans="1:8">
      <c r="A83" s="182"/>
      <c r="B83" s="182"/>
      <c r="C83" s="182"/>
      <c r="D83" s="182"/>
      <c r="E83" s="182"/>
      <c r="F83" s="182"/>
      <c r="G83" s="182"/>
      <c r="H83" s="182"/>
    </row>
    <row r="84" spans="1:8">
      <c r="A84" s="182"/>
      <c r="B84" s="182"/>
      <c r="C84" s="182"/>
      <c r="D84" s="182"/>
      <c r="E84" s="182"/>
      <c r="F84" s="182"/>
      <c r="G84" s="182"/>
      <c r="H84" s="182"/>
    </row>
    <row r="85" spans="1:8">
      <c r="A85" s="182"/>
      <c r="B85" s="182"/>
      <c r="C85" s="182"/>
      <c r="D85" s="182"/>
      <c r="E85" s="182"/>
      <c r="F85" s="182"/>
      <c r="G85" s="182"/>
      <c r="H85" s="182"/>
    </row>
  </sheetData>
  <mergeCells count="5">
    <mergeCell ref="A13:I13"/>
    <mergeCell ref="B14:E14"/>
    <mergeCell ref="F14:I14"/>
    <mergeCell ref="A45:E45"/>
    <mergeCell ref="A46:E46"/>
  </mergeCells>
  <hyperlinks>
    <hyperlink ref="D8"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sheetPr codeName="Sheet19"/>
  <dimension ref="A1:I28"/>
  <sheetViews>
    <sheetView zoomScaleNormal="100" workbookViewId="0">
      <selection activeCell="B28" sqref="B28"/>
    </sheetView>
  </sheetViews>
  <sheetFormatPr defaultRowHeight="12.75"/>
  <cols>
    <col min="1" max="1" width="34.85546875" customWidth="1"/>
    <col min="2" max="2" width="20.5703125" bestFit="1" customWidth="1"/>
    <col min="4" max="4" width="10.85546875" customWidth="1"/>
    <col min="5" max="7" width="10" customWidth="1"/>
    <col min="8" max="8" width="21.85546875" customWidth="1"/>
    <col min="9" max="35" width="10" customWidth="1"/>
  </cols>
  <sheetData>
    <row r="1" spans="1:9" ht="13.5" thickBot="1">
      <c r="A1" s="241" t="s">
        <v>268</v>
      </c>
      <c r="B1" s="241" t="s">
        <v>332</v>
      </c>
      <c r="C1" s="241" t="s">
        <v>333</v>
      </c>
      <c r="D1" s="241"/>
      <c r="E1" s="241"/>
      <c r="F1" s="241"/>
      <c r="G1" s="241"/>
    </row>
    <row r="2" spans="1:9" ht="13.5" customHeight="1" thickBot="1">
      <c r="A2" s="412" t="s">
        <v>269</v>
      </c>
      <c r="B2" s="409" t="s">
        <v>270</v>
      </c>
      <c r="C2" s="411"/>
      <c r="D2" s="241"/>
      <c r="E2" s="241"/>
      <c r="F2" s="241"/>
      <c r="G2" s="241"/>
    </row>
    <row r="3" spans="1:9" ht="36.75" thickBot="1">
      <c r="A3" s="413"/>
      <c r="B3" s="242" t="s">
        <v>271</v>
      </c>
      <c r="C3" s="243" t="s">
        <v>272</v>
      </c>
      <c r="D3" s="244" t="s">
        <v>273</v>
      </c>
      <c r="E3" s="241"/>
      <c r="F3" s="241"/>
      <c r="G3" s="241"/>
      <c r="H3" s="224" t="s">
        <v>258</v>
      </c>
      <c r="I3" s="225"/>
    </row>
    <row r="4" spans="1:9">
      <c r="A4" s="245" t="s">
        <v>274</v>
      </c>
      <c r="B4" s="246">
        <v>-0.46152449492979231</v>
      </c>
      <c r="C4" s="247">
        <v>-0.5</v>
      </c>
      <c r="D4" s="248">
        <v>0.26</v>
      </c>
      <c r="E4" s="241"/>
      <c r="F4" s="241"/>
      <c r="G4" s="241"/>
      <c r="H4" s="226" t="s">
        <v>259</v>
      </c>
      <c r="I4" s="227">
        <f>-B4</f>
        <v>0.46152449492979231</v>
      </c>
    </row>
    <row r="5" spans="1:9">
      <c r="A5" s="245" t="s">
        <v>275</v>
      </c>
      <c r="B5" s="246">
        <v>-0.50234159388570954</v>
      </c>
      <c r="C5" s="247">
        <v>-0.625</v>
      </c>
      <c r="D5" s="249">
        <v>0.1</v>
      </c>
      <c r="E5" s="241"/>
      <c r="F5" s="241"/>
      <c r="G5" s="241"/>
      <c r="H5" s="228" t="s">
        <v>260</v>
      </c>
      <c r="I5" s="229">
        <f>D7</f>
        <v>0.51</v>
      </c>
    </row>
    <row r="6" spans="1:9">
      <c r="A6" s="245" t="s">
        <v>276</v>
      </c>
      <c r="B6" s="246">
        <v>-0.27496231317673292</v>
      </c>
      <c r="C6" s="247">
        <v>-0.15397011426897156</v>
      </c>
      <c r="D6" s="249">
        <v>0.13</v>
      </c>
      <c r="E6" s="241"/>
      <c r="F6" s="241"/>
      <c r="G6" s="241"/>
      <c r="H6" s="228" t="s">
        <v>261</v>
      </c>
      <c r="I6" s="229">
        <v>0.8</v>
      </c>
    </row>
    <row r="7" spans="1:9" ht="13.5" thickBot="1">
      <c r="A7" s="250" t="s">
        <v>277</v>
      </c>
      <c r="B7" s="246">
        <v>0</v>
      </c>
      <c r="C7" s="251">
        <v>0</v>
      </c>
      <c r="D7" s="252">
        <f>1-SUM(D4:D6)</f>
        <v>0.51</v>
      </c>
      <c r="E7" s="241"/>
      <c r="F7" s="241"/>
      <c r="G7" s="241"/>
      <c r="H7" s="228" t="s">
        <v>262</v>
      </c>
      <c r="I7" s="233">
        <f>I4*I5/I6</f>
        <v>0.2942218655177426</v>
      </c>
    </row>
    <row r="8" spans="1:9">
      <c r="A8" s="241"/>
      <c r="B8" s="241"/>
      <c r="C8" s="241"/>
      <c r="D8" s="241"/>
      <c r="E8" s="253"/>
      <c r="F8" s="241"/>
      <c r="G8" s="241"/>
      <c r="H8" s="234" t="s">
        <v>263</v>
      </c>
      <c r="I8" s="235">
        <f>1/29.3001111</f>
        <v>3.4129563419983078E-2</v>
      </c>
    </row>
    <row r="9" spans="1:9" ht="13.5" thickBot="1">
      <c r="A9" s="241" t="s">
        <v>278</v>
      </c>
      <c r="B9" s="241"/>
      <c r="C9" s="241"/>
      <c r="D9" s="241"/>
      <c r="E9" s="253"/>
      <c r="F9" s="241"/>
      <c r="G9" s="241"/>
      <c r="H9" s="236" t="s">
        <v>264</v>
      </c>
      <c r="I9" s="237">
        <f>I7*I8</f>
        <v>1.0041663818733528E-2</v>
      </c>
    </row>
    <row r="10" spans="1:9" ht="13.5" customHeight="1" thickBot="1">
      <c r="A10" s="414" t="s">
        <v>279</v>
      </c>
      <c r="B10" s="409" t="s">
        <v>270</v>
      </c>
      <c r="C10" s="411"/>
      <c r="D10" s="241"/>
      <c r="E10" s="253"/>
      <c r="F10" s="241"/>
      <c r="G10" s="241"/>
    </row>
    <row r="11" spans="1:9" ht="36">
      <c r="A11" s="415"/>
      <c r="B11" s="242" t="s">
        <v>271</v>
      </c>
      <c r="C11" s="243" t="s">
        <v>272</v>
      </c>
      <c r="D11" s="244" t="s">
        <v>273</v>
      </c>
      <c r="E11" s="244" t="s">
        <v>280</v>
      </c>
      <c r="F11" s="241"/>
      <c r="G11" s="241"/>
    </row>
    <row r="12" spans="1:9">
      <c r="A12" s="254">
        <v>1</v>
      </c>
      <c r="B12" s="255">
        <v>3.3084964552829943E-2</v>
      </c>
      <c r="C12" s="256">
        <v>9.4513846153846157E-2</v>
      </c>
      <c r="D12" s="248">
        <v>0.59</v>
      </c>
      <c r="E12" s="407">
        <v>0.72</v>
      </c>
      <c r="F12" s="241"/>
      <c r="G12" s="241"/>
    </row>
    <row r="13" spans="1:9">
      <c r="A13" s="254">
        <v>2</v>
      </c>
      <c r="B13" s="255">
        <v>5.2851320104587263E-2</v>
      </c>
      <c r="C13" s="256">
        <v>9.4513846153846157E-2</v>
      </c>
      <c r="D13" s="249">
        <v>0.27</v>
      </c>
      <c r="E13" s="407"/>
      <c r="F13" s="241"/>
      <c r="G13" s="241"/>
    </row>
    <row r="14" spans="1:9" ht="13.5" thickBot="1">
      <c r="A14" s="257">
        <v>3</v>
      </c>
      <c r="B14" s="255">
        <v>7.3644270960588454E-2</v>
      </c>
      <c r="C14" s="258">
        <v>9.4513846153846157E-2</v>
      </c>
      <c r="D14" s="252">
        <v>0.14000000000000001</v>
      </c>
      <c r="E14" s="408"/>
      <c r="F14" s="241"/>
      <c r="G14" s="241"/>
    </row>
    <row r="15" spans="1:9">
      <c r="A15" s="241"/>
      <c r="B15" s="241"/>
      <c r="C15" s="241"/>
      <c r="D15" s="241"/>
      <c r="E15" s="241"/>
      <c r="F15" s="241"/>
      <c r="G15" s="241"/>
    </row>
    <row r="16" spans="1:9" ht="13.5" thickBot="1">
      <c r="A16" s="241" t="s">
        <v>281</v>
      </c>
      <c r="B16" s="241"/>
      <c r="C16" s="241"/>
      <c r="D16" s="241"/>
      <c r="E16" s="241"/>
      <c r="F16" s="241"/>
      <c r="G16" s="241"/>
    </row>
    <row r="17" spans="1:7" ht="12.75" customHeight="1">
      <c r="A17" s="409" t="s">
        <v>282</v>
      </c>
      <c r="B17" s="410"/>
      <c r="C17" s="411"/>
      <c r="D17" s="241"/>
      <c r="E17" s="241"/>
      <c r="F17" s="241"/>
      <c r="G17" s="241"/>
    </row>
    <row r="18" spans="1:7" ht="26.25" thickBot="1">
      <c r="A18" s="259"/>
      <c r="B18" s="260" t="s">
        <v>271</v>
      </c>
      <c r="C18" s="261" t="s">
        <v>272</v>
      </c>
      <c r="D18" s="241"/>
      <c r="E18" s="241"/>
      <c r="F18" s="241"/>
      <c r="G18" s="241"/>
    </row>
    <row r="19" spans="1:7">
      <c r="A19" s="262" t="s">
        <v>268</v>
      </c>
      <c r="B19" s="263">
        <f>SUMPRODUCT(B4:B7,$D$4:$D$7)</f>
        <v>-0.20597562878329223</v>
      </c>
      <c r="C19" s="264">
        <v>-0.2125161148549663</v>
      </c>
      <c r="D19" s="241"/>
      <c r="E19" s="241"/>
      <c r="F19" s="241"/>
      <c r="G19" s="241"/>
    </row>
    <row r="20" spans="1:7" ht="13.5" thickBot="1">
      <c r="A20" s="265" t="s">
        <v>278</v>
      </c>
      <c r="B20" s="266">
        <f>SUMPRODUCT(B12:B14,$D$12:$D$14)*E12</f>
        <v>3.1752132083201233E-2</v>
      </c>
      <c r="C20" s="258">
        <v>6.8049969230769225E-2</v>
      </c>
      <c r="D20" s="241"/>
      <c r="E20" s="241"/>
      <c r="F20" s="241"/>
      <c r="G20" s="241"/>
    </row>
    <row r="21" spans="1:7" ht="13.5" thickBot="1">
      <c r="A21" s="267" t="s">
        <v>283</v>
      </c>
      <c r="B21" s="268">
        <f>SUM(B19:B20)</f>
        <v>-0.17422349670009099</v>
      </c>
      <c r="C21" s="269">
        <v>-0.14446614562419707</v>
      </c>
      <c r="D21" s="241"/>
      <c r="E21" s="241"/>
      <c r="F21" s="241"/>
      <c r="G21" s="241"/>
    </row>
    <row r="22" spans="1:7">
      <c r="A22" s="241"/>
      <c r="B22" s="270"/>
      <c r="C22" s="270"/>
      <c r="D22" s="241"/>
      <c r="E22" s="241"/>
      <c r="F22" s="241"/>
      <c r="G22" s="241"/>
    </row>
    <row r="23" spans="1:7" ht="12.75" customHeight="1">
      <c r="A23" s="241" t="s">
        <v>284</v>
      </c>
      <c r="B23" s="270">
        <f>-B21/B28</f>
        <v>0.19698387922912527</v>
      </c>
      <c r="C23" s="270"/>
      <c r="D23" s="241"/>
      <c r="F23" s="241"/>
      <c r="G23" s="241"/>
    </row>
    <row r="24" spans="1:7">
      <c r="A24" s="241"/>
      <c r="B24" s="270"/>
      <c r="C24" s="270"/>
      <c r="D24" s="241"/>
      <c r="F24" s="241"/>
      <c r="G24" s="241"/>
    </row>
    <row r="25" spans="1:7" ht="12.75" customHeight="1">
      <c r="A25" s="241"/>
      <c r="B25" s="270"/>
      <c r="C25" s="270"/>
      <c r="D25" s="241"/>
      <c r="F25" s="241"/>
      <c r="G25" s="241"/>
    </row>
    <row r="26" spans="1:7" ht="13.5" thickBot="1"/>
    <row r="27" spans="1:7" ht="26.25" thickBot="1">
      <c r="A27" s="238" t="s">
        <v>0</v>
      </c>
      <c r="B27" s="239" t="s">
        <v>265</v>
      </c>
      <c r="C27" s="239" t="s">
        <v>109</v>
      </c>
      <c r="D27" s="240" t="s">
        <v>266</v>
      </c>
    </row>
    <row r="28" spans="1:7">
      <c r="A28" s="230" t="s">
        <v>267</v>
      </c>
      <c r="B28" s="231">
        <v>0.88445560815380153</v>
      </c>
      <c r="C28" s="231">
        <v>0.11554439184619844</v>
      </c>
      <c r="D28" s="232">
        <v>1</v>
      </c>
    </row>
  </sheetData>
  <mergeCells count="6">
    <mergeCell ref="E12:E14"/>
    <mergeCell ref="A17:C17"/>
    <mergeCell ref="A2:A3"/>
    <mergeCell ref="B2:C2"/>
    <mergeCell ref="A10:A11"/>
    <mergeCell ref="B10:C10"/>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27"/>
  <dimension ref="A3:V67"/>
  <sheetViews>
    <sheetView topLeftCell="A43" workbookViewId="0">
      <selection activeCell="G70" sqref="G70"/>
    </sheetView>
  </sheetViews>
  <sheetFormatPr defaultRowHeight="12.75"/>
  <cols>
    <col min="1" max="1" width="27.5703125" style="20" customWidth="1"/>
    <col min="2" max="2" width="22.7109375" style="20" customWidth="1"/>
    <col min="3" max="8" width="9.85546875" style="20" customWidth="1"/>
    <col min="9" max="16384" width="9.140625" style="20"/>
  </cols>
  <sheetData>
    <row r="3" spans="1:21">
      <c r="A3" s="271" t="s">
        <v>285</v>
      </c>
      <c r="B3" s="272"/>
      <c r="C3" s="272"/>
      <c r="D3" s="272"/>
      <c r="E3" s="272"/>
      <c r="F3" s="272"/>
      <c r="G3" s="272"/>
      <c r="H3" s="272"/>
      <c r="I3" s="272"/>
      <c r="J3" s="272"/>
      <c r="K3" s="272"/>
      <c r="L3" s="272"/>
      <c r="M3" s="272"/>
      <c r="N3" s="272"/>
      <c r="O3" s="272"/>
    </row>
    <row r="4" spans="1:21">
      <c r="O4" s="273"/>
      <c r="P4" s="417"/>
      <c r="Q4" s="417"/>
      <c r="R4" s="417"/>
      <c r="S4" s="417"/>
      <c r="T4" s="417"/>
      <c r="U4" s="417"/>
    </row>
    <row r="5" spans="1:21">
      <c r="P5" s="418"/>
      <c r="Q5" s="418"/>
      <c r="R5" s="418"/>
      <c r="S5" s="418"/>
      <c r="T5" s="418"/>
      <c r="U5" s="418"/>
    </row>
    <row r="7" spans="1:21">
      <c r="B7" s="274"/>
    </row>
    <row r="8" spans="1:21" ht="13.5" thickBot="1"/>
    <row r="9" spans="1:21" ht="13.5" thickBot="1">
      <c r="C9" s="419" t="s">
        <v>74</v>
      </c>
      <c r="D9" s="420"/>
      <c r="E9" s="421"/>
      <c r="F9" s="419" t="s">
        <v>75</v>
      </c>
      <c r="G9" s="420"/>
      <c r="H9" s="421"/>
    </row>
    <row r="10" spans="1:21" ht="30">
      <c r="B10" s="275"/>
      <c r="C10" s="276" t="s">
        <v>286</v>
      </c>
      <c r="D10" s="276" t="s">
        <v>287</v>
      </c>
      <c r="E10" s="277" t="s">
        <v>254</v>
      </c>
      <c r="F10" s="276" t="s">
        <v>286</v>
      </c>
      <c r="G10" s="276" t="s">
        <v>287</v>
      </c>
      <c r="H10" s="277" t="s">
        <v>254</v>
      </c>
    </row>
    <row r="11" spans="1:21" ht="15">
      <c r="B11" s="278" t="s">
        <v>27</v>
      </c>
      <c r="C11" s="279">
        <v>0.02</v>
      </c>
      <c r="D11" s="279">
        <v>0</v>
      </c>
      <c r="E11" s="280">
        <v>0.24</v>
      </c>
      <c r="F11" s="279">
        <v>0.02</v>
      </c>
      <c r="G11" s="279">
        <v>0</v>
      </c>
      <c r="H11" s="280">
        <v>0</v>
      </c>
    </row>
    <row r="12" spans="1:21" ht="15">
      <c r="B12" s="278" t="s">
        <v>92</v>
      </c>
      <c r="C12" s="279">
        <v>0.02</v>
      </c>
      <c r="D12" s="279">
        <v>0</v>
      </c>
      <c r="E12" s="280">
        <v>0</v>
      </c>
      <c r="F12" s="279">
        <v>0.02</v>
      </c>
      <c r="G12" s="279">
        <v>0</v>
      </c>
      <c r="H12" s="280">
        <v>0</v>
      </c>
    </row>
    <row r="13" spans="1:21" ht="15">
      <c r="B13" s="278" t="s">
        <v>200</v>
      </c>
      <c r="C13" s="279">
        <v>0.02</v>
      </c>
      <c r="D13" s="279">
        <v>0</v>
      </c>
      <c r="E13" s="280">
        <v>0.24</v>
      </c>
      <c r="F13" s="279">
        <v>0.02</v>
      </c>
      <c r="G13" s="279">
        <v>0</v>
      </c>
      <c r="H13" s="280">
        <v>0</v>
      </c>
    </row>
    <row r="14" spans="1:21" ht="15">
      <c r="B14" s="278" t="s">
        <v>201</v>
      </c>
      <c r="C14" s="279">
        <v>0.02</v>
      </c>
      <c r="D14" s="279">
        <v>0</v>
      </c>
      <c r="E14" s="280">
        <v>0.24</v>
      </c>
      <c r="F14" s="279">
        <v>0.02</v>
      </c>
      <c r="G14" s="279">
        <v>0</v>
      </c>
      <c r="H14" s="280">
        <v>0.24</v>
      </c>
    </row>
    <row r="15" spans="1:21" ht="15">
      <c r="B15" s="281" t="s">
        <v>202</v>
      </c>
      <c r="C15" s="279">
        <v>0.02</v>
      </c>
      <c r="D15" s="279">
        <v>0</v>
      </c>
      <c r="E15" s="280">
        <v>0.24</v>
      </c>
      <c r="F15" s="279">
        <v>0.02</v>
      </c>
      <c r="G15" s="279">
        <v>0</v>
      </c>
      <c r="H15" s="280">
        <v>0.24</v>
      </c>
    </row>
    <row r="16" spans="1:21" ht="15.75" thickBot="1">
      <c r="B16" s="282" t="s">
        <v>199</v>
      </c>
      <c r="C16" s="283">
        <v>0</v>
      </c>
      <c r="D16" s="283">
        <v>0</v>
      </c>
      <c r="E16" s="284">
        <v>0</v>
      </c>
      <c r="F16" s="283">
        <v>0</v>
      </c>
      <c r="G16" s="283">
        <v>0</v>
      </c>
      <c r="H16" s="284">
        <v>0</v>
      </c>
    </row>
    <row r="17" spans="1:9" ht="15">
      <c r="B17" s="285" t="s">
        <v>288</v>
      </c>
      <c r="C17" s="286"/>
      <c r="D17" s="286"/>
      <c r="E17" s="286"/>
    </row>
    <row r="18" spans="1:9" ht="15">
      <c r="B18" s="285"/>
      <c r="C18" s="286"/>
      <c r="D18" s="286"/>
      <c r="E18" s="286"/>
    </row>
    <row r="19" spans="1:9" ht="15">
      <c r="B19" s="285"/>
      <c r="C19" s="286"/>
      <c r="D19" s="286"/>
      <c r="E19" s="286"/>
    </row>
    <row r="20" spans="1:9" ht="15">
      <c r="B20" s="287"/>
      <c r="C20" s="286"/>
      <c r="D20" s="286"/>
      <c r="E20" s="286"/>
    </row>
    <row r="21" spans="1:9" ht="15">
      <c r="A21" s="288" t="s">
        <v>289</v>
      </c>
    </row>
    <row r="22" spans="1:9" ht="30" customHeight="1">
      <c r="A22" s="289"/>
      <c r="B22" s="422" t="s">
        <v>290</v>
      </c>
      <c r="C22" s="422"/>
      <c r="D22" s="422"/>
      <c r="E22" s="422"/>
      <c r="F22" s="422"/>
      <c r="G22" s="422"/>
      <c r="H22" s="422"/>
      <c r="I22" s="422"/>
    </row>
    <row r="23" spans="1:9" ht="30" customHeight="1">
      <c r="A23" s="289"/>
      <c r="B23" s="290" t="s">
        <v>291</v>
      </c>
      <c r="C23" s="291"/>
      <c r="E23" s="291"/>
      <c r="F23" s="291"/>
    </row>
    <row r="24" spans="1:9" ht="30" customHeight="1">
      <c r="A24" s="289"/>
      <c r="B24" s="416" t="s">
        <v>292</v>
      </c>
      <c r="C24" s="416"/>
      <c r="D24" s="416"/>
      <c r="E24" s="416"/>
      <c r="F24" s="416"/>
      <c r="G24" s="416"/>
      <c r="H24" s="416"/>
      <c r="I24" s="416"/>
    </row>
    <row r="26" spans="1:9">
      <c r="A26" s="274" t="s">
        <v>293</v>
      </c>
    </row>
    <row r="27" spans="1:9" ht="36" customHeight="1">
      <c r="B27" s="422" t="s">
        <v>294</v>
      </c>
      <c r="C27" s="422"/>
      <c r="D27" s="422"/>
      <c r="E27" s="422"/>
      <c r="F27" s="422"/>
      <c r="G27" s="422"/>
      <c r="H27" s="422"/>
      <c r="I27" s="422"/>
    </row>
    <row r="28" spans="1:9">
      <c r="B28" s="292" t="s">
        <v>295</v>
      </c>
    </row>
    <row r="29" spans="1:9">
      <c r="B29" s="20" t="s">
        <v>296</v>
      </c>
      <c r="D29" s="293"/>
    </row>
    <row r="30" spans="1:9" ht="75" customHeight="1">
      <c r="B30" s="422" t="s">
        <v>297</v>
      </c>
      <c r="C30" s="422"/>
      <c r="D30" s="422"/>
      <c r="E30" s="422"/>
      <c r="F30" s="422"/>
      <c r="G30" s="422"/>
      <c r="H30" s="422"/>
      <c r="I30" s="422"/>
    </row>
    <row r="31" spans="1:9">
      <c r="C31" s="292"/>
    </row>
    <row r="32" spans="1:9">
      <c r="A32" s="274" t="s">
        <v>298</v>
      </c>
      <c r="C32" s="292"/>
    </row>
    <row r="33" spans="1:22" ht="24.75" customHeight="1">
      <c r="B33" s="422" t="s">
        <v>299</v>
      </c>
      <c r="C33" s="422"/>
      <c r="D33" s="422"/>
      <c r="E33" s="422"/>
      <c r="F33" s="422"/>
      <c r="G33" s="422"/>
      <c r="H33" s="422"/>
      <c r="I33" s="422"/>
    </row>
    <row r="34" spans="1:22">
      <c r="B34" s="294" t="s">
        <v>300</v>
      </c>
    </row>
    <row r="35" spans="1:22" ht="27.75" customHeight="1">
      <c r="B35" s="422" t="s">
        <v>301</v>
      </c>
      <c r="C35" s="422"/>
      <c r="D35" s="422"/>
      <c r="E35" s="422"/>
      <c r="F35" s="422"/>
      <c r="G35" s="422"/>
      <c r="H35" s="422"/>
      <c r="I35" s="422"/>
    </row>
    <row r="36" spans="1:22" ht="13.5" customHeight="1">
      <c r="A36" s="295" t="s">
        <v>302</v>
      </c>
      <c r="C36" s="295"/>
      <c r="D36" s="295"/>
      <c r="E36" s="295"/>
      <c r="F36" s="295"/>
      <c r="G36" s="295"/>
    </row>
    <row r="37" spans="1:22">
      <c r="B37" s="294" t="s">
        <v>303</v>
      </c>
      <c r="C37" s="286"/>
      <c r="D37" s="286"/>
      <c r="E37" s="286"/>
    </row>
    <row r="38" spans="1:22" ht="15.75" thickBot="1">
      <c r="B38" s="287"/>
      <c r="C38" s="286"/>
      <c r="D38" s="286"/>
      <c r="E38" s="286"/>
      <c r="G38" s="273" t="s">
        <v>304</v>
      </c>
    </row>
    <row r="39" spans="1:22" ht="24.75" customHeight="1" thickBot="1">
      <c r="B39" s="287"/>
      <c r="C39" s="286"/>
      <c r="D39" s="286"/>
      <c r="E39" s="286"/>
      <c r="G39" s="423" t="s">
        <v>305</v>
      </c>
      <c r="H39" s="296"/>
      <c r="I39" s="423" t="s">
        <v>306</v>
      </c>
      <c r="J39" s="423" t="s">
        <v>307</v>
      </c>
      <c r="K39" s="423" t="s">
        <v>308</v>
      </c>
      <c r="L39" s="297" t="s">
        <v>309</v>
      </c>
      <c r="M39" s="426" t="s">
        <v>310</v>
      </c>
      <c r="N39" s="427"/>
      <c r="O39" s="427"/>
      <c r="P39" s="428"/>
      <c r="Q39" s="429" t="s">
        <v>311</v>
      </c>
      <c r="R39" s="428"/>
    </row>
    <row r="40" spans="1:22" ht="24">
      <c r="B40" s="287"/>
      <c r="C40" s="286"/>
      <c r="D40" s="286"/>
      <c r="E40" s="286"/>
      <c r="G40" s="424"/>
      <c r="H40" s="298" t="s">
        <v>312</v>
      </c>
      <c r="I40" s="424"/>
      <c r="J40" s="424"/>
      <c r="K40" s="424"/>
      <c r="L40" s="423"/>
      <c r="M40" s="423" t="s">
        <v>313</v>
      </c>
      <c r="N40" s="299" t="s">
        <v>314</v>
      </c>
      <c r="O40" s="423" t="s">
        <v>315</v>
      </c>
      <c r="P40" s="423" t="s">
        <v>316</v>
      </c>
      <c r="Q40" s="423" t="s">
        <v>317</v>
      </c>
      <c r="R40" s="424" t="s">
        <v>318</v>
      </c>
    </row>
    <row r="41" spans="1:22" ht="15.75" thickBot="1">
      <c r="B41" s="287"/>
      <c r="C41" s="286"/>
      <c r="D41" s="286"/>
      <c r="E41" s="286"/>
      <c r="H41" s="300"/>
      <c r="I41" s="425"/>
      <c r="J41" s="425"/>
      <c r="K41" s="425"/>
      <c r="L41" s="425"/>
      <c r="M41" s="425"/>
      <c r="N41" s="301" t="s">
        <v>319</v>
      </c>
      <c r="O41" s="425"/>
      <c r="P41" s="425"/>
      <c r="Q41" s="425"/>
      <c r="R41" s="425"/>
      <c r="T41" s="273"/>
      <c r="U41" s="273"/>
      <c r="V41" s="273"/>
    </row>
    <row r="42" spans="1:22" ht="36.75" thickBot="1">
      <c r="B42" s="287"/>
      <c r="C42" s="286"/>
      <c r="D42" s="286"/>
      <c r="E42" s="286"/>
      <c r="G42" s="302">
        <v>0.23</v>
      </c>
      <c r="H42" s="303">
        <v>1</v>
      </c>
      <c r="I42" s="304">
        <v>4</v>
      </c>
      <c r="J42" s="304">
        <v>8200</v>
      </c>
      <c r="K42" s="304" t="s">
        <v>320</v>
      </c>
      <c r="L42" s="304" t="s">
        <v>321</v>
      </c>
      <c r="M42" s="305">
        <v>0.04</v>
      </c>
      <c r="N42" s="305">
        <v>0.13</v>
      </c>
      <c r="O42" s="305">
        <v>0.79</v>
      </c>
      <c r="P42" s="304">
        <v>3.6</v>
      </c>
      <c r="Q42" s="305">
        <v>0.9</v>
      </c>
      <c r="R42" s="305">
        <v>1</v>
      </c>
    </row>
    <row r="43" spans="1:22" ht="36.75" thickBot="1">
      <c r="B43" s="287"/>
      <c r="C43" s="286"/>
      <c r="D43" s="286"/>
      <c r="E43" s="286"/>
      <c r="G43" s="306">
        <v>0.1</v>
      </c>
      <c r="H43" s="303">
        <v>2</v>
      </c>
      <c r="I43" s="304">
        <v>5</v>
      </c>
      <c r="J43" s="304">
        <v>3400</v>
      </c>
      <c r="K43" s="304" t="s">
        <v>320</v>
      </c>
      <c r="L43" s="304" t="s">
        <v>322</v>
      </c>
      <c r="M43" s="305">
        <v>0.04</v>
      </c>
      <c r="N43" s="305">
        <v>0.25</v>
      </c>
      <c r="O43" s="305">
        <v>0.64</v>
      </c>
      <c r="P43" s="304">
        <v>4</v>
      </c>
      <c r="Q43" s="305">
        <v>0.81</v>
      </c>
      <c r="R43" s="305">
        <v>0.99</v>
      </c>
    </row>
    <row r="44" spans="1:22" ht="36.75" thickBot="1">
      <c r="B44" s="287"/>
      <c r="C44" s="286"/>
      <c r="D44" s="286"/>
      <c r="E44" s="286"/>
      <c r="G44" s="306">
        <v>0.2</v>
      </c>
      <c r="H44" s="303">
        <v>3</v>
      </c>
      <c r="I44" s="304">
        <v>5</v>
      </c>
      <c r="J44" s="304">
        <v>7000</v>
      </c>
      <c r="K44" s="304" t="s">
        <v>320</v>
      </c>
      <c r="L44" s="304" t="s">
        <v>322</v>
      </c>
      <c r="M44" s="305">
        <v>0.03</v>
      </c>
      <c r="N44" s="305">
        <v>0.23</v>
      </c>
      <c r="O44" s="305">
        <v>0.7</v>
      </c>
      <c r="P44" s="304">
        <v>4.2</v>
      </c>
      <c r="Q44" s="305">
        <v>0.84</v>
      </c>
      <c r="R44" s="305">
        <v>0.97</v>
      </c>
    </row>
    <row r="45" spans="1:22" ht="36.75" thickBot="1">
      <c r="B45" s="287"/>
      <c r="C45" s="286"/>
      <c r="D45" s="286"/>
      <c r="E45" s="286"/>
      <c r="G45" s="306">
        <v>0.17</v>
      </c>
      <c r="H45" s="303">
        <v>4</v>
      </c>
      <c r="I45" s="304">
        <v>8</v>
      </c>
      <c r="J45" s="304">
        <v>6100</v>
      </c>
      <c r="K45" s="304" t="s">
        <v>320</v>
      </c>
      <c r="L45" s="304" t="s">
        <v>322</v>
      </c>
      <c r="M45" s="305">
        <v>0.23</v>
      </c>
      <c r="N45" s="305">
        <v>0.53</v>
      </c>
      <c r="O45" s="305">
        <v>0.23</v>
      </c>
      <c r="P45" s="304">
        <v>4.3</v>
      </c>
      <c r="Q45" s="305">
        <v>0.54</v>
      </c>
      <c r="R45" s="305">
        <v>0.94</v>
      </c>
      <c r="T45" s="273"/>
      <c r="U45" s="45"/>
    </row>
    <row r="46" spans="1:22" ht="48.75" thickBot="1">
      <c r="B46" s="287"/>
      <c r="C46" s="286"/>
      <c r="D46" s="286"/>
      <c r="E46" s="286"/>
      <c r="G46" s="306">
        <v>0.1</v>
      </c>
      <c r="H46" s="303">
        <v>5</v>
      </c>
      <c r="I46" s="304">
        <v>12</v>
      </c>
      <c r="J46" s="304">
        <v>3400</v>
      </c>
      <c r="K46" s="304" t="s">
        <v>320</v>
      </c>
      <c r="L46" s="304" t="s">
        <v>323</v>
      </c>
      <c r="M46" s="305">
        <v>0.23</v>
      </c>
      <c r="N46" s="305">
        <v>0.56999999999999995</v>
      </c>
      <c r="O46" s="305">
        <v>0.17</v>
      </c>
      <c r="P46" s="304">
        <v>4.7</v>
      </c>
      <c r="Q46" s="305">
        <v>0.39</v>
      </c>
      <c r="R46" s="305">
        <v>0.83</v>
      </c>
      <c r="T46" s="273"/>
      <c r="V46" s="45"/>
    </row>
    <row r="47" spans="1:22" ht="36.75" thickBot="1">
      <c r="B47" s="287"/>
      <c r="C47" s="286"/>
      <c r="D47" s="286"/>
      <c r="E47" s="286"/>
      <c r="G47" s="306">
        <v>0.09</v>
      </c>
      <c r="H47" s="303">
        <v>6</v>
      </c>
      <c r="I47" s="304">
        <v>14</v>
      </c>
      <c r="J47" s="304">
        <v>3200</v>
      </c>
      <c r="K47" s="304" t="s">
        <v>320</v>
      </c>
      <c r="L47" s="304" t="s">
        <v>324</v>
      </c>
      <c r="M47" s="305">
        <v>0.2</v>
      </c>
      <c r="N47" s="305">
        <v>0.6</v>
      </c>
      <c r="O47" s="305">
        <v>0.2</v>
      </c>
      <c r="P47" s="304">
        <v>6.3</v>
      </c>
      <c r="Q47" s="305">
        <v>0.45</v>
      </c>
      <c r="R47" s="305">
        <v>0.85</v>
      </c>
    </row>
    <row r="48" spans="1:22" ht="48.75" thickBot="1">
      <c r="B48" s="287"/>
      <c r="C48" s="286"/>
      <c r="D48" s="286"/>
      <c r="E48" s="286"/>
      <c r="G48" s="306">
        <v>0.11</v>
      </c>
      <c r="H48" s="303">
        <v>7</v>
      </c>
      <c r="I48" s="304">
        <v>22</v>
      </c>
      <c r="J48" s="304">
        <v>4000</v>
      </c>
      <c r="K48" s="304" t="s">
        <v>320</v>
      </c>
      <c r="L48" s="304" t="s">
        <v>325</v>
      </c>
      <c r="M48" s="305">
        <v>0.1</v>
      </c>
      <c r="N48" s="305">
        <v>0.47</v>
      </c>
      <c r="O48" s="305">
        <v>0.37</v>
      </c>
      <c r="P48" s="304">
        <v>12.6</v>
      </c>
      <c r="Q48" s="305">
        <v>0.56999999999999995</v>
      </c>
      <c r="R48" s="305">
        <v>0.82</v>
      </c>
    </row>
    <row r="49" spans="1:18" ht="24.75" thickBot="1">
      <c r="B49" s="287"/>
      <c r="C49" s="286"/>
      <c r="D49" s="286"/>
      <c r="E49" s="286"/>
      <c r="G49" s="306">
        <v>1</v>
      </c>
      <c r="H49" s="303" t="s">
        <v>266</v>
      </c>
      <c r="I49" s="304">
        <v>8.6999999999999993</v>
      </c>
      <c r="J49" s="304">
        <v>35300</v>
      </c>
      <c r="K49" s="304"/>
      <c r="L49" s="304"/>
      <c r="M49" s="305">
        <v>0.14000000000000001</v>
      </c>
      <c r="N49" s="305">
        <v>0.44</v>
      </c>
      <c r="O49" s="305">
        <v>0.39</v>
      </c>
      <c r="P49" s="304">
        <v>5.3</v>
      </c>
      <c r="Q49" s="305">
        <v>0.6</v>
      </c>
      <c r="R49" s="305">
        <v>0.89</v>
      </c>
    </row>
    <row r="50" spans="1:18" ht="15">
      <c r="B50" s="287"/>
      <c r="C50" s="286"/>
      <c r="D50" s="286"/>
      <c r="E50" s="286"/>
    </row>
    <row r="51" spans="1:18" ht="15">
      <c r="A51" s="274"/>
      <c r="B51" s="287"/>
      <c r="C51" s="286"/>
      <c r="D51" s="286"/>
      <c r="E51" s="286"/>
    </row>
    <row r="52" spans="1:18" ht="15">
      <c r="A52" s="307" t="s">
        <v>326</v>
      </c>
      <c r="B52" s="287"/>
      <c r="C52" s="286"/>
      <c r="D52" s="286"/>
      <c r="E52" s="286"/>
    </row>
    <row r="53" spans="1:18">
      <c r="A53" s="20" t="s">
        <v>327</v>
      </c>
      <c r="E53" s="308"/>
    </row>
    <row r="55" spans="1:18" ht="38.25">
      <c r="A55" s="308" t="s">
        <v>24</v>
      </c>
      <c r="B55" s="308" t="s">
        <v>119</v>
      </c>
      <c r="C55" s="308" t="s">
        <v>328</v>
      </c>
      <c r="D55" s="309" t="s">
        <v>329</v>
      </c>
      <c r="E55" s="309" t="s">
        <v>330</v>
      </c>
      <c r="F55" s="309" t="s">
        <v>331</v>
      </c>
      <c r="G55" s="308" t="s">
        <v>59</v>
      </c>
      <c r="H55" s="308" t="s">
        <v>60</v>
      </c>
    </row>
    <row r="56" spans="1:18">
      <c r="A56" s="20" t="s">
        <v>27</v>
      </c>
      <c r="B56" s="20" t="s">
        <v>31</v>
      </c>
      <c r="C56" s="20" t="str">
        <f>A56&amp;B56</f>
        <v>RetailCompact Fluorescent</v>
      </c>
      <c r="D56" s="310">
        <f t="shared" ref="D56:F61" si="0">C11</f>
        <v>0.02</v>
      </c>
      <c r="E56" s="310">
        <f t="shared" si="0"/>
        <v>0</v>
      </c>
      <c r="F56" s="310">
        <f t="shared" si="0"/>
        <v>0.24</v>
      </c>
      <c r="G56" s="311">
        <f>(1-D56)*(1-E56)*(1-F56)</f>
        <v>0.74480000000000002</v>
      </c>
      <c r="H56" s="312">
        <v>1.0909090909090908</v>
      </c>
    </row>
    <row r="57" spans="1:18">
      <c r="A57" s="20" t="s">
        <v>92</v>
      </c>
      <c r="B57" s="20" t="s">
        <v>31</v>
      </c>
      <c r="C57" s="20" t="str">
        <f t="shared" ref="C57:C67" si="1">A57&amp;B57</f>
        <v>Direct InstallCompact Fluorescent</v>
      </c>
      <c r="D57" s="310">
        <f t="shared" si="0"/>
        <v>0.02</v>
      </c>
      <c r="E57" s="310">
        <f t="shared" si="0"/>
        <v>0</v>
      </c>
      <c r="F57" s="310">
        <f t="shared" si="0"/>
        <v>0</v>
      </c>
      <c r="G57" s="311">
        <f t="shared" ref="G57:G67" si="2">(1-D57)*(1-E57)*(1-F57)</f>
        <v>0.98</v>
      </c>
      <c r="H57" s="312">
        <v>1</v>
      </c>
    </row>
    <row r="58" spans="1:18">
      <c r="A58" s="20" t="s">
        <v>200</v>
      </c>
      <c r="B58" s="20" t="s">
        <v>31</v>
      </c>
      <c r="C58" s="20" t="str">
        <f t="shared" si="1"/>
        <v>Mail by RequestCompact Fluorescent</v>
      </c>
      <c r="D58" s="310">
        <f t="shared" si="0"/>
        <v>0.02</v>
      </c>
      <c r="E58" s="310">
        <f t="shared" si="0"/>
        <v>0</v>
      </c>
      <c r="F58" s="310">
        <f t="shared" si="0"/>
        <v>0.24</v>
      </c>
      <c r="G58" s="311">
        <f t="shared" si="2"/>
        <v>0.74480000000000002</v>
      </c>
      <c r="H58" s="312">
        <v>1.0909090909090908</v>
      </c>
    </row>
    <row r="59" spans="1:18">
      <c r="A59" s="20" t="s">
        <v>201</v>
      </c>
      <c r="B59" s="20" t="s">
        <v>31</v>
      </c>
      <c r="C59" s="20" t="str">
        <f t="shared" si="1"/>
        <v>Unsolicited MailingCompact Fluorescent</v>
      </c>
      <c r="D59" s="310">
        <f t="shared" si="0"/>
        <v>0.02</v>
      </c>
      <c r="E59" s="310">
        <f t="shared" si="0"/>
        <v>0</v>
      </c>
      <c r="F59" s="310">
        <f t="shared" si="0"/>
        <v>0.24</v>
      </c>
      <c r="G59" s="311">
        <f t="shared" si="2"/>
        <v>0.74480000000000002</v>
      </c>
      <c r="H59" s="312">
        <v>1.0909090909090908</v>
      </c>
    </row>
    <row r="60" spans="1:18">
      <c r="A60" s="20" t="s">
        <v>202</v>
      </c>
      <c r="B60" s="20" t="s">
        <v>31</v>
      </c>
      <c r="C60" s="20" t="str">
        <f t="shared" si="1"/>
        <v>Give-AwayCompact Fluorescent</v>
      </c>
      <c r="D60" s="310">
        <f t="shared" si="0"/>
        <v>0.02</v>
      </c>
      <c r="E60" s="310">
        <f t="shared" si="0"/>
        <v>0</v>
      </c>
      <c r="F60" s="310">
        <f t="shared" si="0"/>
        <v>0.24</v>
      </c>
      <c r="G60" s="311">
        <f t="shared" si="2"/>
        <v>0.74480000000000002</v>
      </c>
      <c r="H60" s="312">
        <v>1.0909090909090908</v>
      </c>
    </row>
    <row r="61" spans="1:18">
      <c r="A61" s="20" t="s">
        <v>199</v>
      </c>
      <c r="B61" s="20" t="s">
        <v>31</v>
      </c>
      <c r="C61" s="20" t="str">
        <f t="shared" si="1"/>
        <v>NEEA Socket CountCompact Fluorescent</v>
      </c>
      <c r="D61" s="310">
        <f t="shared" si="0"/>
        <v>0</v>
      </c>
      <c r="E61" s="310">
        <f t="shared" si="0"/>
        <v>0</v>
      </c>
      <c r="F61" s="310">
        <f t="shared" si="0"/>
        <v>0</v>
      </c>
      <c r="G61" s="311">
        <f t="shared" si="2"/>
        <v>1</v>
      </c>
      <c r="H61" s="312">
        <v>1</v>
      </c>
    </row>
    <row r="62" spans="1:18">
      <c r="A62" s="20" t="str">
        <f t="shared" ref="A62:A67" si="3">A56</f>
        <v>Retail</v>
      </c>
      <c r="B62" s="20" t="s">
        <v>28</v>
      </c>
      <c r="C62" s="20" t="str">
        <f t="shared" si="1"/>
        <v>RetailLED</v>
      </c>
      <c r="D62" s="310">
        <f t="shared" ref="D62:F67" si="4">F11</f>
        <v>0.02</v>
      </c>
      <c r="E62" s="310">
        <f t="shared" si="4"/>
        <v>0</v>
      </c>
      <c r="F62" s="310">
        <f t="shared" si="4"/>
        <v>0</v>
      </c>
      <c r="G62" s="311">
        <f t="shared" si="2"/>
        <v>0.98</v>
      </c>
      <c r="H62" s="312">
        <v>1</v>
      </c>
    </row>
    <row r="63" spans="1:18">
      <c r="A63" s="20" t="str">
        <f t="shared" si="3"/>
        <v>Direct Install</v>
      </c>
      <c r="B63" s="20" t="s">
        <v>28</v>
      </c>
      <c r="C63" s="20" t="str">
        <f t="shared" si="1"/>
        <v>Direct InstallLED</v>
      </c>
      <c r="D63" s="310">
        <f t="shared" si="4"/>
        <v>0.02</v>
      </c>
      <c r="E63" s="310">
        <f t="shared" si="4"/>
        <v>0</v>
      </c>
      <c r="F63" s="310">
        <f t="shared" si="4"/>
        <v>0</v>
      </c>
      <c r="G63" s="311">
        <f t="shared" si="2"/>
        <v>0.98</v>
      </c>
      <c r="H63" s="312">
        <v>1</v>
      </c>
    </row>
    <row r="64" spans="1:18">
      <c r="A64" s="20" t="str">
        <f t="shared" si="3"/>
        <v>Mail by Request</v>
      </c>
      <c r="B64" s="20" t="s">
        <v>28</v>
      </c>
      <c r="C64" s="20" t="str">
        <f t="shared" si="1"/>
        <v>Mail by RequestLED</v>
      </c>
      <c r="D64" s="310">
        <f t="shared" si="4"/>
        <v>0.02</v>
      </c>
      <c r="E64" s="310">
        <f t="shared" si="4"/>
        <v>0</v>
      </c>
      <c r="F64" s="310">
        <v>0</v>
      </c>
      <c r="G64" s="311">
        <f t="shared" si="2"/>
        <v>0.98</v>
      </c>
      <c r="H64" s="312">
        <v>1</v>
      </c>
    </row>
    <row r="65" spans="1:8">
      <c r="A65" s="20" t="str">
        <f t="shared" si="3"/>
        <v>Unsolicited Mailing</v>
      </c>
      <c r="B65" s="20" t="s">
        <v>28</v>
      </c>
      <c r="C65" s="20" t="str">
        <f t="shared" si="1"/>
        <v>Unsolicited MailingLED</v>
      </c>
      <c r="D65" s="310">
        <f t="shared" si="4"/>
        <v>0.02</v>
      </c>
      <c r="E65" s="310">
        <f t="shared" si="4"/>
        <v>0</v>
      </c>
      <c r="F65" s="310">
        <f>H14</f>
        <v>0.24</v>
      </c>
      <c r="G65" s="311">
        <f t="shared" si="2"/>
        <v>0.74480000000000002</v>
      </c>
      <c r="H65" s="312">
        <v>1.0909090909090908</v>
      </c>
    </row>
    <row r="66" spans="1:8">
      <c r="A66" s="20" t="str">
        <f t="shared" si="3"/>
        <v>Give-Away</v>
      </c>
      <c r="B66" s="20" t="s">
        <v>28</v>
      </c>
      <c r="C66" s="20" t="str">
        <f t="shared" si="1"/>
        <v>Give-AwayLED</v>
      </c>
      <c r="D66" s="310">
        <f t="shared" si="4"/>
        <v>0.02</v>
      </c>
      <c r="E66" s="310">
        <f t="shared" si="4"/>
        <v>0</v>
      </c>
      <c r="F66" s="310">
        <f>H15</f>
        <v>0.24</v>
      </c>
      <c r="G66" s="311">
        <f t="shared" si="2"/>
        <v>0.74480000000000002</v>
      </c>
      <c r="H66" s="312">
        <v>1.0909090909090908</v>
      </c>
    </row>
    <row r="67" spans="1:8">
      <c r="A67" s="20" t="str">
        <f t="shared" si="3"/>
        <v>NEEA Socket Count</v>
      </c>
      <c r="B67" s="20" t="s">
        <v>28</v>
      </c>
      <c r="C67" s="20" t="str">
        <f t="shared" si="1"/>
        <v>NEEA Socket CountLED</v>
      </c>
      <c r="D67" s="310">
        <f t="shared" si="4"/>
        <v>0</v>
      </c>
      <c r="E67" s="310">
        <f t="shared" si="4"/>
        <v>0</v>
      </c>
      <c r="F67" s="310">
        <f>H16</f>
        <v>0</v>
      </c>
      <c r="G67" s="311">
        <f t="shared" si="2"/>
        <v>1</v>
      </c>
      <c r="H67" s="312">
        <v>1</v>
      </c>
    </row>
  </sheetData>
  <mergeCells count="22">
    <mergeCell ref="J39:J41"/>
    <mergeCell ref="K39:K41"/>
    <mergeCell ref="M39:P39"/>
    <mergeCell ref="Q39:R39"/>
    <mergeCell ref="L40:L41"/>
    <mergeCell ref="M40:M41"/>
    <mergeCell ref="O40:O41"/>
    <mergeCell ref="P40:P41"/>
    <mergeCell ref="Q40:Q41"/>
    <mergeCell ref="R40:R41"/>
    <mergeCell ref="B27:I27"/>
    <mergeCell ref="B30:I30"/>
    <mergeCell ref="B33:I33"/>
    <mergeCell ref="B35:I35"/>
    <mergeCell ref="G39:G40"/>
    <mergeCell ref="I39:I41"/>
    <mergeCell ref="B24:I24"/>
    <mergeCell ref="P4:U4"/>
    <mergeCell ref="P5:U5"/>
    <mergeCell ref="C9:E9"/>
    <mergeCell ref="F9:H9"/>
    <mergeCell ref="B22:I22"/>
  </mergeCells>
  <hyperlinks>
    <hyperlink ref="B23" r:id="rId1"/>
    <hyperlink ref="B28" r:id="rId2"/>
    <hyperlink ref="B37" r:id="rId3"/>
    <hyperlink ref="B34" r:id="rId4"/>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Bulb Weighting</vt:lpstr>
      <vt:lpstr>Trend</vt:lpstr>
      <vt:lpstr>Measure Assembly</vt:lpstr>
      <vt:lpstr>Summary Tables</vt:lpstr>
      <vt:lpstr>CFL and LED Efficacy</vt:lpstr>
      <vt:lpstr>CFL and LED Cost</vt:lpstr>
      <vt:lpstr>Lifetime</vt:lpstr>
      <vt:lpstr>Space Conditioning Interaction</vt:lpstr>
      <vt:lpstr>StorageTakebackRemoval</vt:lpstr>
      <vt:lpstr>Stock</vt:lpstr>
      <vt:lpstr>Deflator</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2014-09-23T21:26:19Z</dcterms:created>
  <dcterms:modified xsi:type="dcterms:W3CDTF">2015-08-25T15:49:35Z</dcterms:modified>
</cp:coreProperties>
</file>